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comments1.xml" ContentType="application/vnd.openxmlformats-officedocument.spreadsheetml.comments+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comments2.xml" ContentType="application/vnd.openxmlformats-officedocument.spreadsheetml.comments+xml"/>
  <Override PartName="/xl/drawings/drawing2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hisWorkbook" defaultThemeVersion="166925"/>
  <mc:AlternateContent xmlns:mc="http://schemas.openxmlformats.org/markup-compatibility/2006">
    <mc:Choice Requires="x15">
      <x15ac:absPath xmlns:x15ac="http://schemas.microsoft.com/office/spreadsheetml/2010/11/ac" url="C:\Users\Camilo\Desktop\"/>
    </mc:Choice>
  </mc:AlternateContent>
  <xr:revisionPtr revIDLastSave="0" documentId="13_ncr:1_{B8677D60-BF53-47C2-A8E9-DCAED5A36F25}" xr6:coauthVersionLast="47" xr6:coauthVersionMax="47" xr10:uidLastSave="{00000000-0000-0000-0000-000000000000}"/>
  <bookViews>
    <workbookView xWindow="-110" yWindow="-110" windowWidth="25820" windowHeight="15760" tabRatio="901" firstSheet="1" activeTab="1" xr2:uid="{8219C87C-73C3-449B-83F5-BFD7DDBD1127}"/>
  </bookViews>
  <sheets>
    <sheet name="P" sheetId="10" state="hidden" r:id="rId1"/>
    <sheet name="BALANCE" sheetId="76" r:id="rId2"/>
    <sheet name="PRESUPUESTO" sheetId="33" r:id="rId3"/>
    <sheet name="M.O." sheetId="12" r:id="rId4"/>
    <sheet name="FP OPERATIVO" sheetId="9" r:id="rId5"/>
    <sheet name="1,1" sheetId="38" r:id="rId6"/>
    <sheet name="2,1" sheetId="39" r:id="rId7"/>
    <sheet name="2,2" sheetId="42" r:id="rId8"/>
    <sheet name="2,3" sheetId="43" r:id="rId9"/>
    <sheet name="2,4" sheetId="46" r:id="rId10"/>
    <sheet name="3,1" sheetId="48" r:id="rId11"/>
    <sheet name="3,2" sheetId="49" r:id="rId12"/>
    <sheet name="4,1" sheetId="51" r:id="rId13"/>
    <sheet name="4,2" sheetId="52" r:id="rId14"/>
    <sheet name="NP1" sheetId="55" r:id="rId15"/>
    <sheet name="NP2" sheetId="53" r:id="rId16"/>
    <sheet name="NP3" sheetId="81" r:id="rId17"/>
    <sheet name="NP4" sheetId="82" r:id="rId18"/>
    <sheet name="MATERIALES" sheetId="1" r:id="rId19"/>
    <sheet name="CONCRETOS Y MORTERO" sheetId="7" r:id="rId20"/>
    <sheet name="EQUIPOS" sheetId="14" r:id="rId21"/>
    <sheet name="MEMORIA DE CALCULO" sheetId="27" r:id="rId22"/>
    <sheet name="ACERO CUNETA" sheetId="5" r:id="rId23"/>
    <sheet name="ACERO" sheetId="74" r:id="rId24"/>
    <sheet name="AU" sheetId="65" r:id="rId25"/>
    <sheet name="PAGA-GS-SST" sheetId="58" r:id="rId26"/>
    <sheet name="PMT" sheetId="59" r:id="rId27"/>
    <sheet name="POLIZAS OBRA" sheetId="66" r:id="rId28"/>
    <sheet name="LEGALIZACION OBRA" sheetId="68" r:id="rId29"/>
    <sheet name="FP ADTIVO" sheetId="67" r:id="rId30"/>
    <sheet name="GASTOS ADMINISTRATIVOS" sheetId="63" r:id="rId31"/>
    <sheet name="REVISION Y AJUSTE DISEÑOS" sheetId="75" r:id="rId32"/>
    <sheet name="ENSAYOS DE LABORATORIO" sheetId="64" r:id="rId33"/>
    <sheet name="5,1" sheetId="54" r:id="rId34"/>
    <sheet name="6,1" sheetId="56" r:id="rId35"/>
    <sheet name="6,2" sheetId="57" r:id="rId36"/>
    <sheet name="TRANSPORTES" sheetId="45" r:id="rId37"/>
    <sheet name="APU (3)" sheetId="37" state="hidden" r:id="rId38"/>
    <sheet name="PPTO INTERVENTORIA" sheetId="60" r:id="rId39"/>
    <sheet name="AUXILIO DE ALOJAMIENTO" sheetId="73" r:id="rId40"/>
    <sheet name="FM" sheetId="61" r:id="rId41"/>
    <sheet name="POLIZAS INTREV" sheetId="69" r:id="rId42"/>
    <sheet name="LEGALIZACION INTERV" sheetId="70" r:id="rId43"/>
    <sheet name="ENSAYOS INTERV" sheetId="71" r:id="rId44"/>
    <sheet name="1" sheetId="72" r:id="rId45"/>
    <sheet name="PERSONAL PROFESIONAL-TECNICO" sheetId="62" r:id="rId46"/>
    <sheet name="ACERO LOSA" sheetId="15" state="hidden" r:id="rId47"/>
  </sheets>
  <externalReferences>
    <externalReference r:id="rId48"/>
    <externalReference r:id="rId49"/>
  </externalReferences>
  <definedNames>
    <definedName name="\a">#REF!</definedName>
    <definedName name="\b">#REF!</definedName>
    <definedName name="\c">#REF!</definedName>
    <definedName name="\i">#REF!</definedName>
    <definedName name="\L">#REF!</definedName>
    <definedName name="\m">#REF!</definedName>
    <definedName name="\o">#REF!</definedName>
    <definedName name="\P">#REF!</definedName>
    <definedName name="\t">#REF!</definedName>
    <definedName name="\x">#REF!</definedName>
    <definedName name="\z">#REF!</definedName>
    <definedName name="_____________cua1">#REF!</definedName>
    <definedName name="_____________DMD1">#REF!</definedName>
    <definedName name="_____________VPD1">#REF!</definedName>
    <definedName name="_____________VPI1">#REF!</definedName>
    <definedName name="_____________VRA1">#REF!</definedName>
    <definedName name="____________cua1">#REF!</definedName>
    <definedName name="____________DMD1">#REF!</definedName>
    <definedName name="____________VPD1">#REF!</definedName>
    <definedName name="____________VPI1">#REF!</definedName>
    <definedName name="____________VRA1">#REF!</definedName>
    <definedName name="___________cua1">#REF!</definedName>
    <definedName name="___________DMD1">#REF!</definedName>
    <definedName name="___________VPD1">#REF!</definedName>
    <definedName name="___________VPI1">#REF!</definedName>
    <definedName name="___________VRA1">#REF!</definedName>
    <definedName name="__________cua1">#REF!</definedName>
    <definedName name="__________DMD1">#REF!</definedName>
    <definedName name="__________INF1">#REF!</definedName>
    <definedName name="__________MA2">#REF!</definedName>
    <definedName name="__________Rc">#REF!</definedName>
    <definedName name="__________VPD1">#REF!</definedName>
    <definedName name="__________VPI1">#REF!</definedName>
    <definedName name="__________VRA1">#REF!</definedName>
    <definedName name="_________cua1">#REF!</definedName>
    <definedName name="_________DMD1">#REF!</definedName>
    <definedName name="_________INF1">#REF!</definedName>
    <definedName name="_________MA2">#REF!</definedName>
    <definedName name="_________Rc">#REF!</definedName>
    <definedName name="_________VPD1">#REF!</definedName>
    <definedName name="_________VPI1">#REF!</definedName>
    <definedName name="_________VRA1">#REF!</definedName>
    <definedName name="________cua1">#REF!</definedName>
    <definedName name="________DMD1">#REF!</definedName>
    <definedName name="________INF1">#REF!</definedName>
    <definedName name="________MA2">#REF!</definedName>
    <definedName name="________Rc">#REF!</definedName>
    <definedName name="________VPD1">#REF!</definedName>
    <definedName name="________VPI1">#REF!</definedName>
    <definedName name="________VRA1">#REF!</definedName>
    <definedName name="_______ALL4">#REF!</definedName>
    <definedName name="_______cua1">#REF!</definedName>
    <definedName name="_______DMD1">#REF!</definedName>
    <definedName name="_______INF1">#REF!</definedName>
    <definedName name="_______MA2">#REF!</definedName>
    <definedName name="_______mor15">#REF!</definedName>
    <definedName name="_______PRE12">#REF!</definedName>
    <definedName name="_______rc">#REF!</definedName>
    <definedName name="_______VPD1">#REF!</definedName>
    <definedName name="_______VPI1">#REF!</definedName>
    <definedName name="_______VRA1">#REF!</definedName>
    <definedName name="______A30000">#REF!</definedName>
    <definedName name="______CAC1">#REF!</definedName>
    <definedName name="______CAC5">#REF!</definedName>
    <definedName name="______cua1">#REF!</definedName>
    <definedName name="______DMD1">#REF!</definedName>
    <definedName name="______INF1">#REF!</definedName>
    <definedName name="______MA2">#REF!</definedName>
    <definedName name="______rc">#REF!</definedName>
    <definedName name="______SBC5">#REF!</definedName>
    <definedName name="______VPD1">#REF!</definedName>
    <definedName name="______VPI1">#REF!</definedName>
    <definedName name="______VRA1">#REF!</definedName>
    <definedName name="_____A17000">#REF!</definedName>
    <definedName name="_____A20000">#REF!</definedName>
    <definedName name="_____A30000">#REF!</definedName>
    <definedName name="_____AFC1">#REF!</definedName>
    <definedName name="_____AFC3">#REF!</definedName>
    <definedName name="_____AFC5">#REF!</definedName>
    <definedName name="_____ALL4">#REF!</definedName>
    <definedName name="_____BGC1">#REF!</definedName>
    <definedName name="_____BGC3">#REF!</definedName>
    <definedName name="_____CAC1">#REF!</definedName>
    <definedName name="_____CAC3">#REF!</definedName>
    <definedName name="_____CAC5">#REF!</definedName>
    <definedName name="_____cua1">#REF!</definedName>
    <definedName name="_____DMD1">#REF!</definedName>
    <definedName name="_____INF1">#REF!</definedName>
    <definedName name="_____MA2">#REF!</definedName>
    <definedName name="_____mor15">#REF!</definedName>
    <definedName name="_____PRE12">#REF!</definedName>
    <definedName name="_____rc">#REF!</definedName>
    <definedName name="_____SBC1">#REF!</definedName>
    <definedName name="_____SBC3">#REF!</definedName>
    <definedName name="_____SBC5">#REF!</definedName>
    <definedName name="_____VPD1">#REF!</definedName>
    <definedName name="_____VPI1">#REF!</definedName>
    <definedName name="_____VRA1">#REF!</definedName>
    <definedName name="____A17000">#REF!</definedName>
    <definedName name="____A20000">#REF!</definedName>
    <definedName name="____A30000">#REF!</definedName>
    <definedName name="____AFC1">#REF!</definedName>
    <definedName name="____AFC3">#REF!</definedName>
    <definedName name="____AFC5">#REF!</definedName>
    <definedName name="____BGC1">#REF!</definedName>
    <definedName name="____BGC3">#REF!</definedName>
    <definedName name="____BGC5">#REF!</definedName>
    <definedName name="____CAC1">#REF!</definedName>
    <definedName name="____CAC3">#REF!</definedName>
    <definedName name="____CAC5">#REF!</definedName>
    <definedName name="____cua1">#REF!</definedName>
    <definedName name="____DMD1">#REF!</definedName>
    <definedName name="____exc02">#REF!</definedName>
    <definedName name="____exc24">#REF!</definedName>
    <definedName name="____exc40">#REF!</definedName>
    <definedName name="____INF1">#REF!</definedName>
    <definedName name="____MA2">#REF!</definedName>
    <definedName name="____rc">#REF!</definedName>
    <definedName name="____SBC1">#REF!</definedName>
    <definedName name="____SBC3">#REF!</definedName>
    <definedName name="____SBC5">#REF!</definedName>
    <definedName name="____VPD1">#REF!</definedName>
    <definedName name="____VPI1">#REF!</definedName>
    <definedName name="____VRA1">#REF!</definedName>
    <definedName name="___A17000">#REF!</definedName>
    <definedName name="___A20000">#REF!</definedName>
    <definedName name="___A30000">#REF!</definedName>
    <definedName name="___AFC1">#REF!</definedName>
    <definedName name="___AFC3">#REF!</definedName>
    <definedName name="___AFC5">#REF!</definedName>
    <definedName name="___ALL4">#REF!</definedName>
    <definedName name="___APU221">#REF!</definedName>
    <definedName name="___APU465">#REF!</definedName>
    <definedName name="___BGC1">#REF!</definedName>
    <definedName name="___BGC3">#REF!</definedName>
    <definedName name="___BGC5">#REF!</definedName>
    <definedName name="___CAC1">#REF!</definedName>
    <definedName name="___CAC3">#REF!</definedName>
    <definedName name="___CAC5">#REF!</definedName>
    <definedName name="___Cod1">#REF!</definedName>
    <definedName name="___cua1">#REF!</definedName>
    <definedName name="___DMD1">#REF!</definedName>
    <definedName name="___exc02">#REF!</definedName>
    <definedName name="___exc24">#REF!</definedName>
    <definedName name="___exc40">#REF!</definedName>
    <definedName name="___f">#REF!</definedName>
    <definedName name="___INF1">#REF!</definedName>
    <definedName name="___MA2">#REF!</definedName>
    <definedName name="___mor15">#REF!</definedName>
    <definedName name="___MSC1">#REF!</definedName>
    <definedName name="___PJ50">#REF!</definedName>
    <definedName name="___pj51">#REF!</definedName>
    <definedName name="___PRE12">#REF!</definedName>
    <definedName name="___rc">#REF!</definedName>
    <definedName name="___SBC1">#REF!</definedName>
    <definedName name="___SBC3">#REF!</definedName>
    <definedName name="___SBC5">#REF!</definedName>
    <definedName name="___VPD1">#REF!</definedName>
    <definedName name="___VPI1">#REF!</definedName>
    <definedName name="___VRA1">#REF!</definedName>
    <definedName name="__2008_Database">#REF!</definedName>
    <definedName name="__A17000">#REF!</definedName>
    <definedName name="__A20000">#REF!</definedName>
    <definedName name="__A30000">#REF!</definedName>
    <definedName name="__abr01">#REF!</definedName>
    <definedName name="__abr06">#REF!</definedName>
    <definedName name="__abr97">#REF!</definedName>
    <definedName name="__abr98">#REF!</definedName>
    <definedName name="__abr99">#REF!</definedName>
    <definedName name="__AFC1">#REF!</definedName>
    <definedName name="__AFC3">#REF!</definedName>
    <definedName name="__AFC5">#REF!</definedName>
    <definedName name="__Afe1">#REF!,#REF!</definedName>
    <definedName name="__ago01">#REF!</definedName>
    <definedName name="__ago06">#REF!</definedName>
    <definedName name="__ago97">#REF!</definedName>
    <definedName name="__ago98">#REF!</definedName>
    <definedName name="__ago99">#REF!</definedName>
    <definedName name="__APU221">#REF!</definedName>
    <definedName name="__APU465">#REF!</definedName>
    <definedName name="__BGC1">#REF!</definedName>
    <definedName name="__BGC3">#REF!</definedName>
    <definedName name="__BGC5">#REF!</definedName>
    <definedName name="__Bid1">#REF!</definedName>
    <definedName name="__Bid2">#REF!</definedName>
    <definedName name="__Bid3">#REF!</definedName>
    <definedName name="__Bid4">#REF!</definedName>
    <definedName name="__CAC1">#REF!</definedName>
    <definedName name="__CAC3">#REF!</definedName>
    <definedName name="__CAC5">#REF!</definedName>
    <definedName name="__CMU005" hidden="1">#REF!</definedName>
    <definedName name="__cmu05">#REF!</definedName>
    <definedName name="__Cod1">#REF!</definedName>
    <definedName name="__com06">#REF!</definedName>
    <definedName name="__cua1">#REF!</definedName>
    <definedName name="__dic01">#REF!</definedName>
    <definedName name="__dic06">#REF!</definedName>
    <definedName name="__dic97">#REF!</definedName>
    <definedName name="__dic98">#REF!</definedName>
    <definedName name="__dic99">#REF!</definedName>
    <definedName name="__DMD1">#REF!</definedName>
    <definedName name="__ene01">#REF!</definedName>
    <definedName name="__ene03">#REF!</definedName>
    <definedName name="__ene06">#REF!</definedName>
    <definedName name="__ene97">#REF!</definedName>
    <definedName name="__ene98">#REF!</definedName>
    <definedName name="__ene99">#REF!</definedName>
    <definedName name="__exc02">#REF!</definedName>
    <definedName name="__exc24">#REF!</definedName>
    <definedName name="__exc40">#REF!</definedName>
    <definedName name="__exp06">#REF!</definedName>
    <definedName name="__f">#REF!</definedName>
    <definedName name="__feb01">#REF!</definedName>
    <definedName name="__feb06">#REF!</definedName>
    <definedName name="__feb97">#REF!</definedName>
    <definedName name="__feb98">#REF!</definedName>
    <definedName name="__feb99">#REF!</definedName>
    <definedName name="__INF1">#REF!</definedName>
    <definedName name="__jul01">#REF!</definedName>
    <definedName name="__jul06">#REF!</definedName>
    <definedName name="__jul97">#REF!</definedName>
    <definedName name="__jul98">#REF!</definedName>
    <definedName name="__jul99">#REF!</definedName>
    <definedName name="__jun01">#REF!</definedName>
    <definedName name="__jun06">#REF!</definedName>
    <definedName name="__jun97">#REF!</definedName>
    <definedName name="__jun98">#REF!</definedName>
    <definedName name="__jun99">#REF!</definedName>
    <definedName name="__lgc1">#REF!</definedName>
    <definedName name="__lgc2">#REF!</definedName>
    <definedName name="__lgc3">#REF!</definedName>
    <definedName name="__LMO1">#REF!</definedName>
    <definedName name="__MA2">#REF!</definedName>
    <definedName name="__mar01">#REF!</definedName>
    <definedName name="__mar06">#REF!</definedName>
    <definedName name="__mar97">#REF!</definedName>
    <definedName name="__mar98">#REF!</definedName>
    <definedName name="__mar99">#REF!</definedName>
    <definedName name="__may01">#REF!</definedName>
    <definedName name="__may06">#REF!</definedName>
    <definedName name="__may97">#REF!</definedName>
    <definedName name="__may98">#REF!</definedName>
    <definedName name="__may99">#REF!</definedName>
    <definedName name="__Mux1">#REF!</definedName>
    <definedName name="__Mux2">#REF!</definedName>
    <definedName name="__Mux3">#REF!</definedName>
    <definedName name="__Muy1">#REF!</definedName>
    <definedName name="__Muy2">#REF!</definedName>
    <definedName name="__Muy3">#REF!</definedName>
    <definedName name="__nov01">#REF!</definedName>
    <definedName name="__nov06">#REF!</definedName>
    <definedName name="__nov97">#REF!</definedName>
    <definedName name="__nov98">#REF!</definedName>
    <definedName name="__nov99">#REF!</definedName>
    <definedName name="__occ1">#REF!</definedName>
    <definedName name="__occ2">#REF!</definedName>
    <definedName name="__oct01">#REF!</definedName>
    <definedName name="__oct06">#REF!</definedName>
    <definedName name="__oct97">#REF!</definedName>
    <definedName name="__oct98">#REF!</definedName>
    <definedName name="__oct99">#REF!</definedName>
    <definedName name="__PJ50">#REF!</definedName>
    <definedName name="__pj51">#REF!</definedName>
    <definedName name="__Pu1">#REF!</definedName>
    <definedName name="__Pu2">#REF!</definedName>
    <definedName name="__Pu3">#REF!</definedName>
    <definedName name="__rc">#REF!</definedName>
    <definedName name="__SBC1">#REF!</definedName>
    <definedName name="__SBC3">#REF!</definedName>
    <definedName name="__SBC5">#REF!</definedName>
    <definedName name="__sep01">#REF!</definedName>
    <definedName name="__sep06">#REF!</definedName>
    <definedName name="__sep97">#REF!</definedName>
    <definedName name="__sep98">#REF!</definedName>
    <definedName name="__sep99">#REF!</definedName>
    <definedName name="__tf3813">#REF!</definedName>
    <definedName name="__VPD1">#REF!</definedName>
    <definedName name="__VPI1">#REF!</definedName>
    <definedName name="__VRA1">#REF!</definedName>
    <definedName name="__Vu1">#REF!</definedName>
    <definedName name="__Vu2">#REF!</definedName>
    <definedName name="__Vu3">#REF!</definedName>
    <definedName name="__xlfn.BAHTTEXT" hidden="1">#NAME?</definedName>
    <definedName name="_1.10">#REF!</definedName>
    <definedName name="_1.11">#REF!</definedName>
    <definedName name="_1.12">#REF!</definedName>
    <definedName name="_1.13">#REF!</definedName>
    <definedName name="_1.14">#REF!</definedName>
    <definedName name="_1.15">#REF!</definedName>
    <definedName name="_1.16">#REF!</definedName>
    <definedName name="_1.17">#REF!</definedName>
    <definedName name="_1.18">#REF!</definedName>
    <definedName name="_1.19">#REF!</definedName>
    <definedName name="_1.20">#REF!</definedName>
    <definedName name="_2_10">#REF!</definedName>
    <definedName name="_2_11">#REF!</definedName>
    <definedName name="_2_12">#REF!</definedName>
    <definedName name="_2_13">#REF!</definedName>
    <definedName name="_2_14">#REF!</definedName>
    <definedName name="_2_15">#REF!</definedName>
    <definedName name="_2_16">#REF!</definedName>
    <definedName name="_2_17">#REF!</definedName>
    <definedName name="_2_18">#REF!</definedName>
    <definedName name="_3_10_1">#REF!</definedName>
    <definedName name="_3_10_2">#REF!</definedName>
    <definedName name="_3_10_3">#REF!</definedName>
    <definedName name="_3_10_4">#REF!</definedName>
    <definedName name="_3_10_5">#REF!</definedName>
    <definedName name="_3_11">#REF!</definedName>
    <definedName name="_4_10">#REF!</definedName>
    <definedName name="_4_11">#REF!</definedName>
    <definedName name="_4_12">#REF!</definedName>
    <definedName name="_5">#REF!</definedName>
    <definedName name="_5_10">#REF!</definedName>
    <definedName name="_5_11">#REF!</definedName>
    <definedName name="_5_12">#REF!</definedName>
    <definedName name="_5_13">#REF!</definedName>
    <definedName name="_5_14">#REF!</definedName>
    <definedName name="_5_15">#REF!</definedName>
    <definedName name="_5_16">#REF!</definedName>
    <definedName name="_5_17">#REF!</definedName>
    <definedName name="_5_18">#REF!</definedName>
    <definedName name="_5_19">#REF!</definedName>
    <definedName name="_5_20">#REF!</definedName>
    <definedName name="_5_21">#REF!</definedName>
    <definedName name="_5_22">#REF!</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17000">#REF!</definedName>
    <definedName name="_A20000">#REF!</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30000">#REF!</definedName>
    <definedName name="_a4" localSheetId="1"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FC1">#REF!</definedName>
    <definedName name="_AFC3">#REF!</definedName>
    <definedName name="_AFC5">#REF!</definedName>
    <definedName name="_Afe1">#REF!,#REF!</definedName>
    <definedName name="_ALL4">#REF!</definedName>
    <definedName name="_APU221">#REF!</definedName>
    <definedName name="_APU3">#REF!</definedName>
    <definedName name="_APU465">#REF!</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CAC1">#REF!</definedName>
    <definedName name="_CAC3">#REF!</definedName>
    <definedName name="_CAC5">#REF!</definedName>
    <definedName name="_CMU005" hidden="1">#REF!</definedName>
    <definedName name="_cmu05">#REF!</definedName>
    <definedName name="_Cod1">#REF!</definedName>
    <definedName name="_cua1">#REF!</definedName>
    <definedName name="_DMD1">#REF!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02">#REF!</definedName>
    <definedName name="_EXC1">#REF!</definedName>
    <definedName name="_EXC10">#REF!</definedName>
    <definedName name="_EXC11">#REF!</definedName>
    <definedName name="_EXC12">#REF!</definedName>
    <definedName name="_EXC2">#REF!</definedName>
    <definedName name="_exc24">#REF!</definedName>
    <definedName name="_EXC3">#REF!</definedName>
    <definedName name="_EXC4">#REF!</definedName>
    <definedName name="_exc40">#REF!</definedName>
    <definedName name="_EXC5">#REF!</definedName>
    <definedName name="_EXC6">#REF!</definedName>
    <definedName name="_EXC7">#REF!</definedName>
    <definedName name="_EXC8">#REF!</definedName>
    <definedName name="_EXC9">#REF!</definedName>
    <definedName name="_F" hidden="1">#REF!</definedName>
    <definedName name="_fcv1">#REF!</definedName>
    <definedName name="_FEB1">#REF!</definedName>
    <definedName name="_Fill" hidden="1">#REF!</definedName>
    <definedName name="_xlnm._FilterDatabase" localSheetId="2" hidden="1">PRESUPUESTO!#REF!</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NF1">#REF!</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hidden="1">#REF!</definedName>
    <definedName name="_key2" hidden="1">#REF!</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LMO1">#REF!</definedName>
    <definedName name="_m3" localSheetId="1"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#REF!</definedName>
    <definedName name="_MAR01">#REF!</definedName>
    <definedName name="_MAT1">#REF!</definedName>
    <definedName name="_mor15">#REF!</definedName>
    <definedName name="_MSC1">#REF!</definedName>
    <definedName name="_Mux1">#REF!</definedName>
    <definedName name="_Mux2">#REF!</definedName>
    <definedName name="_Mux3">#REF!</definedName>
    <definedName name="_Muy1">#REF!</definedName>
    <definedName name="_Muy2">#REF!</definedName>
    <definedName name="_Muy3">#REF!</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oa2">#REF!</definedName>
    <definedName name="_nyn7" localSheetId="1"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255</definedName>
    <definedName name="_p6" localSheetId="1"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J50">#REF!</definedName>
    <definedName name="_pj51">#REF!</definedName>
    <definedName name="_PRE12">#REF!</definedName>
    <definedName name="_Pu1">#REF!</definedName>
    <definedName name="_Pu2">#REF!</definedName>
    <definedName name="_Pu3">#REF!</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hidden="1">{"via1",#N/A,TRUE,"general";"via2",#N/A,TRUE,"general";"via3",#N/A,TRUE,"general"}</definedName>
    <definedName name="_rc">#REF!</definedName>
    <definedName name="_rtu6" localSheetId="1"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hidden="1">{"via1",#N/A,TRUE,"general";"via2",#N/A,TRUE,"general";"via3",#N/A,TRUE,"general"}</definedName>
    <definedName name="_SBC1">#REF!</definedName>
    <definedName name="_SBC3">#REF!</definedName>
    <definedName name="_SBC5">#REF!</definedName>
    <definedName name="_Sort" hidden="1">#REF!</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hidden="1">{"via1",#N/A,TRUE,"general";"via2",#N/A,TRUE,"general";"via3",#N/A,TRUE,"general"}</definedName>
    <definedName name="_tab1">#REF!</definedName>
    <definedName name="_tab2">#REF!</definedName>
    <definedName name="_tab3">#REF!</definedName>
    <definedName name="_TAB4">#REF!</definedName>
    <definedName name="_Table2_Out" hidden="1">#REF!</definedName>
    <definedName name="_TBV1">#REF!</definedName>
    <definedName name="_TBV1606">#REF!</definedName>
    <definedName name="_TBV3">#REF!</definedName>
    <definedName name="_tf3813">#REF!</definedName>
    <definedName name="_TRM2">#REF!</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fv4" localSheetId="1" hidden="1">{"via1",#N/A,TRUE,"general";"via2",#N/A,TRUE,"general";"via3",#N/A,TRUE,"general"}</definedName>
    <definedName name="_vfv4" hidden="1">{"via1",#N/A,TRUE,"general";"via2",#N/A,TRUE,"general";"via3",#N/A,TRUE,"general"}</definedName>
    <definedName name="_VPD1">#REF!</definedName>
    <definedName name="_VPI1">#REF!</definedName>
    <definedName name="_VRA1">#REF!</definedName>
    <definedName name="_Vu1">#REF!</definedName>
    <definedName name="_Vu2">#REF!</definedName>
    <definedName name="_Vu3">#REF!</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#REF!</definedName>
    <definedName name="A.D.CV1_Moisture">#REF!</definedName>
    <definedName name="A.D.CV2_Al">#REF!</definedName>
    <definedName name="A.D.CV2_Co">#REF!</definedName>
    <definedName name="A.D.CV2_ContainedAl">#REF!</definedName>
    <definedName name="A.D.CV2_ContainedCo">#REF!</definedName>
    <definedName name="A.D.CV2_ContainedFe">#REF!</definedName>
    <definedName name="A.D.CV2_ContainedMg">#REF!</definedName>
    <definedName name="A.D.CV2_ContainedNi">#REF!</definedName>
    <definedName name="A.D.CV2_ContainedSi">#REF!</definedName>
    <definedName name="A.D.CV2_DryTonnes">#REF!</definedName>
    <definedName name="A.D.CV2_dtph">#REF!</definedName>
    <definedName name="A.D.CV2_Fe">#REF!</definedName>
    <definedName name="A.D.CV2_Mg">#REF!</definedName>
    <definedName name="A.D.CV2_Ni">#REF!</definedName>
    <definedName name="A.D.CV2_Si">#REF!</definedName>
    <definedName name="A.D.Mill_Availability">#REF!</definedName>
    <definedName name="A.D.Mill_Downtime">#REF!</definedName>
    <definedName name="A.D.Mill_DryTonnes">#REF!</definedName>
    <definedName name="A.D.Mill_DryTph">#REF!</definedName>
    <definedName name="A.D.Mill_PowerDraw">#REF!</definedName>
    <definedName name="A.D.Mill_PowerDrawPerTonne">#REF!</definedName>
    <definedName name="A.D.Mill_Uptime">#REF!</definedName>
    <definedName name="A.D.Mill_Utilization">#REF!</definedName>
    <definedName name="A.D.Mill_WetTonnes">#REF!</definedName>
    <definedName name="A.D.Mill_WetTph">#REF!</definedName>
    <definedName name="A.D.MillFeed_Al">#REF!</definedName>
    <definedName name="A.D.MillFeed_Co">#REF!</definedName>
    <definedName name="A.D.MillFeed_Fe">#REF!</definedName>
    <definedName name="A.D.MillFeed_Mg">#REF!</definedName>
    <definedName name="A.D.MillFeed_Ni">#REF!</definedName>
    <definedName name="A.D.MillFeed_Si">#REF!</definedName>
    <definedName name="A.D.MillH2O_Head">#REF!</definedName>
    <definedName name="A.D.MillH2O_Screen">#REF!</definedName>
    <definedName name="A.D.MillH2O_Total">#REF!</definedName>
    <definedName name="A.D.OreToStorage_Al">#REF!</definedName>
    <definedName name="A.D.OreToStorage_Co">#REF!</definedName>
    <definedName name="A.D.OreToStorage_ContainedAl">#REF!</definedName>
    <definedName name="A.D.OreToStorage_ContainedCo">#REF!</definedName>
    <definedName name="A.D.OreToStorage_ContainedFe">#REF!</definedName>
    <definedName name="A.D.OreToStorage_ContainedMg">#REF!</definedName>
    <definedName name="A.D.OreToStorage_ContainedNi">#REF!</definedName>
    <definedName name="A.D.OreToStorage_ContainedSi">#REF!</definedName>
    <definedName name="A.D.OreToStorage_DryTonnes">#REF!</definedName>
    <definedName name="A.D.OreToStorage_DryTph">#REF!</definedName>
    <definedName name="A.D.OreToStorage_Fe">#REF!</definedName>
    <definedName name="A.D.OreToStorage_Mg">#REF!</definedName>
    <definedName name="A.D.OreToStorage_Ni">#REF!</definedName>
    <definedName name="A.D.OreToStorage_PulpDensity">#REF!</definedName>
    <definedName name="A.D.OreToStorage_PulpYieldStress">#REF!</definedName>
    <definedName name="A.D.OreToStorage_Si">#REF!</definedName>
    <definedName name="A.D.OreToStorage_Tank1Level">#REF!</definedName>
    <definedName name="A.D.OreToStorage_Tank2Level">#REF!</definedName>
    <definedName name="A.D.OreToStorage_Tank3Level">#REF!</definedName>
    <definedName name="A.D.OreToStorage_Tank4Level">#REF!</definedName>
    <definedName name="A.D.OreToStorage_Volume">#REF!</definedName>
    <definedName name="A.D.OreToStorage_VolumePerHr">#REF!</definedName>
    <definedName name="A.D.ROM1_PercentFed">#REF!</definedName>
    <definedName name="A.D.ROM1_TonnesFed">#REF!</definedName>
    <definedName name="A.D.ROM2_PercentFed">#REF!</definedName>
    <definedName name="A.D.ROM2_TonnesFed">#REF!</definedName>
    <definedName name="A.D.ROM3_PercentFed">#REF!</definedName>
    <definedName name="A.D.ROM3_TonnesFed">#REF!</definedName>
    <definedName name="A.D.ROM4_PercentFed">#REF!</definedName>
    <definedName name="A.D.ROM4_TonnesFed">#REF!</definedName>
    <definedName name="A.D.ROM5_PercentFed">#REF!</definedName>
    <definedName name="A.D.ROM5_TonnesFed">#REF!</definedName>
    <definedName name="A.D.Total_ContainedAl">#REF!</definedName>
    <definedName name="A.D.Total_ContainedCo">#REF!</definedName>
    <definedName name="A.D.Total_ContainedFe">#REF!</definedName>
    <definedName name="A.D.Total_ContainedMg">#REF!</definedName>
    <definedName name="A.D.Total_ContainedNi">#REF!</definedName>
    <definedName name="A.D.Total_ContainedSi">#REF!</definedName>
    <definedName name="A.M.CV1_Moisture">#REF!</definedName>
    <definedName name="A.M.CV2_Al">#REF!</definedName>
    <definedName name="A.M.CV2_Co">#REF!</definedName>
    <definedName name="A.M.CV2_DryTonnes">#REF!</definedName>
    <definedName name="A.M.CV2_dtph">#REF!</definedName>
    <definedName name="A.M.CV2_Fe">#REF!</definedName>
    <definedName name="A.M.CV2_Mg">#REF!</definedName>
    <definedName name="A.M.CV2_Ni">#REF!</definedName>
    <definedName name="A.M.CV2_Si">#REF!</definedName>
    <definedName name="A.M.Mill_Availability">#REF!</definedName>
    <definedName name="A.M.Mill_Downtime">#REF!</definedName>
    <definedName name="A.M.Mill_DryTonnes">#REF!</definedName>
    <definedName name="A.M.Mill_DryTph">#REF!</definedName>
    <definedName name="A.M.Mill_PowerDraw">#REF!</definedName>
    <definedName name="A.M.Mill_PowerDrawPerTonne">#REF!</definedName>
    <definedName name="A.M.Mill_Uptime">#REF!</definedName>
    <definedName name="A.M.Mill_Utilization">#REF!</definedName>
    <definedName name="A.M.Mill_WetTonnes">#REF!</definedName>
    <definedName name="A.M.Mill_WetTph">#REF!</definedName>
    <definedName name="A.M.MillFeed_Al">#REF!</definedName>
    <definedName name="A.M.MillFeed_Co">#REF!</definedName>
    <definedName name="A.M.MillFeed_Fe">#REF!</definedName>
    <definedName name="A.M.MillFeed_Mg">#REF!</definedName>
    <definedName name="A.M.MillFeed_Ni">#REF!</definedName>
    <definedName name="A.M.MillFeed_Si">#REF!</definedName>
    <definedName name="A.M.MillH2O_Head">#REF!</definedName>
    <definedName name="A.M.MillH2O_Screen">#REF!</definedName>
    <definedName name="A.M.MillH2O_Total">#REF!</definedName>
    <definedName name="A.M.OreToStorage_Al">#REF!</definedName>
    <definedName name="A.M.OreToStorage_Co">#REF!</definedName>
    <definedName name="A.M.OreToStorage_DryTonnes">#REF!</definedName>
    <definedName name="A.M.OreToStorage_DryTph">#REF!</definedName>
    <definedName name="A.M.OreToStorage_Fe">#REF!</definedName>
    <definedName name="A.M.OreToStorage_Mg">#REF!</definedName>
    <definedName name="A.M.OreToStorage_Ni">#REF!</definedName>
    <definedName name="A.M.OreToStorage_PulpDensity">#REF!</definedName>
    <definedName name="A.M.OreToStorage_PulpYieldStress">#REF!</definedName>
    <definedName name="A.M.OreToStorage_Si">#REF!</definedName>
    <definedName name="A.M.OreToStorage_Volume">#REF!</definedName>
    <definedName name="A.M.OreToStorage_VolumePerHr">#REF!</definedName>
    <definedName name="A.Y.CV1_Moisture">#REF!</definedName>
    <definedName name="A.Y.CV2_Al">#REF!</definedName>
    <definedName name="A.Y.CV2_Co">#REF!</definedName>
    <definedName name="A.Y.CV2_DryTonnes">#REF!</definedName>
    <definedName name="A.Y.CV2_dtph">#REF!</definedName>
    <definedName name="A.Y.CV2_Fe">#REF!</definedName>
    <definedName name="A.Y.CV2_Mg">#REF!</definedName>
    <definedName name="A.Y.CV2_Ni">#REF!</definedName>
    <definedName name="A.Y.CV2_Si">#REF!</definedName>
    <definedName name="A.Y.Mill_Availability">#REF!</definedName>
    <definedName name="A.Y.Mill_Downtime">#REF!</definedName>
    <definedName name="A.Y.Mill_DryTonnes">#REF!</definedName>
    <definedName name="A.Y.Mill_DryTph">#REF!</definedName>
    <definedName name="A.Y.Mill_PowerDraw">#REF!</definedName>
    <definedName name="A.Y.Mill_PowerDrawPerTonne">#REF!</definedName>
    <definedName name="A.Y.Mill_Uptime">#REF!</definedName>
    <definedName name="A.Y.Mill_Utilization">#REF!</definedName>
    <definedName name="A.Y.Mill_WetTonnes">#REF!</definedName>
    <definedName name="A.Y.Mill_WetTph">#REF!</definedName>
    <definedName name="A.Y.MillFeed_Al">#REF!</definedName>
    <definedName name="A.Y.MillFeed_Co">#REF!</definedName>
    <definedName name="A.Y.MillFeed_Fe">#REF!</definedName>
    <definedName name="A.Y.MillFeed_Mg">#REF!</definedName>
    <definedName name="A.Y.MillFeed_Ni">#REF!</definedName>
    <definedName name="A.Y.MillFeed_Si">#REF!</definedName>
    <definedName name="A.Y.MillH2O_Head">#REF!</definedName>
    <definedName name="A.Y.MillH2O_Screen">#REF!</definedName>
    <definedName name="A.Y.MillH2O_Total">#REF!</definedName>
    <definedName name="A.Y.OreToStorage_Al">#REF!</definedName>
    <definedName name="A.Y.OreToStorage_Co">#REF!</definedName>
    <definedName name="A.Y.OreToStorage_DryTonnes">#REF!</definedName>
    <definedName name="A.Y.OreToStorage_DryTph">#REF!</definedName>
    <definedName name="A.Y.OreToStorage_Fe">#REF!</definedName>
    <definedName name="A.Y.OreToStorage_Mg">#REF!</definedName>
    <definedName name="A.Y.OreToStorage_Ni">#REF!</definedName>
    <definedName name="A.Y.OreToStorage_PulpDensity">#REF!</definedName>
    <definedName name="A.Y.OreToStorage_PulpYieldStress">#REF!</definedName>
    <definedName name="A.Y.OreToStorage_Si">#REF!</definedName>
    <definedName name="A.Y.OreToStorage_Volume">#REF!</definedName>
    <definedName name="A.Y.OreToStorage_VolumePerHr">#REF!</definedName>
    <definedName name="a_1">#REF!</definedName>
    <definedName name="a_2">#REF!</definedName>
    <definedName name="a_3">#REF!</definedName>
    <definedName name="a_4">#REF!</definedName>
    <definedName name="A_impresión_IM">#REF!</definedName>
    <definedName name="A0">#REF!</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#REF!</definedName>
    <definedName name="AAA">#REF!</definedName>
    <definedName name="AAAA">#REF!</definedName>
    <definedName name="AAAAA">#REF!</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C">#REF!</definedName>
    <definedName name="AADOQUINVEH">#REF!</definedName>
    <definedName name="AANDENES">#REF!</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asas">#REF!</definedName>
    <definedName name="AB">#REF!</definedName>
    <definedName name="ABG">#REF!</definedName>
    <definedName name="abr00">#REF!</definedName>
    <definedName name="absc">#REF!</definedName>
    <definedName name="Ac">#REF!</definedName>
    <definedName name="ACALZADA">#REF!</definedName>
    <definedName name="ACCE2">#REF!</definedName>
    <definedName name="ACCE4">#REF!</definedName>
    <definedName name="ACCE6">#REF!</definedName>
    <definedName name="AccessDatabase" hidden="1">"A:\SAIN.mdb"</definedName>
    <definedName name="acero">#REF!</definedName>
    <definedName name="ACERO40">#REF!</definedName>
    <definedName name="ACERO60">#REF!</definedName>
    <definedName name="ACOM">#N/A</definedName>
    <definedName name="acondicionamientopozo">#REF!</definedName>
    <definedName name="Actaparcial">#REF!</definedName>
    <definedName name="actual">#REF!</definedName>
    <definedName name="ad">#REF!</definedName>
    <definedName name="Ad_Un">#REF!</definedName>
    <definedName name="adasd">#REF!</definedName>
    <definedName name="AdditionalCosts_Lumpsum">#REF!</definedName>
    <definedName name="AdditionalCosts_Percent">#REF!</definedName>
    <definedName name="ADFGSDB" localSheetId="1" hidden="1">{"via1",#N/A,TRUE,"general";"via2",#N/A,TRUE,"general";"via3",#N/A,TRUE,"general"}</definedName>
    <definedName name="ADFGSDB" hidden="1">{"via1",#N/A,TRUE,"general";"via2",#N/A,TRUE,"general";"via3",#N/A,TRUE,"general"}</definedName>
    <definedName name="ADI">#REF!</definedName>
    <definedName name="ADMINISTRADOR">#REF!</definedName>
    <definedName name="ADMINISTRADOR_VIAL__ARMANDO_SANCHEZ_SANCHEZ">#REF!</definedName>
    <definedName name="admon">#REF!</definedName>
    <definedName name="admon1">#REF!</definedName>
    <definedName name="adoq">#REF!</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#REF!</definedName>
    <definedName name="aefa" localSheetId="1" hidden="1">{"via1",#N/A,TRUE,"general";"via2",#N/A,TRUE,"general";"via3",#N/A,TRUE,"general"}</definedName>
    <definedName name="aefa" hidden="1">{"via1",#N/A,TRUE,"general";"via2",#N/A,TRUE,"general";"via3",#N/A,TRUE,"general"}</definedName>
    <definedName name="Af">#REF!</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fe">#REF!</definedName>
    <definedName name="afecompletions">#REF!</definedName>
    <definedName name="afirm">#REF!</definedName>
    <definedName name="Ag">#REF!</definedName>
    <definedName name="agdsgg" localSheetId="1" hidden="1">{"via1",#N/A,TRUE,"general";"via2",#N/A,TRUE,"general";"via3",#N/A,TRUE,"general"}</definedName>
    <definedName name="agdsgg" hidden="1">{"via1",#N/A,TRUE,"general";"via2",#N/A,TRUE,"general";"via3",#N/A,TRUE,"general"}</definedName>
    <definedName name="ago00">#REF!</definedName>
    <definedName name="AGUA">#REF!</definedName>
    <definedName name="ah">#REF!</definedName>
    <definedName name="ahe">#REF!</definedName>
    <definedName name="Ai">#REF!</definedName>
    <definedName name="AIU">#REF!</definedName>
    <definedName name="aj">#REF!</definedName>
    <definedName name="AjustDelAIU">#REF!</definedName>
    <definedName name="Ak">#REF!</definedName>
    <definedName name="ALAMBRE">#REF!</definedName>
    <definedName name="ALAMBRE_">#REF!</definedName>
    <definedName name="alc">#REF!</definedName>
    <definedName name="ALTO">#REF!</definedName>
    <definedName name="altosutro">#REF!</definedName>
    <definedName name="ALTURA">#REF!</definedName>
    <definedName name="alturaarena">#REF!</definedName>
    <definedName name="ALTURAPLACAS">#REF!</definedName>
    <definedName name="ALUMTE">#REF!</definedName>
    <definedName name="Am">#REF!</definedName>
    <definedName name="AMBIENTAL">#REF!</definedName>
    <definedName name="An">#REF!</definedName>
    <definedName name="ANA">#REF!</definedName>
    <definedName name="ANALISIS">#REF!</definedName>
    <definedName name="Analyst" hidden="1">#REF!</definedName>
    <definedName name="ancho">#REF!</definedName>
    <definedName name="anchodesarenador">#REF!</definedName>
    <definedName name="ANCHOPLACAS">#REF!</definedName>
    <definedName name="anchosutro">#REF!</definedName>
    <definedName name="andenes">#REF!</definedName>
    <definedName name="Angulo_de_platina__1_x1_x1_8">#REF!</definedName>
    <definedName name="ANOMarch02">#REF!</definedName>
    <definedName name="ANOPLMarch02">#REF!</definedName>
    <definedName name="ANORev2">#REF!</definedName>
    <definedName name="ANOTB_JUN01">#REF!</definedName>
    <definedName name="anscount" hidden="1">1</definedName>
    <definedName name="ANTIC">#REF!</definedName>
    <definedName name="ANTICIPO">#REF!</definedName>
    <definedName name="ANTONIA" localSheetId="1">IF(BALANCE!FABIAN,[0]!Header_Row+BALANCE!Number_of_Payments,[0]!Header_Row)</definedName>
    <definedName name="ANTONIA">IF([0]!FABIAN,[0]!Header_Row+[0]!Number_of_Payments,[0]!Header_Row)</definedName>
    <definedName name="Añ">#REF!</definedName>
    <definedName name="año">#REF!</definedName>
    <definedName name="año1">#REF!</definedName>
    <definedName name="AÑOWUIE">#REF!</definedName>
    <definedName name="ao">#REF!</definedName>
    <definedName name="Ap">#REF!</definedName>
    <definedName name="APIJA">#REF!</definedName>
    <definedName name="aprdata">#REF!</definedName>
    <definedName name="APU">#REF!</definedName>
    <definedName name="APU221.1">#REF!</definedName>
    <definedName name="APU221.2">#REF!</definedName>
    <definedName name="Aq">#REF!</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r">#REF!</definedName>
    <definedName name="_xlnm.Extract">#REF!</definedName>
    <definedName name="_xlnm.Print_Area" localSheetId="44">'1'!$B$2:$H$38</definedName>
    <definedName name="_xlnm.Print_Area" localSheetId="5">'1,1'!$B$2:$H$38</definedName>
    <definedName name="_xlnm.Print_Area" localSheetId="6">'2,1'!$B$2:$G$39</definedName>
    <definedName name="_xlnm.Print_Area" localSheetId="7">'2,2'!$B$2:$G$38</definedName>
    <definedName name="_xlnm.Print_Area" localSheetId="8">'2,3'!$B$2:$G$40</definedName>
    <definedName name="_xlnm.Print_Area" localSheetId="10">'3,1'!$B$2:$H$45</definedName>
    <definedName name="_xlnm.Print_Area" localSheetId="11">'3,2'!$B$2:$H$42</definedName>
    <definedName name="_xlnm.Print_Area" localSheetId="12">'4,1'!$B$2:$H$42</definedName>
    <definedName name="_xlnm.Print_Area" localSheetId="13">'4,2'!$B$2:$H$42</definedName>
    <definedName name="_xlnm.Print_Area" localSheetId="33">'5,1'!$B$2:$H$38</definedName>
    <definedName name="_xlnm.Print_Area" localSheetId="34">'6,1'!$B$2:$H$39</definedName>
    <definedName name="_xlnm.Print_Area" localSheetId="35">'6,2'!$B$2:$H$40</definedName>
    <definedName name="_xlnm.Print_Area" localSheetId="37">'APU (3)'!$B$1:$G$2422</definedName>
    <definedName name="_xlnm.Print_Area" localSheetId="19">'CONCRETOS Y MORTERO'!$B$1:$G$137</definedName>
    <definedName name="_xlnm.Print_Area" localSheetId="40">FM!$A$1:$J$56</definedName>
    <definedName name="_xlnm.Print_Area" localSheetId="4">'FP OPERATIVO'!$A$1:$AE$45</definedName>
    <definedName name="_xlnm.Print_Area" localSheetId="18">MATERIALES!$A$1:$D$150</definedName>
    <definedName name="_xlnm.Print_Area" localSheetId="21">'MEMORIA DE CALCULO'!$B$2:$L$31</definedName>
    <definedName name="_xlnm.Print_Area" localSheetId="14">'NP1'!$B$2:$H$38</definedName>
    <definedName name="_xlnm.Print_Area" localSheetId="15">'NP2'!$B$2:$H$37</definedName>
    <definedName name="_xlnm.Print_Area" localSheetId="17">'NP4'!$B$2:$H$42</definedName>
    <definedName name="_xlnm.Print_Area" localSheetId="0">P!$A$1:$F$107</definedName>
    <definedName name="_xlnm.Print_Area" localSheetId="2">PRESUPUESTO!$A$1:$F$31</definedName>
    <definedName name="_xlnm.Print_Area">#N/A</definedName>
    <definedName name="ARENA">#REF!</definedName>
    <definedName name="arg" hidden="1">#REF!</definedName>
    <definedName name="Arrendamiento">#REF!</definedName>
    <definedName name="ArrendamientoCostos">#REF!</definedName>
    <definedName name="as">#REF!</definedName>
    <definedName name="asas">#REF!</definedName>
    <definedName name="asaSASASAS">#REF!</definedName>
    <definedName name="ASB">#REF!</definedName>
    <definedName name="ASD" localSheetId="1"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d">#REF!</definedName>
    <definedName name="asdf" localSheetId="1"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fasd" localSheetId="1"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hidden="1">{"via1",#N/A,TRUE,"general";"via2",#N/A,TRUE,"general";"via3",#N/A,TRUE,"general"}</definedName>
    <definedName name="AsistenciaCarretera">#REF!</definedName>
    <definedName name="AsistenciaCostos">#REF!</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ssdf">#REF!</definedName>
    <definedName name="assetclass">#REF!</definedName>
    <definedName name="assetclass2">#REF!</definedName>
    <definedName name="assetclass3">#REF!</definedName>
    <definedName name="At">#REF!</definedName>
    <definedName name="au">#REF!</definedName>
    <definedName name="aur">#REF!</definedName>
    <definedName name="auto1">#REF!</definedName>
    <definedName name="auto2">#REF!</definedName>
    <definedName name="av">#REF!</definedName>
    <definedName name="AVIGA">#REF!</definedName>
    <definedName name="ax">#REF!</definedName>
    <definedName name="Ay">#REF!</definedName>
    <definedName name="AYUDANTE">#REF!</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#REF!</definedName>
    <definedName name="B.DATOS">#REF!</definedName>
    <definedName name="B_impresión_IM">#REF!</definedName>
    <definedName name="Ba">#REF!</definedName>
    <definedName name="BAJA">#REF!</definedName>
    <definedName name="BALASTO">#REF!</definedName>
    <definedName name="BALDOSIN">#REF!</definedName>
    <definedName name="Ballincourt">#REF!</definedName>
    <definedName name="Banda2">#REF!</definedName>
    <definedName name="Banda2a">#REF!</definedName>
    <definedName name="Base">#REF!</definedName>
    <definedName name="base_datos_t45">#REF!</definedName>
    <definedName name="Base_Mat">#REF!</definedName>
    <definedName name="Base_MO">#REF!</definedName>
    <definedName name="base_VaR">#REF!</definedName>
    <definedName name="BaseDate">#REF!</definedName>
    <definedName name="BaseDatos_Ore1">#REF!</definedName>
    <definedName name="BaseDatos_T831">#REF!</definedName>
    <definedName name="_xlnm.Database">#REF!</definedName>
    <definedName name="BasePeriod">#REF!</definedName>
    <definedName name="bb">#REF!</definedName>
    <definedName name="bbb">#REF!</definedName>
    <definedName name="bbbbbb" localSheetId="1" hidden="1">{"via1",#N/A,TRUE,"general";"via2",#N/A,TRUE,"general";"via3",#N/A,TRUE,"general"}</definedName>
    <definedName name="bbbbbb" hidden="1">{"via1",#N/A,TRUE,"general";"via2",#N/A,TRUE,"general";"via3",#N/A,TRUE,"general"}</definedName>
    <definedName name="BBBBBBBB">#REF!</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#REF!</definedName>
    <definedName name="BDFB" localSheetId="1"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#REF!</definedName>
    <definedName name="Beg_Bal">#REF!</definedName>
    <definedName name="Bf">#REF!</definedName>
    <definedName name="bfgxddvd">#REF!</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#REF!</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h">#REF!</definedName>
    <definedName name="bgvfcdx" localSheetId="1" hidden="1">{"via1",#N/A,TRUE,"general";"via2",#N/A,TRUE,"general";"via3",#N/A,TRUE,"general"}</definedName>
    <definedName name="bgvfcdx" hidden="1">{"via1",#N/A,TRUE,"general";"via2",#N/A,TRUE,"general";"via3",#N/A,TRUE,"general"}</definedName>
    <definedName name="Bh">#REF!</definedName>
    <definedName name="BHT">#REF!</definedName>
    <definedName name="Bi">#REF!</definedName>
    <definedName name="bid_expiration">#REF!</definedName>
    <definedName name="Bid_Received">#REF!</definedName>
    <definedName name="BID_SENT">#REF!</definedName>
    <definedName name="Bid1DOD">#REF!</definedName>
    <definedName name="Bid1Ext">#REF!</definedName>
    <definedName name="Bid1Qty">#REF!</definedName>
    <definedName name="Bid1TAC">#REF!</definedName>
    <definedName name="Bid1Unevalcost">#REF!</definedName>
    <definedName name="Bid1UNIT">#REF!</definedName>
    <definedName name="Bid2DOD">#REF!</definedName>
    <definedName name="Bid2Ext">#REF!</definedName>
    <definedName name="Bid2Qty">#REF!</definedName>
    <definedName name="Bid2TAC">#REF!</definedName>
    <definedName name="Bid2Unevalcost">#REF!</definedName>
    <definedName name="Bid2UNIT">#REF!</definedName>
    <definedName name="Bid3DOD">#REF!</definedName>
    <definedName name="Bid3Ext">#REF!</definedName>
    <definedName name="Bid3Qty">#REF!</definedName>
    <definedName name="Bid3TAC">#REF!</definedName>
    <definedName name="Bid3unevalcost">#REF!</definedName>
    <definedName name="Bid3Unit">#REF!</definedName>
    <definedName name="Bid4DOD">#REF!</definedName>
    <definedName name="Bid4Ext">#REF!</definedName>
    <definedName name="Bid4Qty">#REF!</definedName>
    <definedName name="Bid4TAC">#REF!</definedName>
    <definedName name="Bid4unevalcost">#REF!</definedName>
    <definedName name="Bid4Unit">#REF!</definedName>
    <definedName name="Bidlist">"List Box 6"</definedName>
    <definedName name="BidRange">#REF!</definedName>
    <definedName name="bimestre">#REF!</definedName>
    <definedName name="BJHVVHGH" localSheetId="44">DATE(YEAR([0]!Loan_Start),MONTH([0]!Loan_Start)+Payment_Number,DAY([0]!Loan_Start))</definedName>
    <definedName name="BJHVVHGH" localSheetId="5">DATE(YEAR([0]!Loan_Start),MONTH([0]!Loan_Start)+Payment_Number,DAY([0]!Loan_Start))</definedName>
    <definedName name="BJHVVHGH" localSheetId="6">DATE(YEAR([0]!Loan_Start),MONTH([0]!Loan_Start)+Payment_Number,DAY([0]!Loan_Start))</definedName>
    <definedName name="BJHVVHGH" localSheetId="7">DATE(YEAR([0]!Loan_Start),MONTH([0]!Loan_Start)+Payment_Number,DAY([0]!Loan_Start))</definedName>
    <definedName name="BJHVVHGH" localSheetId="8">DATE(YEAR([0]!Loan_Start),MONTH([0]!Loan_Start)+Payment_Number,DAY([0]!Loan_Start))</definedName>
    <definedName name="BJHVVHGH" localSheetId="9">DATE(YEAR([0]!Loan_Start),MONTH([0]!Loan_Start)+Payment_Number,DAY([0]!Loan_Start))</definedName>
    <definedName name="BJHVVHGH" localSheetId="10">DATE(YEAR([0]!Loan_Start),MONTH([0]!Loan_Start)+Payment_Number,DAY([0]!Loan_Start))</definedName>
    <definedName name="BJHVVHGH" localSheetId="11">DATE(YEAR([0]!Loan_Start),MONTH([0]!Loan_Start)+Payment_Number,DAY([0]!Loan_Start))</definedName>
    <definedName name="BJHVVHGH" localSheetId="12">DATE(YEAR([0]!Loan_Start),MONTH([0]!Loan_Start)+Payment_Number,DAY([0]!Loan_Start))</definedName>
    <definedName name="BJHVVHGH" localSheetId="13">DATE(YEAR([0]!Loan_Start),MONTH([0]!Loan_Start)+Payment_Number,DAY([0]!Loan_Start))</definedName>
    <definedName name="BJHVVHGH" localSheetId="33">DATE(YEAR([0]!Loan_Start),MONTH([0]!Loan_Start)+Payment_Number,DAY([0]!Loan_Start))</definedName>
    <definedName name="BJHVVHGH" localSheetId="34">DATE(YEAR([0]!Loan_Start),MONTH([0]!Loan_Start)+Payment_Number,DAY([0]!Loan_Start))</definedName>
    <definedName name="BJHVVHGH" localSheetId="35">DATE(YEAR([0]!Loan_Start),MONTH([0]!Loan_Start)+Payment_Number,DAY([0]!Loan_Start))</definedName>
    <definedName name="BJHVVHGH" localSheetId="37">DATE(YEAR([0]!Loan_Start),MONTH([0]!Loan_Start)+Payment_Number,DAY([0]!Loan_Start))</definedName>
    <definedName name="BJHVVHGH" localSheetId="1">DATE(YEAR([0]!Loan_Start),MONTH([0]!Loan_Start)+Payment_Number,DAY([0]!Loan_Start))</definedName>
    <definedName name="BJHVVHGH" localSheetId="14">DATE(YEAR([0]!Loan_Start),MONTH([0]!Loan_Start)+Payment_Number,DAY([0]!Loan_Start))</definedName>
    <definedName name="BJHVVHGH" localSheetId="15">DATE(YEAR([0]!Loan_Start),MONTH([0]!Loan_Start)+Payment_Number,DAY([0]!Loan_Start))</definedName>
    <definedName name="BJHVVHGH" localSheetId="16">DATE(YEAR([0]!Loan_Start),MONTH([0]!Loan_Start)+Payment_Number,DAY([0]!Loan_Start))</definedName>
    <definedName name="BJHVVHGH" localSheetId="17">DATE(YEAR([0]!Loan_Start),MONTH([0]!Loan_Start)+Payment_Number,DAY([0]!Loan_Start))</definedName>
    <definedName name="BJHVVHGH">DATE(YEAR([0]!Loan_Start),MONTH([0]!Loan_Start)+Payment_Number,DAY([0]!Loan_Start))</definedName>
    <definedName name="Bk">#REF!</definedName>
    <definedName name="bl">#REF!</definedName>
    <definedName name="BLOQUE">#REF!</definedName>
    <definedName name="Bm">#REF!</definedName>
    <definedName name="BMBTU">#REF!</definedName>
    <definedName name="BMCoalPrice">#REF!</definedName>
    <definedName name="Bn">#REF!</definedName>
    <definedName name="bnm">#REF!</definedName>
    <definedName name="BOMBAS">#N/A</definedName>
    <definedName name="BOMBASTABLA2.2">#REF!</definedName>
    <definedName name="BOMBEOALCANTARILLADOTABLA1.9">#REF!</definedName>
    <definedName name="BORDE1">#REF!</definedName>
    <definedName name="BORDE2">#REF!</definedName>
    <definedName name="BORDE3">#REF!</definedName>
    <definedName name="bordillo">#REF!</definedName>
    <definedName name="BorraR">#REF!</definedName>
    <definedName name="Bp">#REF!</definedName>
    <definedName name="BPSRate_Month">#REF!</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reaker_Indus.Merlin_G.3x150A">#REF!</definedName>
    <definedName name="Brilladora">#REF!</definedName>
    <definedName name="BS_Data_Col" hidden="1">#REF!</definedName>
    <definedName name="bsb" localSheetId="1" hidden="1">{"via1",#N/A,TRUE,"general";"via2",#N/A,TRUE,"general";"via3",#N/A,TRUE,"general"}</definedName>
    <definedName name="bsb" hidden="1">{"via1",#N/A,TRUE,"general";"via2",#N/A,TRUE,"general";"via3",#N/A,TRUE,"general"}</definedName>
    <definedName name="BSpb" hidden="1">#REF!</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t" localSheetId="1"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DGET">#REF!</definedName>
    <definedName name="BUDGET_VALUE">#REF!</definedName>
    <definedName name="budgeted">#REF!</definedName>
    <definedName name="bueno">#REF!</definedName>
    <definedName name="BUENO4006">#REF!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iltIn_Print_Area">#REF!</definedName>
    <definedName name="BuiltIn_Print_Area___0">#REF!</definedName>
    <definedName name="BuiltIn_Print_Titles">#N/A</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w">#REF!</definedName>
    <definedName name="by" localSheetId="1" hidden="1">{"via1",#N/A,TRUE,"general";"via2",#N/A,TRUE,"general";"via3",#N/A,TRUE,"general"}</definedName>
    <definedName name="by" hidden="1">{"via1",#N/A,TRUE,"general";"via2",#N/A,TRUE,"general";"via3",#N/A,TRUE,"general"}</definedName>
    <definedName name="BytMesInicioInctoMmto">#REF!</definedName>
    <definedName name="C.1">#REF!</definedName>
    <definedName name="C.10">#REF!</definedName>
    <definedName name="C.11">#REF!</definedName>
    <definedName name="C.2">#REF!</definedName>
    <definedName name="C.3">#REF!</definedName>
    <definedName name="C.4">#REF!</definedName>
    <definedName name="C.5">#REF!</definedName>
    <definedName name="C.6">#REF!</definedName>
    <definedName name="C.7">#REF!</definedName>
    <definedName name="C.8">#REF!</definedName>
    <definedName name="C.9">#REF!</definedName>
    <definedName name="C_">#REF!</definedName>
    <definedName name="Ca">#REF!</definedName>
    <definedName name="CAB">#N/A</definedName>
    <definedName name="CABALLETE">#REF!</definedName>
    <definedName name="CADENERO">#REF!</definedName>
    <definedName name="caja">#REF!</definedName>
    <definedName name="CALCULO">#REF!</definedName>
    <definedName name="calculopozo1">#REF!</definedName>
    <definedName name="CALCULOPOZOS">#REF!</definedName>
    <definedName name="calculopozos1">#REF!</definedName>
    <definedName name="CALCULOS">#REF!</definedName>
    <definedName name="CALCULOSALCANTARILLADO">#REF!</definedName>
    <definedName name="CALE">#REF!</definedName>
    <definedName name="CALEND">#REF!</definedName>
    <definedName name="CALENDA">#REF!</definedName>
    <definedName name="Calendar">#REF!</definedName>
    <definedName name="CALENDARIO">#REF!</definedName>
    <definedName name="CalP">#REF!</definedName>
    <definedName name="cama">#REF!</definedName>
    <definedName name="cambio">#REF!</definedName>
    <definedName name="CanonesMedida">#REF!</definedName>
    <definedName name="CanonFcro">#REF!</definedName>
    <definedName name="CanonImpuestos">#REF!</definedName>
    <definedName name="CanonMedidaEspecial">#REF!</definedName>
    <definedName name="CanonMmto">#REF!</definedName>
    <definedName name="CanonSeguro">#REF!</definedName>
    <definedName name="CanonSoat">#REF!</definedName>
    <definedName name="CanonTotal">#REF!</definedName>
    <definedName name="CanonTramites">#REF!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ades">#REF!</definedName>
    <definedName name="CANTIDADESDEOBRA">#REF!</definedName>
    <definedName name="CAOLIN">#REF!</definedName>
    <definedName name="CAP">#REF!</definedName>
    <definedName name="CAPATAZ_I">"TABLA1"</definedName>
    <definedName name="Capex">#REF!</definedName>
    <definedName name="CapexFac">#REF!</definedName>
    <definedName name="CapitalCongelado">#REF!</definedName>
    <definedName name="Capitalpb" hidden="1">#REF!</definedName>
    <definedName name="CapitalStructure" hidden="1">#REF!</definedName>
    <definedName name="CapTarget">#REF!</definedName>
    <definedName name="CapTotalCol">#REF!</definedName>
    <definedName name="CARBON">#REF!</definedName>
    <definedName name="CARGA">#N/A</definedName>
    <definedName name="CARGO">#REF!</definedName>
    <definedName name="CARLOS" localSheetId="44">DATE(YEAR([0]!Loan_Start),MONTH([0]!Loan_Start)+Payment_Number,DAY([0]!Loan_Start))</definedName>
    <definedName name="CARLOS" localSheetId="5">DATE(YEAR([0]!Loan_Start),MONTH([0]!Loan_Start)+Payment_Number,DAY([0]!Loan_Start))</definedName>
    <definedName name="CARLOS" localSheetId="6">DATE(YEAR([0]!Loan_Start),MONTH([0]!Loan_Start)+Payment_Number,DAY([0]!Loan_Start))</definedName>
    <definedName name="CARLOS" localSheetId="7">DATE(YEAR([0]!Loan_Start),MONTH([0]!Loan_Start)+Payment_Number,DAY([0]!Loan_Start))</definedName>
    <definedName name="CARLOS" localSheetId="8">DATE(YEAR([0]!Loan_Start),MONTH([0]!Loan_Start)+Payment_Number,DAY([0]!Loan_Start))</definedName>
    <definedName name="CARLOS" localSheetId="9">DATE(YEAR([0]!Loan_Start),MONTH([0]!Loan_Start)+Payment_Number,DAY([0]!Loan_Start))</definedName>
    <definedName name="CARLOS" localSheetId="10">DATE(YEAR([0]!Loan_Start),MONTH([0]!Loan_Start)+Payment_Number,DAY([0]!Loan_Start))</definedName>
    <definedName name="CARLOS" localSheetId="11">DATE(YEAR([0]!Loan_Start),MONTH([0]!Loan_Start)+Payment_Number,DAY([0]!Loan_Start))</definedName>
    <definedName name="CARLOS" localSheetId="12">DATE(YEAR([0]!Loan_Start),MONTH([0]!Loan_Start)+Payment_Number,DAY([0]!Loan_Start))</definedName>
    <definedName name="CARLOS" localSheetId="13">DATE(YEAR([0]!Loan_Start),MONTH([0]!Loan_Start)+Payment_Number,DAY([0]!Loan_Start))</definedName>
    <definedName name="CARLOS" localSheetId="33">DATE(YEAR([0]!Loan_Start),MONTH([0]!Loan_Start)+Payment_Number,DAY([0]!Loan_Start))</definedName>
    <definedName name="CARLOS" localSheetId="34">DATE(YEAR([0]!Loan_Start),MONTH([0]!Loan_Start)+Payment_Number,DAY([0]!Loan_Start))</definedName>
    <definedName name="CARLOS" localSheetId="35">DATE(YEAR([0]!Loan_Start),MONTH([0]!Loan_Start)+Payment_Number,DAY([0]!Loan_Start))</definedName>
    <definedName name="CARLOS" localSheetId="37">DATE(YEAR([0]!Loan_Start),MONTH([0]!Loan_Start)+Payment_Number,DAY([0]!Loan_Start))</definedName>
    <definedName name="CARLOS" localSheetId="1">DATE(YEAR([0]!Loan_Start),MONTH([0]!Loan_Start)+Payment_Number,DAY([0]!Loan_Start))</definedName>
    <definedName name="CARLOS" localSheetId="14">DATE(YEAR([0]!Loan_Start),MONTH([0]!Loan_Start)+Payment_Number,DAY([0]!Loan_Start))</definedName>
    <definedName name="CARLOS" localSheetId="15">DATE(YEAR([0]!Loan_Start),MONTH([0]!Loan_Start)+Payment_Number,DAY([0]!Loan_Start))</definedName>
    <definedName name="CARLOS" localSheetId="16">DATE(YEAR([0]!Loan_Start),MONTH([0]!Loan_Start)+Payment_Number,DAY([0]!Loan_Start))</definedName>
    <definedName name="CARLOS" localSheetId="17">DATE(YEAR([0]!Loan_Start),MONTH([0]!Loan_Start)+Payment_Number,DAY([0]!Loan_Start))</definedName>
    <definedName name="CARLOS">DATE(YEAR([0]!Loan_Start),MONTH([0]!Loan_Start)+Payment_Number,DAY([0]!Loan_Start))</definedName>
    <definedName name="CAROL">#REF!</definedName>
    <definedName name="carol1">#REF!</definedName>
    <definedName name="CARRETERAS">#REF!</definedName>
    <definedName name="Cashpb" hidden="1">#REF!</definedName>
    <definedName name="cat">#REF!</definedName>
    <definedName name="Cat1Life">#REF!</definedName>
    <definedName name="Cat1Rate">#REF!</definedName>
    <definedName name="Cat1Salvage">#REF!</definedName>
    <definedName name="Cat2Life">#REF!</definedName>
    <definedName name="Cat2Rate">#REF!</definedName>
    <definedName name="Cat2Salvage">#REF!</definedName>
    <definedName name="Cat3Life">#REF!</definedName>
    <definedName name="Cat3Rate">#REF!</definedName>
    <definedName name="Cat3Salvage">#REF!</definedName>
    <definedName name="Cat4Life">#REF!</definedName>
    <definedName name="Cat4Rate">#REF!</definedName>
    <definedName name="Cat4Salvage">#REF!</definedName>
    <definedName name="causa">#REF!</definedName>
    <definedName name="CB">#REF!</definedName>
    <definedName name="cc">#REF!</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#REF!</definedName>
    <definedName name="CContLab">#REF!</definedName>
    <definedName name="CContParts">#REF!</definedName>
    <definedName name="ccto210">#REF!</definedName>
    <definedName name="cd">#REF!</definedName>
    <definedName name="cdcdc" localSheetId="1" hidden="1">{"via1",#N/A,TRUE,"general";"via2",#N/A,TRUE,"general";"via3",#N/A,TRUE,"general"}</definedName>
    <definedName name="cdcdc" hidden="1">{"via1",#N/A,TRUE,"general";"via2",#N/A,TRUE,"general";"via3",#N/A,TRUE,"general"}</definedName>
    <definedName name="CDctrl">#REF!</definedName>
    <definedName name="Ce">#REF!</definedName>
    <definedName name="CEBLANCO">#REF!</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MENTO">#REF!</definedName>
    <definedName name="Cera_para_pisos">#REF!</definedName>
    <definedName name="Cf">#REF!</definedName>
    <definedName name="Cg">#REF!</definedName>
    <definedName name="CGET">#REF!</definedName>
    <definedName name="Ch">#REF!</definedName>
    <definedName name="CH_Infra_Capex">#REF!</definedName>
    <definedName name="Change_in_Cash" hidden="1">#REF!</definedName>
    <definedName name="Check_to_Cash" hidden="1">#REF!</definedName>
    <definedName name="CHINA">#REF!</definedName>
    <definedName name="Ci">#REF!</definedName>
    <definedName name="CIRCUITOS">#REF!</definedName>
    <definedName name="Cj">#REF!</definedName>
    <definedName name="Ck">#REF!</definedName>
    <definedName name="clase">#REF!</definedName>
    <definedName name="class2">#REF!</definedName>
    <definedName name="class3">#REF!</definedName>
    <definedName name="classification">#REF!</definedName>
    <definedName name="Client">#REF!</definedName>
    <definedName name="Client_name">#REF!</definedName>
    <definedName name="Client_ref_number">#REF!</definedName>
    <definedName name="Cll">#REF!</definedName>
    <definedName name="CLube">#REF!</definedName>
    <definedName name="Cm">#REF!</definedName>
    <definedName name="CMina">#REF!</definedName>
    <definedName name="cmuooo5">#REF!</definedName>
    <definedName name="Cn">#REF!</definedName>
    <definedName name="Cñ">#REF!</definedName>
    <definedName name="co">#REF!</definedName>
    <definedName name="Coal">#REF!</definedName>
    <definedName name="Coal_Closing_Stock">#REF!</definedName>
    <definedName name="Coal_DB">#REF!</definedName>
    <definedName name="Coal1">#REF!</definedName>
    <definedName name="Coal2">#REF!</definedName>
    <definedName name="Coal3">#REF!</definedName>
    <definedName name="Coal4">#REF!</definedName>
    <definedName name="CoalFleet">#REF!</definedName>
    <definedName name="CoalLoad">#REF!</definedName>
    <definedName name="CoalOpCost">#REF!</definedName>
    <definedName name="CoalOverCap">#REF!</definedName>
    <definedName name="CoalPriceFac">#REF!</definedName>
    <definedName name="CoalRepl">#REF!</definedName>
    <definedName name="CoalUtil">#REF!</definedName>
    <definedName name="Cod">#REF!</definedName>
    <definedName name="CODOS">#REF!</definedName>
    <definedName name="Codos_PVC_3">#REF!</definedName>
    <definedName name="coe">#REF!</definedName>
    <definedName name="Coef.erradas">#REF!</definedName>
    <definedName name="COEF.INFILT">#REF!</definedName>
    <definedName name="coef.retorno">#REF!</definedName>
    <definedName name="coeficienterugosidad">#REF!</definedName>
    <definedName name="COHaul">#REF!</definedName>
    <definedName name="col_dos">#REF!</definedName>
    <definedName name="COLBOR">#REF!</definedName>
    <definedName name="ComBid1">#REF!</definedName>
    <definedName name="ComBid1CurrCode">#REF!</definedName>
    <definedName name="ComBid1EvalTotal">#REF!</definedName>
    <definedName name="ComBid1LeadTime">#REF!</definedName>
    <definedName name="ComBid1Number">#REF!</definedName>
    <definedName name="ComBid1PayTerms">#REF!</definedName>
    <definedName name="ComBid1Penalty">#REF!</definedName>
    <definedName name="ComBid1PromiseDate">#REF!</definedName>
    <definedName name="ComBid1Rate">#REF!</definedName>
    <definedName name="ComBid1Retention">#REF!</definedName>
    <definedName name="ComBid1Total">#REF!</definedName>
    <definedName name="ComBid2">#REF!</definedName>
    <definedName name="ComBid2CurrCode">#REF!</definedName>
    <definedName name="ComBid2EvalTotal">#REF!</definedName>
    <definedName name="ComBid2LeadTime">#REF!</definedName>
    <definedName name="ComBid2Number">#REF!</definedName>
    <definedName name="ComBid2PayTerms">#REF!</definedName>
    <definedName name="ComBid2Penalty">#REF!</definedName>
    <definedName name="ComBid2PromiseDate">#REF!</definedName>
    <definedName name="ComBid2Rate">#REF!</definedName>
    <definedName name="ComBid2Retention">#REF!</definedName>
    <definedName name="ComBid2Total">#REF!</definedName>
    <definedName name="ComBid3">#REF!</definedName>
    <definedName name="ComBid3CurrCode">#REF!</definedName>
    <definedName name="ComBid3EvalTotal">#REF!</definedName>
    <definedName name="ComBid3LeadTime">#REF!</definedName>
    <definedName name="comBid3Number">#REF!</definedName>
    <definedName name="ComBid3PayTerms">#REF!</definedName>
    <definedName name="ComBid3Penalty">#REF!</definedName>
    <definedName name="ComBid3PromiseDate">#REF!</definedName>
    <definedName name="ComBid3Rate">#REF!</definedName>
    <definedName name="ComBid3Retention">#REF!</definedName>
    <definedName name="ComBid3Total">#REF!</definedName>
    <definedName name="ComBid4">#REF!</definedName>
    <definedName name="ComBid4CurrCode">#REF!</definedName>
    <definedName name="ComBid4EvalTotal">#REF!</definedName>
    <definedName name="ComBid4LeadTime">#REF!</definedName>
    <definedName name="ComBid4Number">#REF!</definedName>
    <definedName name="ComBid4PayTerms">#REF!</definedName>
    <definedName name="ComBid4Penalty">#REF!</definedName>
    <definedName name="ComBid4PromiseDate">#REF!</definedName>
    <definedName name="ComBid4Rate">#REF!</definedName>
    <definedName name="ComBid4Retention">#REF!</definedName>
    <definedName name="ComBid4Total">#REF!</definedName>
    <definedName name="ComBidRange">#REF!</definedName>
    <definedName name="Combustible">#REF!</definedName>
    <definedName name="CombustibleCostos">#REF!</definedName>
    <definedName name="COMEstAward_date">#REF!</definedName>
    <definedName name="COMJob_Number">#REF!</definedName>
    <definedName name="COMMR_description">#REF!</definedName>
    <definedName name="COMMRNumber">#REF!</definedName>
    <definedName name="comp">#REF!</definedName>
    <definedName name="compactacion">#REF!</definedName>
    <definedName name="COMPenalty">#REF!</definedName>
    <definedName name="COMProject_Currency">#REF!</definedName>
    <definedName name="COMProject_name">#REF!</definedName>
    <definedName name="CONCRE123">#REF!</definedName>
    <definedName name="CONCRE124">#REF!</definedName>
    <definedName name="concre15">#REF!</definedName>
    <definedName name="CONCRE25">#REF!</definedName>
    <definedName name="concre3000">#REF!</definedName>
    <definedName name="concre35">#REF!</definedName>
    <definedName name="concreto">#REF!</definedName>
    <definedName name="concreto3000">#REF!</definedName>
    <definedName name="concretoplaca">#REF!</definedName>
    <definedName name="CONDUCCION331">#REF!</definedName>
    <definedName name="CONDUCCIONTABLA3.3.1">#REF!</definedName>
    <definedName name="Conductores">#REF!</definedName>
    <definedName name="ConductoresCostos">#REF!</definedName>
    <definedName name="conexiondomiciliaria">#REF!</definedName>
    <definedName name="Congelar_Capital_Vencido">#REF!</definedName>
    <definedName name="cons">#REF!</definedName>
    <definedName name="CONSOLIDADO">#REF!</definedName>
    <definedName name="CONSORCIO">#REF!</definedName>
    <definedName name="constr">#REF!</definedName>
    <definedName name="consum">#REF!</definedName>
    <definedName name="consumo">#REF!</definedName>
    <definedName name="CONTADO">#REF!</definedName>
    <definedName name="ContLabCostOutput">#REF!</definedName>
    <definedName name="ContPartsCostOutput">#REF!</definedName>
    <definedName name="Contrato">#REF!</definedName>
    <definedName name="copia">#REF!</definedName>
    <definedName name="corte">#REF!</definedName>
    <definedName name="corterocoso">#REF!</definedName>
    <definedName name="cost_analysis">#REF!</definedName>
    <definedName name="COST_CENTRES">#REF!</definedName>
    <definedName name="CostCode">#REF!</definedName>
    <definedName name="COSTOPERSONALTABLA1.5.3">#REF!</definedName>
    <definedName name="COSTOPERSONALTABLA1.5.4">#REF!</definedName>
    <definedName name="COSTOPERSONALTABLA1.5.5">#REF!</definedName>
    <definedName name="COSTOREDESALCTABLA7.4">#REF!</definedName>
    <definedName name="COSTOREDESTABLA7.3">#REF!</definedName>
    <definedName name="COSTOSCONDUCCIONACU">#REF!</definedName>
    <definedName name="cotas">#REF!</definedName>
    <definedName name="count">#REF!</definedName>
    <definedName name="counter">#REF!</definedName>
    <definedName name="COUNTRY_OF_ORIGIN">#REF!</definedName>
    <definedName name="cp">#REF!</definedName>
    <definedName name="CPlanta">#REF!</definedName>
    <definedName name="Cq">#REF!</definedName>
    <definedName name="Cr">#REF!</definedName>
    <definedName name="CRandM">#REF!</definedName>
    <definedName name="CREDITO">#REF!</definedName>
    <definedName name="CRITERIO">#REF!</definedName>
    <definedName name="_xlnm.Criteria">#REF!</definedName>
    <definedName name="Criticos">#REF!</definedName>
    <definedName name="CRP">#REF!</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ruceta_metálica_en_ángulo_de__2m_x_2_5__x_2_5__x_1_4_.">"Prueba1"</definedName>
    <definedName name="Cs">#REF!</definedName>
    <definedName name="Ct">#REF!</definedName>
    <definedName name="CTyre">#REF!</definedName>
    <definedName name="Cu">#REF!</definedName>
    <definedName name="CUAALB">#REF!</definedName>
    <definedName name="CUACON">#REF!</definedName>
    <definedName name="CUAD">#REF!</definedName>
    <definedName name="cuad1">#REF!</definedName>
    <definedName name="cuad2">#REF!</definedName>
    <definedName name="cuad3">#REF!</definedName>
    <definedName name="cuad4">#REF!</definedName>
    <definedName name="CUAD5">#REF!</definedName>
    <definedName name="cuado">#REF!</definedName>
    <definedName name="cuadr">#REF!</definedName>
    <definedName name="CUADRILLA">#REF!</definedName>
    <definedName name="Cuadrillas">#REF!</definedName>
    <definedName name="CUADRO1">#REF!</definedName>
    <definedName name="CUAEXC">#REF!</definedName>
    <definedName name="CUAPLO">#REF!</definedName>
    <definedName name="CUATOP">#REF!</definedName>
    <definedName name="cube">#REF!</definedName>
    <definedName name="CUBE_UNIT">#REF!</definedName>
    <definedName name="CUBS">#REF!</definedName>
    <definedName name="Cumm_Us_inf">#REF!</definedName>
    <definedName name="CUNET" localSheetId="1" hidden="1">{"via1",#N/A,TRUE,"general";"via2",#N/A,TRUE,"general";"via3",#N/A,TRUE,"general"}</definedName>
    <definedName name="CUNET" hidden="1">{"via1",#N/A,TRUE,"general";"via2",#N/A,TRUE,"general";"via3",#N/A,TRUE,"general"}</definedName>
    <definedName name="cuneta">#REF!</definedName>
    <definedName name="curAsisCarr1A">#REF!</definedName>
    <definedName name="curCanDTFSemana">#REF!</definedName>
    <definedName name="CurCanonPorMillon">#REF!</definedName>
    <definedName name="CurCostComGl1a">#REF!</definedName>
    <definedName name="CurCostoCondMes">#REF!</definedName>
    <definedName name="CurCostoImptoTimbre">#REF!</definedName>
    <definedName name="CurCostoKm10A">#REF!</definedName>
    <definedName name="CurCostoKm11A">#REF!</definedName>
    <definedName name="CurCostoKm1A">#REF!</definedName>
    <definedName name="CurCostoKm2A">#REF!</definedName>
    <definedName name="CurCostoKm3A">#REF!</definedName>
    <definedName name="CurCostoKm4A">#REF!</definedName>
    <definedName name="CurCostoKm5A">#REF!</definedName>
    <definedName name="CurCostoKm6A">#REF!</definedName>
    <definedName name="CurCostoKm7A">#REF!</definedName>
    <definedName name="CurCostoKm8A">#REF!</definedName>
    <definedName name="CurCostoKm9A">#REF!</definedName>
    <definedName name="CurCostoLlantas">#REF!</definedName>
    <definedName name="CurCostoMttoFKm10A">#REF!</definedName>
    <definedName name="CurCostoMttoFKm1A">#REF!</definedName>
    <definedName name="CurCostoMttoFKm2A">#REF!</definedName>
    <definedName name="CurCostoMttoFKm3A">#REF!</definedName>
    <definedName name="CurCostoMttoFKm4A">#REF!</definedName>
    <definedName name="CurCostoMttoFKm5A">#REF!</definedName>
    <definedName name="CurCostoMttoFKm6A">#REF!</definedName>
    <definedName name="CurCostoMttoFKm7A">#REF!</definedName>
    <definedName name="CurCostoMttoFKm8A">#REF!</definedName>
    <definedName name="CurCostoMttoFKm9A">#REF!</definedName>
    <definedName name="CurCostoOportunidadFcroEntrega">#REF!</definedName>
    <definedName name="CurCostosMargendeNegociacion">#REF!</definedName>
    <definedName name="CurCostoVentaVehCliente">#REF!</definedName>
    <definedName name="CurDescuentoAccesorio">#REF!</definedName>
    <definedName name="CurDTFMaxima">#REF!</definedName>
    <definedName name="CurDTFminima">#REF!</definedName>
    <definedName name="CurDTFSemaTriAntic">#REF!</definedName>
    <definedName name="CurFuelCargoMensual">#REF!</definedName>
    <definedName name="CurFuelEquipo">#REF!</definedName>
    <definedName name="CurGPSCargoMensual">#REF!</definedName>
    <definedName name="CurGPSEquipo">#REF!</definedName>
    <definedName name="CurImptoRod1A">#REF!</definedName>
    <definedName name="CurImptoTimRetoma">#REF!</definedName>
    <definedName name="curIpcProye10A">#REF!</definedName>
    <definedName name="curIpcProye1A">#REF!</definedName>
    <definedName name="CurIpcProye2A">#REF!</definedName>
    <definedName name="CurIpcProye3A">#REF!</definedName>
    <definedName name="CurIpcProye4A">#REF!</definedName>
    <definedName name="CurIpcProye5A">#REF!</definedName>
    <definedName name="curIpcProye6A">#REF!</definedName>
    <definedName name="curIpcProye7A">#REF!</definedName>
    <definedName name="curIpcProye8A">#REF!</definedName>
    <definedName name="curIpcProye9A">#REF!</definedName>
    <definedName name="CurIvaAccesorios">#REF!</definedName>
    <definedName name="CurKitCarretera">#REF!</definedName>
    <definedName name="CurMerchand">#REF!</definedName>
    <definedName name="CurMontoMinImptoTimbre">#REF!</definedName>
    <definedName name="CurPickup">#REF!</definedName>
    <definedName name="currency_code">#REF!</definedName>
    <definedName name="currency_conversion_factor">#REF!</definedName>
    <definedName name="CurSeguroCanon">#REF!</definedName>
    <definedName name="CurServicioGPSDelClienteMensual">#REF!</definedName>
    <definedName name="curSOAT1A">#REF!</definedName>
    <definedName name="CurStandby">#REF!</definedName>
    <definedName name="CurTramiteAnual">#REF!</definedName>
    <definedName name="CurTramTransito">#REF!</definedName>
    <definedName name="CurUtilidadNominal">#REF!</definedName>
    <definedName name="CurValorAccesConIva">#REF!</definedName>
    <definedName name="CurValorMinAccriosReventa">#REF!</definedName>
    <definedName name="CurVariable1">#REF!</definedName>
    <definedName name="CurVariable2">#REF!</definedName>
    <definedName name="CurVariable3">#REF!</definedName>
    <definedName name="CurVlrAsegurado">#REF!</definedName>
    <definedName name="CurVlrVentaVehCliente">#REF!</definedName>
    <definedName name="curVPN">#REF!</definedName>
    <definedName name="CurVrVehicPrecPubConIvaSinDtos">#REF!</definedName>
    <definedName name="CurVrVehícPrecPubConIvaSinDtos">#REF!</definedName>
    <definedName name="cv">#REF!</definedName>
    <definedName name="CV2.Daily_Tonnes">#REF!</definedName>
    <definedName name="CV2.Moisture">#REF!</definedName>
    <definedName name="cvcvcvcv">#REF!</definedName>
    <definedName name="cvfvd" localSheetId="1"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hidden="1">{"via1",#N/A,TRUE,"general";"via2",#N/A,TRUE,"general";"via3",#N/A,TRUE,"general"}</definedName>
    <definedName name="Cw">#REF!</definedName>
    <definedName name="cx">#REF!</definedName>
    <definedName name="cxcxcxc">#REF!</definedName>
    <definedName name="Cy">#REF!</definedName>
    <definedName name="CZN_north_perc">50</definedName>
    <definedName name="CZN_south_perc">0</definedName>
    <definedName name="D" localSheetId="44">Scheduled_Payment+Extra_Payment</definedName>
    <definedName name="D" localSheetId="5">Scheduled_Payment+Extra_Payment</definedName>
    <definedName name="D" localSheetId="6">Scheduled_Payment+Extra_Payment</definedName>
    <definedName name="D" localSheetId="7">Scheduled_Payment+Extra_Payment</definedName>
    <definedName name="D" localSheetId="8">Scheduled_Payment+Extra_Payment</definedName>
    <definedName name="D" localSheetId="9">Scheduled_Payment+Extra_Payment</definedName>
    <definedName name="D" localSheetId="10">Scheduled_Payment+Extra_Payment</definedName>
    <definedName name="D" localSheetId="11">Scheduled_Payment+Extra_Payment</definedName>
    <definedName name="D" localSheetId="12">Scheduled_Payment+Extra_Payment</definedName>
    <definedName name="D" localSheetId="13">Scheduled_Payment+Extra_Payment</definedName>
    <definedName name="D" localSheetId="33">Scheduled_Payment+Extra_Payment</definedName>
    <definedName name="D" localSheetId="34">Scheduled_Payment+Extra_Payment</definedName>
    <definedName name="D" localSheetId="35">Scheduled_Payment+Extra_Payment</definedName>
    <definedName name="D" localSheetId="37">Scheduled_Payment+Extra_Payment</definedName>
    <definedName name="D" localSheetId="1">Scheduled_Payment+Extra_Payment</definedName>
    <definedName name="D" localSheetId="14">Scheduled_Payment+Extra_Payment</definedName>
    <definedName name="D" localSheetId="15">Scheduled_Payment+Extra_Payment</definedName>
    <definedName name="D" localSheetId="16">Scheduled_Payment+Extra_Payment</definedName>
    <definedName name="D" localSheetId="17">Scheduled_Payment+Extra_Payment</definedName>
    <definedName name="D">Scheduled_Payment+Extra_Payment</definedName>
    <definedName name="D_m">#REF!</definedName>
    <definedName name="d_percápita">#REF!</definedName>
    <definedName name="DANI">#REF!</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#REF!</definedName>
    <definedName name="Data">#REF!</definedName>
    <definedName name="Data_Base">#REF!</definedName>
    <definedName name="Date">#REF!</definedName>
    <definedName name="datos">#REF!</definedName>
    <definedName name="Days_in_Month">#REF!</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blgarantiaExtendida">#REF!</definedName>
    <definedName name="dblPunRentabilidad">#REF!</definedName>
    <definedName name="dblUtilVehiculo">#REF!</definedName>
    <definedName name="dc">#REF!</definedName>
    <definedName name="DCF">#REF!</definedName>
    <definedName name="DCSDCTV" localSheetId="1" hidden="1">{"via1",#N/A,TRUE,"general";"via2",#N/A,TRUE,"general";"via3",#N/A,TRUE,"general"}</definedName>
    <definedName name="DCSDCTV" hidden="1">{"via1",#N/A,TRUE,"general";"via2",#N/A,TRUE,"general";"via3",#N/A,TRUE,"general"}</definedName>
    <definedName name="dd">#REF!</definedName>
    <definedName name="ddd" localSheetId="1" hidden="1">{"via1",#N/A,TRUE,"general";"via2",#N/A,TRUE,"general";"via3",#N/A,TRUE,"general"}</definedName>
    <definedName name="ddd" hidden="1">{"via1",#N/A,TRUE,"general";"via2",#N/A,TRUE,"general";"via3",#N/A,TRUE,"general"}</definedName>
    <definedName name="DDDD" localSheetId="1">IF(BALANCE!Values_Entered,[0]!Header_Row+BALANCE!Number_of_Payments,[0]!Header_Row)</definedName>
    <definedName name="DDDD">IF([0]!Values_Entered,[0]!Header_Row+[0]!Number_of_Payments,[0]!Header_Row)</definedName>
    <definedName name="ddddd">#REF!</definedName>
    <definedName name="ddddddddd">#REF!</definedName>
    <definedName name="ddddt" localSheetId="1"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ealpb" hidden="1">#REF!</definedName>
    <definedName name="Debt_Purchase_Price_Funding">#REF!</definedName>
    <definedName name="Debt_S5_EA_Sch">#REF!</definedName>
    <definedName name="Debt_S6_EA_Sch">#REF!</definedName>
    <definedName name="DEC">#REF!</definedName>
    <definedName name="decbs">#REF!</definedName>
    <definedName name="Decjv">#REF!</definedName>
    <definedName name="Decjv2">#REF!</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ault_leadtime">#REF!</definedName>
    <definedName name="defd" localSheetId="1" hidden="1">{"via1",#N/A,TRUE,"general";"via2",#N/A,TRUE,"general";"via3",#N/A,TRUE,"general"}</definedName>
    <definedName name="defd" hidden="1">{"via1",#N/A,TRUE,"general";"via2",#N/A,TRUE,"general";"via3",#N/A,TRUE,"general"}</definedName>
    <definedName name="Deflexión">#REF!</definedName>
    <definedName name="DEMANDA">#REF!</definedName>
    <definedName name="demolicioncuneta">#REF!</definedName>
    <definedName name="Dep_IAS_tot">#REF!</definedName>
    <definedName name="Department">#REF!</definedName>
    <definedName name="Depreciation">#REF!</definedName>
    <definedName name="DepreciationPB" hidden="1">#REF!</definedName>
    <definedName name="DES">#REF!</definedName>
    <definedName name="DESC521">#REF!</definedName>
    <definedName name="Descrip_cuadrillas">#REF!</definedName>
    <definedName name="Descrip_equipos">#REF!</definedName>
    <definedName name="Descrip_transporte">#REF!</definedName>
    <definedName name="Descripción">#REF!</definedName>
    <definedName name="description">#REF!</definedName>
    <definedName name="Designer">#REF!</definedName>
    <definedName name="DetailsBid1">#REF!</definedName>
    <definedName name="DetailsBid2">#REF!</definedName>
    <definedName name="DetailsBid3">#REF!</definedName>
    <definedName name="DetailsBid4">#REF!</definedName>
    <definedName name="DetailsBidRange">#REF!</definedName>
    <definedName name="DETENCION">#REF!</definedName>
    <definedName name="deuda">#REF!</definedName>
    <definedName name="deuda2">#REF!</definedName>
    <definedName name="DEX">#REF!</definedName>
    <definedName name="df">#REF!</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hidden="1">{"via1",#N/A,TRUE,"general";"via2",#N/A,TRUE,"general";"via3",#N/A,TRUE,"general"}</definedName>
    <definedName name="dfcvc">#REF!</definedName>
    <definedName name="dfdaa">#REF!</definedName>
    <definedName name="dfdf">#REF!</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hidden="1">{"via1",#N/A,TRUE,"general";"via2",#N/A,TRUE,"general";"via3",#N/A,TRUE,"general"}</definedName>
    <definedName name="di">#REF!</definedName>
    <definedName name="dia24hr">#REF!</definedName>
    <definedName name="Diametros">#REF!</definedName>
    <definedName name="diamm">#REF!</definedName>
    <definedName name="dias">#REF!</definedName>
    <definedName name="DIAS_DEL_MES">#REF!</definedName>
    <definedName name="dias_semana">#REF!</definedName>
    <definedName name="Dias_semanales">#REF!</definedName>
    <definedName name="DIAS_SEMANAS">#REF!</definedName>
    <definedName name="diasacumulacion">#REF!</definedName>
    <definedName name="DIASDELMES">#REF!</definedName>
    <definedName name="DIASROTACION">#REF!</definedName>
    <definedName name="DiasSupuestosCierre">#REF!</definedName>
    <definedName name="dic00">#REF!</definedName>
    <definedName name="dina">#REF!</definedName>
    <definedName name="DIRECTO1">#REF!</definedName>
    <definedName name="DIRECTO10">#REF!</definedName>
    <definedName name="DIRECTO100">#REF!</definedName>
    <definedName name="DIRECTO101">#REF!</definedName>
    <definedName name="DIRECTO102">#REF!</definedName>
    <definedName name="DIRECTO103">#REF!</definedName>
    <definedName name="DIRECTO104">#REF!</definedName>
    <definedName name="DIRECTO105">#REF!</definedName>
    <definedName name="DIRECTO11">#REF!</definedName>
    <definedName name="DIRECTO12">#REF!</definedName>
    <definedName name="DIRECTO124">#REF!</definedName>
    <definedName name="DIRECTO125">#REF!</definedName>
    <definedName name="DIRECTO126">#REF!</definedName>
    <definedName name="DIRECTO127">#REF!</definedName>
    <definedName name="DIRECTO128">#REF!</definedName>
    <definedName name="DIRECTO129">#REF!</definedName>
    <definedName name="DIRECTO13">#REF!</definedName>
    <definedName name="DIRECTO130">#REF!</definedName>
    <definedName name="DIRECTO131">#REF!</definedName>
    <definedName name="DIRECTO132">#REF!</definedName>
    <definedName name="DIRECTO133">#REF!</definedName>
    <definedName name="DIRECTO134">#REF!</definedName>
    <definedName name="DIRECTO14">#REF!</definedName>
    <definedName name="DIRECTO15">#REF!</definedName>
    <definedName name="DIRECTO16">#REF!</definedName>
    <definedName name="DIRECTO17">#REF!</definedName>
    <definedName name="DIRECTO18">#REF!</definedName>
    <definedName name="DIRECTO2">#REF!</definedName>
    <definedName name="DIRECTO2.10">#REF!</definedName>
    <definedName name="DIRECTO2.11">#REF!</definedName>
    <definedName name="DIRECTO2.12">#REF!</definedName>
    <definedName name="DIRECTO2.9">#REF!</definedName>
    <definedName name="DIRECTO21">#REF!</definedName>
    <definedName name="DIRECTO22">#REF!</definedName>
    <definedName name="DIRECTO23">#REF!</definedName>
    <definedName name="DIRECTO24">#REF!</definedName>
    <definedName name="DIRECTO25">#REF!</definedName>
    <definedName name="DIRECTO26">#REF!</definedName>
    <definedName name="DIRECTO27">#REF!</definedName>
    <definedName name="DIRECTO28">#REF!</definedName>
    <definedName name="DIRECTO29">#REF!</definedName>
    <definedName name="DIRECTO3">#REF!</definedName>
    <definedName name="DIRECTO3.15">#REF!</definedName>
    <definedName name="DIRECTO3.16">#REF!</definedName>
    <definedName name="DIRECTO3.17">#REF!</definedName>
    <definedName name="DIRECTO3.18">#REF!</definedName>
    <definedName name="DIRECTO3.19">#REF!</definedName>
    <definedName name="DIRECTO3.20">#REF!</definedName>
    <definedName name="DIRECTO3.21">#REF!</definedName>
    <definedName name="DIRECTO3.22">#REF!</definedName>
    <definedName name="DIRECTO3.23">#REF!</definedName>
    <definedName name="DIRECTO3.24">#REF!</definedName>
    <definedName name="DIRECTO3.25">#REF!</definedName>
    <definedName name="DIRECTO3.26">#REF!</definedName>
    <definedName name="DIRECTO3.27">#REF!</definedName>
    <definedName name="DIRECTO3.28">#REF!</definedName>
    <definedName name="DIRECTO30">#REF!</definedName>
    <definedName name="DIRECTO31">#REF!</definedName>
    <definedName name="DIRECTO32">#REF!</definedName>
    <definedName name="DIRECTO33">#REF!</definedName>
    <definedName name="DIRECTO34">#REF!</definedName>
    <definedName name="DIRECTO35">#REF!</definedName>
    <definedName name="DIRECTO36">#REF!</definedName>
    <definedName name="DIRECTO37">#REF!</definedName>
    <definedName name="DIRECTO38">#REF!</definedName>
    <definedName name="DIRECTO39">#REF!</definedName>
    <definedName name="DIRECTO4">#REF!</definedName>
    <definedName name="DIRECTO4.20">#REF!</definedName>
    <definedName name="DIRECTO4.21">#REF!</definedName>
    <definedName name="DIRECTO4.22">#REF!</definedName>
    <definedName name="DIRECTO4.23">#REF!</definedName>
    <definedName name="DIRECTO4.24">#REF!</definedName>
    <definedName name="DIRECTO4.25">#REF!</definedName>
    <definedName name="DIRECTO4.26">#REF!</definedName>
    <definedName name="DIRECTO4.27">#REF!</definedName>
    <definedName name="DIRECTO4.28">#REF!</definedName>
    <definedName name="DIRECTO4.29">#REF!</definedName>
    <definedName name="DIRECTO4.30">#REF!</definedName>
    <definedName name="DIRECTO4.31">#REF!</definedName>
    <definedName name="DIRECTO4.32">#REF!</definedName>
    <definedName name="DIRECTO4.33">#REF!</definedName>
    <definedName name="DIRECTO4.34">#REF!</definedName>
    <definedName name="DIRECTO4.35">#REF!</definedName>
    <definedName name="DIRECTO4.36">#REF!</definedName>
    <definedName name="DIRECTO4.37">#REF!</definedName>
    <definedName name="DIRECTO4.38">#REF!</definedName>
    <definedName name="DIRECTO4.39">#REF!</definedName>
    <definedName name="DIRECTO4.40">#REF!</definedName>
    <definedName name="DIRECTO4.41">#REF!</definedName>
    <definedName name="DIRECTO4.42">#REF!</definedName>
    <definedName name="DIRECTO4.43">#REF!</definedName>
    <definedName name="DIRECTO4.44">#REF!</definedName>
    <definedName name="DIRECTO4.45">#REF!</definedName>
    <definedName name="DIRECTO4.46">#REF!</definedName>
    <definedName name="DIRECTO4.47">#REF!</definedName>
    <definedName name="DIRECTO4.48">#REF!</definedName>
    <definedName name="DIRECTO4.49">#REF!</definedName>
    <definedName name="DIRECTO4.50">#REF!</definedName>
    <definedName name="DIRECTO4.51">#REF!</definedName>
    <definedName name="DIRECTO4.52">#REF!</definedName>
    <definedName name="DIRECTO40">#REF!</definedName>
    <definedName name="DIRECTO41">#REF!</definedName>
    <definedName name="DIRECTO42">#REF!</definedName>
    <definedName name="DIRECTO43">#REF!</definedName>
    <definedName name="DIRECTO44">#REF!</definedName>
    <definedName name="DIRECTO45">#REF!</definedName>
    <definedName name="DIRECTO46">#REF!</definedName>
    <definedName name="DIRECTO47">#REF!</definedName>
    <definedName name="DIRECTO48">#REF!</definedName>
    <definedName name="DIRECTO49">#REF!</definedName>
    <definedName name="DIRECTO5">#REF!</definedName>
    <definedName name="DIRECTO5.100">#REF!</definedName>
    <definedName name="DIRECTO5.101">#REF!</definedName>
    <definedName name="DIRECTO5.104">#REF!</definedName>
    <definedName name="DIRECTO5.105">#REF!</definedName>
    <definedName name="DIRECTO5.106">#REF!</definedName>
    <definedName name="DIRECTO5.107">#REF!</definedName>
    <definedName name="DIRECTO5.108">#REF!</definedName>
    <definedName name="DIRECTO5.109">#REF!</definedName>
    <definedName name="DIRECTO5.111">#REF!</definedName>
    <definedName name="DIRECTO5.112">#REF!</definedName>
    <definedName name="DIRECTO5.113">#REF!</definedName>
    <definedName name="DIRECTO5.114">#REF!</definedName>
    <definedName name="DIRECTO5.115">#REF!</definedName>
    <definedName name="DIRECTO5.53">#REF!</definedName>
    <definedName name="DIRECTO5.54">#REF!</definedName>
    <definedName name="DIRECTO5.55">#REF!</definedName>
    <definedName name="DIRECTO5.56">#REF!</definedName>
    <definedName name="DIRECTO5.57">#REF!</definedName>
    <definedName name="DIRECTO5.58">#REF!</definedName>
    <definedName name="DIRECTO5.59">#REF!</definedName>
    <definedName name="DIRECTO5.60">#REF!</definedName>
    <definedName name="DIRECTO5.61">#REF!</definedName>
    <definedName name="DIRECTO5.62">#REF!</definedName>
    <definedName name="DIRECTO5.63">#REF!</definedName>
    <definedName name="DIRECTO5.64">#REF!</definedName>
    <definedName name="DIRECTO5.65">#REF!</definedName>
    <definedName name="DIRECTO5.66">#REF!</definedName>
    <definedName name="DIRECTO5.67">#REF!</definedName>
    <definedName name="DIRECTO5.68">#REF!</definedName>
    <definedName name="DIRECTO5.69">#REF!</definedName>
    <definedName name="DIRECTO5.70">#REF!</definedName>
    <definedName name="DIRECTO5.71">#REF!</definedName>
    <definedName name="DIRECTO5.72">#REF!</definedName>
    <definedName name="DIRECTO5.73">#REF!</definedName>
    <definedName name="DIRECTO5.74">#REF!</definedName>
    <definedName name="DIRECTO5.77">#REF!</definedName>
    <definedName name="DIRECTO5.78">#REF!</definedName>
    <definedName name="DIRECTO5.79">#REF!</definedName>
    <definedName name="DIRECTO5.80">#REF!</definedName>
    <definedName name="DIRECTO5.82">#REF!</definedName>
    <definedName name="DIRECTO5.83">#REF!</definedName>
    <definedName name="DIRECTO5.84">#REF!</definedName>
    <definedName name="DIRECTO5.85">#REF!</definedName>
    <definedName name="DIRECTO5.86">#REF!</definedName>
    <definedName name="DIRECTO5.87">#REF!</definedName>
    <definedName name="DIRECTO5.88">#REF!</definedName>
    <definedName name="DIRECTO5.89">#REF!</definedName>
    <definedName name="DIRECTO5.90">#REF!</definedName>
    <definedName name="DIRECTO5.91">#REF!</definedName>
    <definedName name="DIRECTO5.92">#REF!</definedName>
    <definedName name="DIRECTO5.93">#REF!</definedName>
    <definedName name="DIRECTO5.94">#REF!</definedName>
    <definedName name="DIRECTO5.95">#REF!</definedName>
    <definedName name="DIRECTO5.96">#REF!</definedName>
    <definedName name="DIRECTO5.97">#REF!</definedName>
    <definedName name="DIRECTO5.98">#REF!</definedName>
    <definedName name="DIRECTO5.99">#REF!</definedName>
    <definedName name="DIRECTO50">#REF!</definedName>
    <definedName name="DIRECTO51">#REF!</definedName>
    <definedName name="DIRECTO52">#REF!</definedName>
    <definedName name="DIRECTO53">#REF!</definedName>
    <definedName name="DIRECTO54">#REF!</definedName>
    <definedName name="DIRECTO55">#REF!</definedName>
    <definedName name="DIRECTO56">#REF!</definedName>
    <definedName name="DIRECTO57">#REF!</definedName>
    <definedName name="DIRECTO58">#REF!</definedName>
    <definedName name="DIRECTO59">#REF!</definedName>
    <definedName name="DIRECTO6">#REF!</definedName>
    <definedName name="DIRECTO60">#REF!</definedName>
    <definedName name="DIRECTO61">#REF!</definedName>
    <definedName name="DIRECTO62">#REF!</definedName>
    <definedName name="DIRECTO63">#REF!</definedName>
    <definedName name="DIRECTO64">#REF!</definedName>
    <definedName name="DIRECTO65">#REF!</definedName>
    <definedName name="DIRECTO66">#REF!</definedName>
    <definedName name="DIRECTO67">#REF!</definedName>
    <definedName name="DIRECTO68">#REF!</definedName>
    <definedName name="DIRECTO69">#REF!</definedName>
    <definedName name="DIRECTO7">#REF!</definedName>
    <definedName name="DIRECTO7.12">#REF!</definedName>
    <definedName name="DIRECTO7.13">#REF!</definedName>
    <definedName name="DIRECTO7.14">#REF!</definedName>
    <definedName name="DIRECTO7.15">#REF!</definedName>
    <definedName name="DIRECTO7.16">#REF!</definedName>
    <definedName name="DIRECTO7.17">#REF!</definedName>
    <definedName name="DIRECTO7.18">#REF!</definedName>
    <definedName name="DIRECTO7.19">#REF!</definedName>
    <definedName name="DIRECTO7.20">#REF!</definedName>
    <definedName name="DIRECTO7.21">#REF!</definedName>
    <definedName name="DIRECTO7.22">#REF!</definedName>
    <definedName name="DIRECTO7.23">#REF!</definedName>
    <definedName name="DIRECTO7.24">#REF!</definedName>
    <definedName name="DIRECTO7.25">#REF!</definedName>
    <definedName name="DIRECTO7.26">#REF!</definedName>
    <definedName name="DIRECTO7.27">#REF!</definedName>
    <definedName name="DIRECTO7.28">#REF!</definedName>
    <definedName name="DIRECTO7.29">#REF!</definedName>
    <definedName name="DIRECTO7.30">#REF!</definedName>
    <definedName name="DIRECTO7.31">#REF!</definedName>
    <definedName name="DIRECTO7.32">#REF!</definedName>
    <definedName name="DIRECTO7.33">#REF!</definedName>
    <definedName name="DIRECTO7.34">#REF!</definedName>
    <definedName name="DIRECTO7.35">#REF!</definedName>
    <definedName name="DIRECTO7.36">#REF!</definedName>
    <definedName name="DIRECTO7.37">#REF!</definedName>
    <definedName name="DIRECTO7.38">#REF!</definedName>
    <definedName name="DIRECTO7.39">#REF!</definedName>
    <definedName name="DIRECTO7.40">#REF!</definedName>
    <definedName name="DIRECTO7.41">#REF!</definedName>
    <definedName name="DIRECTO7.42">#REF!</definedName>
    <definedName name="DIRECTO7.43">#REF!</definedName>
    <definedName name="DIRECTO7.44">#REF!</definedName>
    <definedName name="DIRECTO70">#REF!</definedName>
    <definedName name="DIRECTO71">#REF!</definedName>
    <definedName name="DIRECTO72">#REF!</definedName>
    <definedName name="DIRECTO73">#REF!</definedName>
    <definedName name="DIRECTO74">#REF!</definedName>
    <definedName name="DIRECTO75">#REF!</definedName>
    <definedName name="DIRECTO76">#REF!</definedName>
    <definedName name="DIRECTO77">#REF!</definedName>
    <definedName name="DIRECTO78">#REF!</definedName>
    <definedName name="DIRECTO79">#REF!</definedName>
    <definedName name="DIRECTO8">#REF!</definedName>
    <definedName name="DIRECTO80">#REF!</definedName>
    <definedName name="DIRECTO81">#REF!</definedName>
    <definedName name="DIRECTO82">#REF!</definedName>
    <definedName name="DIRECTO83">#REF!</definedName>
    <definedName name="DIRECTO84">#REF!</definedName>
    <definedName name="DIRECTO85">#REF!</definedName>
    <definedName name="DIRECTO86">#REF!</definedName>
    <definedName name="DIRECTO87">#REF!</definedName>
    <definedName name="DIRECTO88">#REF!</definedName>
    <definedName name="DIRECTO89">#REF!</definedName>
    <definedName name="DIRECTO9">#REF!</definedName>
    <definedName name="DIRECTO9.1">#REF!</definedName>
    <definedName name="DIRECTO9.2">#REF!</definedName>
    <definedName name="DIRECTO9.3">#REF!</definedName>
    <definedName name="DIRECTO9.4">#REF!</definedName>
    <definedName name="DIRECTO9.5">#REF!</definedName>
    <definedName name="DIRECTO90">#REF!</definedName>
    <definedName name="DIRECTO91">#REF!</definedName>
    <definedName name="DIRECTO92">#REF!</definedName>
    <definedName name="DIRECTO93">#REF!</definedName>
    <definedName name="DIRECTO94">#REF!</definedName>
    <definedName name="DIRECTO95">#REF!</definedName>
    <definedName name="DIRECTO96">#REF!</definedName>
    <definedName name="DIRECTO97">#REF!</definedName>
    <definedName name="DIRECTO98">#REF!</definedName>
    <definedName name="DIRECTO99">#REF!</definedName>
    <definedName name="Discount_Lumpsum">#REF!</definedName>
    <definedName name="discount_percent">#REF!</definedName>
    <definedName name="discount2">#REF!</definedName>
    <definedName name="discount3">#REF!</definedName>
    <definedName name="discount4">#REF!</definedName>
    <definedName name="DiscRateHigh">#REF!</definedName>
    <definedName name="DiscRateMed">#REF!</definedName>
    <definedName name="DISPONIBILIDAD">#REF!</definedName>
    <definedName name="DistanciasPRS7801">#REF!</definedName>
    <definedName name="DistanciasPRS9003">#REF!</definedName>
    <definedName name="DistanciasPRS9004">#REF!</definedName>
    <definedName name="div_pay">#REF!</definedName>
    <definedName name="dj">#REF!</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l">#REF!</definedName>
    <definedName name="dm">#REF!</definedName>
    <definedName name="DMD">#REF!</definedName>
    <definedName name="do">#REF!</definedName>
    <definedName name="Documentstatus">#REF!</definedName>
    <definedName name="Documentstatus1">#REF!</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R">#REF!</definedName>
    <definedName name="Dp">#REF!</definedName>
    <definedName name="DRAWING_LEAD_TIME">#REF!</definedName>
    <definedName name="drf">#REF!</definedName>
    <definedName name="DRTOS1">#REF!</definedName>
    <definedName name="dry" localSheetId="1" hidden="1">{"via1",#N/A,TRUE,"general";"via2",#N/A,TRUE,"general";"via3",#N/A,TRUE,"general"}</definedName>
    <definedName name="dry" hidden="1">{"via1",#N/A,TRUE,"general";"via2",#N/A,TRUE,"general";"via3",#N/A,TRUE,"general"}</definedName>
    <definedName name="DSA">#REF!</definedName>
    <definedName name="DSAD" localSheetId="1"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D" localSheetId="1"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FASDF">#REF!</definedName>
    <definedName name="dsfg" localSheetId="1"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hidden="1">{"via1",#N/A,TRUE,"general";"via2",#N/A,TRUE,"general";"via3",#N/A,TRUE,"general"}</definedName>
    <definedName name="dt">#REF!</definedName>
    <definedName name="dtf">#REF!</definedName>
    <definedName name="DTFSMedida">#REF!</definedName>
    <definedName name="DtmFechaCotizacion">#REF!</definedName>
    <definedName name="DtmFechVigenCotiza">#REF!</definedName>
    <definedName name="dtrhj" localSheetId="1" hidden="1">{"via1",#N/A,TRUE,"general";"via2",#N/A,TRUE,"general";"via3",#N/A,TRUE,"general"}</definedName>
    <definedName name="dtrhj" hidden="1">{"via1",#N/A,TRUE,"general";"via2",#N/A,TRUE,"general";"via3",#N/A,TRUE,"general"}</definedName>
    <definedName name="DTS">#REF!</definedName>
    <definedName name="Dv">#REF!</definedName>
    <definedName name="dxd">#REF!</definedName>
    <definedName name="dxfgg" localSheetId="1" hidden="1">{"via1",#N/A,TRUE,"general";"via2",#N/A,TRUE,"general";"via3",#N/A,TRUE,"general"}</definedName>
    <definedName name="dxfgg" hidden="1">{"via1",#N/A,TRUE,"general";"via2",#N/A,TRUE,"general";"via3",#N/A,TRUE,"general"}</definedName>
    <definedName name="DZ.Main" hidden="1">#REF!</definedName>
    <definedName name="E">#REF!</definedName>
    <definedName name="E_03">#REF!</definedName>
    <definedName name="e3e33" localSheetId="1" hidden="1">{"via1",#N/A,TRUE,"general";"via2",#N/A,TRUE,"general";"via3",#N/A,TRUE,"general"}</definedName>
    <definedName name="e3e33" hidden="1">{"via1",#N/A,TRUE,"general";"via2",#N/A,TRUE,"general";"via3",#N/A,TRUE,"general"}</definedName>
    <definedName name="ece">#REF!</definedName>
    <definedName name="ED">#REF!</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hidden="1">{"via1",#N/A,TRUE,"general";"via2",#N/A,TRUE,"general";"via3",#N/A,TRUE,"general"}</definedName>
    <definedName name="EDWIN">#REF!</definedName>
    <definedName name="ee">#REF!</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eeeee">#REF!</definedName>
    <definedName name="eeeeeeeeeee">#REF!</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hidden="1">{"via1",#N/A,TRUE,"general";"via2",#N/A,TRUE,"general";"via3",#N/A,TRUE,"general"}</definedName>
    <definedName name="ef">#REF!</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INAR">#REF!</definedName>
    <definedName name="el">#REF!</definedName>
    <definedName name="ElectConsPrice">#REF!</definedName>
    <definedName name="ElectDemandPrice">#REF!</definedName>
    <definedName name="empotra">#REF!</definedName>
    <definedName name="End_Bal">#REF!</definedName>
    <definedName name="ene00">#REF!</definedName>
    <definedName name="ENERGIATABLA1.2.4">#REF!</definedName>
    <definedName name="Engine">#N/A</definedName>
    <definedName name="entibado">#REF!</definedName>
    <definedName name="equi">#REF!</definedName>
    <definedName name="EQUI3">#REF!</definedName>
    <definedName name="EquipData">#REF!</definedName>
    <definedName name="EquipInput">#REF!</definedName>
    <definedName name="EquipLifeRank">#REF!</definedName>
    <definedName name="EQUIPO">#REF!</definedName>
    <definedName name="equipo_mayor">#REF!</definedName>
    <definedName name="equipomayor2">#REF!</definedName>
    <definedName name="EquipOpCostOutput">#REF!</definedName>
    <definedName name="EquipOpFleet">#REF!</definedName>
    <definedName name="Equipos">#REF!</definedName>
    <definedName name="equiprecord">#REF!</definedName>
    <definedName name="EquipReplOutput">#REF!</definedName>
    <definedName name="EquipRow">#REF!</definedName>
    <definedName name="eqw" localSheetId="1" hidden="1">{"via1",#N/A,TRUE,"general";"via2",#N/A,TRUE,"general";"via3",#N/A,TRUE,"general"}</definedName>
    <definedName name="eqw" hidden="1">{"via1",#N/A,TRUE,"general";"via2",#N/A,TRUE,"general";"via3",#N/A,TRUE,"general"}</definedName>
    <definedName name="er">#REF!</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r" localSheetId="1" hidden="1">{"TAB1",#N/A,TRUE,"GENERAL";"TAB2",#N/A,TRUE,"GENERAL";"TAB3",#N/A,TRUE,"GENERAL";"TAB4",#N/A,TRUE,"GENERAL";"TAB5",#N/A,TRUE,"GENERAL"}</definedName>
    <definedName name="err" hidden="1">{"TAB1",#N/A,TRUE,"GENERAL";"TAB2",#N/A,TRUE,"GENERAL";"TAB3",#N/A,TRUE,"GENERAL";"TAB4",#N/A,TRUE,"GENERAL";"TAB5",#N/A,TRUE,"GENERAL"}</definedName>
    <definedName name="ERROR">#REF!</definedName>
    <definedName name="ERROR1">#REF!</definedName>
    <definedName name="ERROR2">#REF!</definedName>
    <definedName name="ERROR3">#REF!</definedName>
    <definedName name="ERROR5">#REF!</definedName>
    <definedName name="ert" localSheetId="1"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#REF!</definedName>
    <definedName name="ES1_1">#REF!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E">#REF!</definedName>
    <definedName name="ESP201.15">#REF!</definedName>
    <definedName name="ESP201.21">#REF!</definedName>
    <definedName name="ESP201.7">#REF!</definedName>
    <definedName name="ESP201.8">#REF!</definedName>
    <definedName name="ESP220.1">#REF!</definedName>
    <definedName name="ESP225P">#REF!</definedName>
    <definedName name="ESP320.1">#REF!</definedName>
    <definedName name="ESP330.1">#REF!</definedName>
    <definedName name="ESP330.1P">#REF!</definedName>
    <definedName name="ESP330.2">#REF!</definedName>
    <definedName name="ESP600.1">#REF!</definedName>
    <definedName name="ESP610.1">#REF!</definedName>
    <definedName name="ESP630.4">#REF!</definedName>
    <definedName name="ESP630.6">#REF!</definedName>
    <definedName name="ESP630.7">#REF!</definedName>
    <definedName name="ESP632.1P">#REF!</definedName>
    <definedName name="ESP632.4P">#REF!</definedName>
    <definedName name="ESP640.1">#REF!</definedName>
    <definedName name="ESP640.1.2">#REF!</definedName>
    <definedName name="ESP671.1">#REF!</definedName>
    <definedName name="ESP673.1">#REF!</definedName>
    <definedName name="ESP673.2">#REF!</definedName>
    <definedName name="ESP700.1">#REF!</definedName>
    <definedName name="ESPESORPLACAS">#REF!</definedName>
    <definedName name="ESTACION">#REF!</definedName>
    <definedName name="ESTERIL">#REF!</definedName>
    <definedName name="ESTRUCT01">#REF!</definedName>
    <definedName name="ESTRUCT02">#REF!</definedName>
    <definedName name="ESTRUCT03">#REF!</definedName>
    <definedName name="ESTRUCT04">#REF!</definedName>
    <definedName name="ESTRUCT05">#REF!</definedName>
    <definedName name="ESTRUCT06">#REF!</definedName>
    <definedName name="ESTRUCT07">#REF!</definedName>
    <definedName name="ESTRUCT08">#REF!</definedName>
    <definedName name="ESTRUCT09">#REF!</definedName>
    <definedName name="ESTRUCT10">#REF!</definedName>
    <definedName name="ESTRUCT11">#REF!</definedName>
    <definedName name="ESTRUCT12">#REF!</definedName>
    <definedName name="ESTRUCT13">#REF!</definedName>
    <definedName name="ESTRUCT14">#REF!</definedName>
    <definedName name="ESTRUCT15">#REF!</definedName>
    <definedName name="ESTRUCT16">#REF!</definedName>
    <definedName name="ESTRUCT17">#REF!</definedName>
    <definedName name="ESTRUCT18">#REF!</definedName>
    <definedName name="ESTRUCT19">#REF!</definedName>
    <definedName name="ESTRUCT20">#REF!</definedName>
    <definedName name="ESTRUCT21">#REF!</definedName>
    <definedName name="ESTRUCT22">#REF!</definedName>
    <definedName name="ESTRUCT23">#REF!</definedName>
    <definedName name="ESTRUCT24">#REF!</definedName>
    <definedName name="ESTRUCT25">#REF!</definedName>
    <definedName name="ESTRUCT26">#REF!</definedName>
    <definedName name="ESTRUCT27">#REF!</definedName>
    <definedName name="ESTRUCT28">#REF!</definedName>
    <definedName name="ESTRUCT29">#REF!</definedName>
    <definedName name="ESTRUCT30">#REF!</definedName>
    <definedName name="ESTRUCT31">#REF!</definedName>
    <definedName name="ESTRUCT32">#REF!</definedName>
    <definedName name="ESTRUCT33">#REF!</definedName>
    <definedName name="ESTRUCT34">#REF!</definedName>
    <definedName name="ESTRUCT35">#REF!</definedName>
    <definedName name="ESTRUCT36">#REF!</definedName>
    <definedName name="ESTRUCT37">#REF!</definedName>
    <definedName name="ESTRUCT38">#REF!</definedName>
    <definedName name="ESTRUCT39">#REF!</definedName>
    <definedName name="ESTRUCT40">#REF!</definedName>
    <definedName name="ESTRUCT41">#REF!</definedName>
    <definedName name="ESTRUCT42">#REF!</definedName>
    <definedName name="ESTRUCT43">#REF!</definedName>
    <definedName name="ESTRUCT44">#REF!</definedName>
    <definedName name="ESTRUCT45">#REF!</definedName>
    <definedName name="ETERNIT6">#REF!</definedName>
    <definedName name="etertgg" localSheetId="1" hidden="1">{"via1",#N/A,TRUE,"general";"via2",#N/A,TRUE,"general";"via3",#N/A,TRUE,"general"}</definedName>
    <definedName name="etertgg" hidden="1">{"via1",#N/A,TRUE,"general";"via2",#N/A,TRUE,"general";"via3",#N/A,TRUE,"general"}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v.Calculation" hidden="1">-4135</definedName>
    <definedName name="ev.Initialized" hidden="1">FALSE</definedName>
    <definedName name="Eval_Currency">#REF!</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#REF!</definedName>
    <definedName name="exc02">#REF!</definedName>
    <definedName name="exc24">#REF!</definedName>
    <definedName name="exc40">#REF!</definedName>
    <definedName name="excav">#REF!</definedName>
    <definedName name="Excel_BuiltIn_Print_Area_1_1">#REF!</definedName>
    <definedName name="Excel_BuiltIn_Print_Titles_3">#REF!</definedName>
    <definedName name="Excel_BuiltIn_Print_Titles_4">#REF!</definedName>
    <definedName name="Exchange_Rate">#REF!</definedName>
    <definedName name="exchangerate">#REF!</definedName>
    <definedName name="EXCROC">#REF!</definedName>
    <definedName name="Executivepb" hidden="1">#REF!</definedName>
    <definedName name="ExistAge">#REF!</definedName>
    <definedName name="ExistFleet">#REF!</definedName>
    <definedName name="expl1">#REF!</definedName>
    <definedName name="ExRateAus">#REF!</definedName>
    <definedName name="ExRateCountry">#REF!</definedName>
    <definedName name="ExRates">#REF!</definedName>
    <definedName name="Extra_Pay">#REF!</definedName>
    <definedName name="F.D.CV1_Moisture">#REF!</definedName>
    <definedName name="F.D.CV2_Al">#REF!</definedName>
    <definedName name="F.D.CV2_Co">#REF!</definedName>
    <definedName name="F.D.CV2_DryTonnes">#REF!</definedName>
    <definedName name="F.D.CV2_dtph">#REF!</definedName>
    <definedName name="F.D.CV2_Fe">#REF!</definedName>
    <definedName name="F.D.CV2_Mg">#REF!</definedName>
    <definedName name="F.D.CV2_Ni">#REF!</definedName>
    <definedName name="F.D.CV2_Si">#REF!</definedName>
    <definedName name="F.D.Mill_Availability">#REF!</definedName>
    <definedName name="F.D.Mill_Downtime">#REF!</definedName>
    <definedName name="F.D.Mill_DryTonnes">#REF!</definedName>
    <definedName name="F.D.Mill_DryTph">#REF!</definedName>
    <definedName name="F.D.Mill_PowerDraw">#REF!</definedName>
    <definedName name="F.D.Mill_PowerDrawPerTonne">#REF!</definedName>
    <definedName name="F.D.Mill_Uptime">#REF!</definedName>
    <definedName name="F.D.Mill_Utilization">#REF!</definedName>
    <definedName name="F.D.Mill_WetTonnes">#REF!</definedName>
    <definedName name="F.D.Mill_WetTph">#REF!</definedName>
    <definedName name="F.D.MillFeed_Al">#REF!</definedName>
    <definedName name="F.D.MillFeed_Co">#REF!</definedName>
    <definedName name="F.D.MillFeed_Fe">#REF!</definedName>
    <definedName name="F.D.MillFeed_Mg">#REF!</definedName>
    <definedName name="F.D.MillFeed_Ni">#REF!</definedName>
    <definedName name="F.D.MillFeed_Si">#REF!</definedName>
    <definedName name="F.D.MillH2O_Head">#REF!</definedName>
    <definedName name="F.D.MillH2O_Screen">#REF!</definedName>
    <definedName name="F.D.MillH2O_Total">#REF!</definedName>
    <definedName name="F.D.OreToStorage_Al">#REF!</definedName>
    <definedName name="F.D.OreToStorage_Co">#REF!</definedName>
    <definedName name="F.D.OreToStorage_DryTonnes">#REF!</definedName>
    <definedName name="F.D.OreToStorage_DryTph">#REF!</definedName>
    <definedName name="F.D.OreToStorage_Fe">#REF!</definedName>
    <definedName name="F.D.OreToStorage_Mg">#REF!</definedName>
    <definedName name="F.D.OreToStorage_Ni">#REF!</definedName>
    <definedName name="F.D.OreToStorage_PulpDensity">#REF!</definedName>
    <definedName name="F.D.OreToStorage_PulpYieldStress">#REF!</definedName>
    <definedName name="F.D.OreToStorage_Si">#REF!</definedName>
    <definedName name="F.D.OreToStorage_Tank1Level">#REF!</definedName>
    <definedName name="F.D.OreToStorage_Tank2Level">#REF!</definedName>
    <definedName name="F.D.OreToStorage_Tank3Level">#REF!</definedName>
    <definedName name="F.D.OreToStorage_Tank4Level">#REF!</definedName>
    <definedName name="F.D.OreToStorage_Volume">#REF!</definedName>
    <definedName name="F.D.OreToStorage_VolumePerHr">#REF!</definedName>
    <definedName name="F.M.CV1_Moisture">#REF!</definedName>
    <definedName name="F.M.CV2_Al">#REF!</definedName>
    <definedName name="F.M.CV2_Co">#REF!</definedName>
    <definedName name="F.M.CV2_DryTonnes">#REF!</definedName>
    <definedName name="F.M.CV2_dtph">#REF!</definedName>
    <definedName name="F.M.CV2_Fe">#REF!</definedName>
    <definedName name="F.M.CV2_Mg">#REF!</definedName>
    <definedName name="F.M.CV2_Ni">#REF!</definedName>
    <definedName name="F.M.CV2_Si">#REF!</definedName>
    <definedName name="F.M.Mill_Availability">#REF!</definedName>
    <definedName name="F.M.Mill_Downtime">#REF!</definedName>
    <definedName name="F.M.Mill_DryTonnes">#REF!</definedName>
    <definedName name="F.M.Mill_DryTph">#REF!</definedName>
    <definedName name="F.M.Mill_PowerDraw">#REF!</definedName>
    <definedName name="F.M.Mill_PowerDrawPerTonne">#REF!</definedName>
    <definedName name="F.M.Mill_Uptime">#REF!</definedName>
    <definedName name="F.M.Mill_Utilization">#REF!</definedName>
    <definedName name="F.M.Mill_WetTonnes">#REF!</definedName>
    <definedName name="F.M.Mill_WetTph">#REF!</definedName>
    <definedName name="F.M.MillFeed_Al">#REF!</definedName>
    <definedName name="F.M.MillFeed_Co">#REF!</definedName>
    <definedName name="F.M.MillFeed_Fe">#REF!</definedName>
    <definedName name="F.M.MillFeed_Mg">#REF!</definedName>
    <definedName name="F.M.MillFeed_Ni">#REF!</definedName>
    <definedName name="F.M.MillFeed_Si">#REF!</definedName>
    <definedName name="F.M.MillH2O_Head">#REF!</definedName>
    <definedName name="F.M.MillH2O_Screen">#REF!</definedName>
    <definedName name="F.M.MillH2O_Total">#REF!</definedName>
    <definedName name="F.M.OreToStorage_Al">#REF!</definedName>
    <definedName name="F.M.OreToStorage_Co">#REF!</definedName>
    <definedName name="F.M.OreToStorage_DryTonnes">#REF!</definedName>
    <definedName name="F.M.OreToStorage_DryTph">#REF!</definedName>
    <definedName name="F.M.OreToStorage_Fe">#REF!</definedName>
    <definedName name="F.M.OreToStorage_Mg">#REF!</definedName>
    <definedName name="F.M.OreToStorage_Ni">#REF!</definedName>
    <definedName name="F.M.OreToStorage_PulpDensity">#REF!</definedName>
    <definedName name="F.M.OreToStorage_PulpYieldStress">#REF!</definedName>
    <definedName name="F.M.OreToStorage_Si">#REF!</definedName>
    <definedName name="F.M.OreToStorage_Volume">#REF!</definedName>
    <definedName name="F.M.OreToStorage_VolumePerHr">#REF!</definedName>
    <definedName name="F.Y.CV1_Moisture">#REF!</definedName>
    <definedName name="F.Y.CV2_Al">#REF!</definedName>
    <definedName name="F.Y.CV2_Co">#REF!</definedName>
    <definedName name="F.Y.CV2_DryTonnes">#REF!</definedName>
    <definedName name="F.Y.CV2_dtph">#REF!</definedName>
    <definedName name="F.Y.CV2_Fe">#REF!</definedName>
    <definedName name="F.Y.CV2_Mg">#REF!</definedName>
    <definedName name="F.Y.CV2_Ni">#REF!</definedName>
    <definedName name="F.Y.CV2_Si">#REF!</definedName>
    <definedName name="F.Y.Mill_Availability">#REF!</definedName>
    <definedName name="F.Y.Mill_Downtime">#REF!</definedName>
    <definedName name="F.Y.Mill_DryTonnes">#REF!</definedName>
    <definedName name="F.Y.Mill_DryTph">#REF!</definedName>
    <definedName name="F.Y.Mill_PowerDraw">#REF!</definedName>
    <definedName name="F.Y.Mill_PowerDrawPerTonne">#REF!</definedName>
    <definedName name="F.Y.Mill_Uptime">#REF!</definedName>
    <definedName name="F.Y.Mill_Utilization">#REF!</definedName>
    <definedName name="F.Y.Mill_WetTonnes">#REF!</definedName>
    <definedName name="F.Y.Mill_WetTph">#REF!</definedName>
    <definedName name="F.Y.MillFeed_Al">#REF!</definedName>
    <definedName name="F.Y.MillFeed_Co">#REF!</definedName>
    <definedName name="F.Y.MillFeed_Fe">#REF!</definedName>
    <definedName name="F.Y.MillFeed_Mg">#REF!</definedName>
    <definedName name="F.Y.MillFeed_Ni">#REF!</definedName>
    <definedName name="F.Y.MillFeed_Si">#REF!</definedName>
    <definedName name="F.Y.MillH2O_Head">#REF!</definedName>
    <definedName name="F.Y.MillH2O_Screen">#REF!</definedName>
    <definedName name="F.Y.MillH2O_Total">#REF!</definedName>
    <definedName name="F.Y.OreToStorage_Al">#REF!</definedName>
    <definedName name="F.Y.OreToStorage_Co">#REF!</definedName>
    <definedName name="F.Y.OreToStorage_DryTonnes">#REF!</definedName>
    <definedName name="F.Y.OreToStorage_DryTph">#REF!</definedName>
    <definedName name="F.Y.OreToStorage_Fe">#REF!</definedName>
    <definedName name="F.Y.OreToStorage_Mg">#REF!</definedName>
    <definedName name="F.Y.OreToStorage_Ni">#REF!</definedName>
    <definedName name="F.Y.OreToStorage_PulpDensity">#REF!</definedName>
    <definedName name="F.Y.OreToStorage_PulpYieldStress">#REF!</definedName>
    <definedName name="F.Y.OreToStorage_Si">#REF!</definedName>
    <definedName name="F.Y.OreToStorage_Volume">#REF!</definedName>
    <definedName name="F.Y.OreToStorage_VolumePerHr">#REF!</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a">#REF!</definedName>
    <definedName name="FABI" localSheetId="44">Scheduled_Payment+Extra_Payment</definedName>
    <definedName name="FABI" localSheetId="5">Scheduled_Payment+Extra_Payment</definedName>
    <definedName name="FABI" localSheetId="6">Scheduled_Payment+Extra_Payment</definedName>
    <definedName name="FABI" localSheetId="7">Scheduled_Payment+Extra_Payment</definedName>
    <definedName name="FABI" localSheetId="8">Scheduled_Payment+Extra_Payment</definedName>
    <definedName name="FABI" localSheetId="9">Scheduled_Payment+Extra_Payment</definedName>
    <definedName name="FABI" localSheetId="10">Scheduled_Payment+Extra_Payment</definedName>
    <definedName name="FABI" localSheetId="11">Scheduled_Payment+Extra_Payment</definedName>
    <definedName name="FABI" localSheetId="12">Scheduled_Payment+Extra_Payment</definedName>
    <definedName name="FABI" localSheetId="13">Scheduled_Payment+Extra_Payment</definedName>
    <definedName name="FABI" localSheetId="33">Scheduled_Payment+Extra_Payment</definedName>
    <definedName name="FABI" localSheetId="34">Scheduled_Payment+Extra_Payment</definedName>
    <definedName name="FABI" localSheetId="35">Scheduled_Payment+Extra_Payment</definedName>
    <definedName name="FABI" localSheetId="37">Scheduled_Payment+Extra_Payment</definedName>
    <definedName name="FABI" localSheetId="1">Scheduled_Payment+Extra_Payment</definedName>
    <definedName name="FABI" localSheetId="14">Scheduled_Payment+Extra_Payment</definedName>
    <definedName name="FABI" localSheetId="15">Scheduled_Payment+Extra_Payment</definedName>
    <definedName name="FABI" localSheetId="16">Scheduled_Payment+Extra_Payment</definedName>
    <definedName name="FABI" localSheetId="17">Scheduled_Payment+Extra_Payment</definedName>
    <definedName name="FABI">Scheduled_Payment+Extra_Payment</definedName>
    <definedName name="FABIAN" localSheetId="1">IF([0]!Loan_Amount*[0]!Interest_Rate*[0]!Loan_Years*[0]!Loan_Start&gt;0,1,0)</definedName>
    <definedName name="FABIAN">IF([0]!Loan_Amount*[0]!Interest_Rate*[0]!Loan_Years*[0]!Loan_Start&gt;0,1,0)</definedName>
    <definedName name="FACTOR">#REF!</definedName>
    <definedName name="factorarena">#REF!</definedName>
    <definedName name="Factpb" hidden="1">#REF!</definedName>
    <definedName name="Factpb2" hidden="1">#REF!</definedName>
    <definedName name="FALTANTES1">#REF!</definedName>
    <definedName name="fb">#REF!</definedName>
    <definedName name="fcv">#REF!</definedName>
    <definedName name="fd">#REF!</definedName>
    <definedName name="fda">#REF!</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afd">#REF!</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b00">#REF!</definedName>
    <definedName name="FECHA">#REF!</definedName>
    <definedName name="Fechas">#REF!</definedName>
    <definedName name="ferfer" localSheetId="1" hidden="1">{"via1",#N/A,TRUE,"general";"via2",#N/A,TRUE,"general";"via3",#N/A,TRUE,"general"}</definedName>
    <definedName name="ferfer" hidden="1">{"via1",#N/A,TRUE,"general";"via2",#N/A,TRUE,"general";"via3",#N/A,TRUE,"general"}</definedName>
    <definedName name="Fexx">#REF!</definedName>
    <definedName name="ff">#REF!</definedName>
    <definedName name="fff" localSheetId="1" hidden="1">{"via1",#N/A,TRUE,"general";"via2",#N/A,TRUE,"general";"via3",#N/A,TRUE,"general"}</definedName>
    <definedName name="fff" hidden="1">{"via1",#N/A,TRUE,"general";"via2",#N/A,TRUE,"general";"via3",#N/A,TRUE,"general"}</definedName>
    <definedName name="ffff">#REF!</definedName>
    <definedName name="ffffd" localSheetId="1" hidden="1">{"via1",#N/A,TRUE,"general";"via2",#N/A,TRUE,"general";"via3",#N/A,TRUE,"general"}</definedName>
    <definedName name="ffffd" hidden="1">{"via1",#N/A,TRUE,"general";"via2",#N/A,TRUE,"general";"via3",#N/A,TRUE,"general"}</definedName>
    <definedName name="fffffdfdfddf">#REF!</definedName>
    <definedName name="ffffffffffffffff">#REF!</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#REF!</definedName>
    <definedName name="Financialpb" hidden="1">#REF!</definedName>
    <definedName name="Financialpb2" hidden="1">#REF!</definedName>
    <definedName name="FixEquip_hrs">#REF!</definedName>
    <definedName name="fk">#REF!</definedName>
    <definedName name="Fleet">#REF!</definedName>
    <definedName name="FleetC">#REF!</definedName>
    <definedName name="fleetRecNo">#REF!</definedName>
    <definedName name="FleetS">#REF!</definedName>
    <definedName name="FleetW">#REF!</definedName>
    <definedName name="flq">#REF!</definedName>
    <definedName name="FOB_POINT">#REF!</definedName>
    <definedName name="forapproval">#REF!</definedName>
    <definedName name="form_calcmod">#REF!,#REF!,#REF!,#REF!,#REF!,#REF!</definedName>
    <definedName name="form_cons">#REF!,#REF!,#REF!,#REF!,#REF!</definedName>
    <definedName name="form_desglose">#REF!,#REF!</definedName>
    <definedName name="form_equi">#REF!,#REF!,#REF!,#REF!,#REF!,#REF!,#REF!,#REF!,#REF!,#REF!,#REF!,#REF!,#REF!,#REF!,#REF!</definedName>
    <definedName name="form_indir">#REF!,#REF!,#REF!,#REF!,#REF!,#REF!,#REF!,#REF!,#REF!,#REF!,#REF!,#REF!,#REF!,#REF!,#REF!,#REF!,#REF!</definedName>
    <definedName name="form_otrosmod">#REF!,#REF!,#REF!,#REF!,#REF!,#REF!,#REF!,#REF!</definedName>
    <definedName name="form_resumen">#REF!,#REF!,#REF!,#REF!,#REF!,#REF!,#REF!,#REF!,#REF!,#REF!,#REF!</definedName>
    <definedName name="form_subcon">#REF!,#REF!</definedName>
    <definedName name="form_superv">#REF!,#REF!,#REF!</definedName>
    <definedName name="formadepago">#REF!</definedName>
    <definedName name="formularioCantidades">#REF!</definedName>
    <definedName name="Frank">#REF!</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cInctoMmtoAnno">#REF!</definedName>
    <definedName name="FrecInctoMmtoAno">#REF!</definedName>
    <definedName name="frefr" localSheetId="1" hidden="1">{"via1",#N/A,TRUE,"general";"via2",#N/A,TRUE,"general";"via3",#N/A,TRUE,"general"}</definedName>
    <definedName name="frefr" hidden="1">{"via1",#N/A,TRUE,"general";"via2",#N/A,TRUE,"general";"via3",#N/A,TRUE,"general"}</definedName>
    <definedName name="fres">#REF!</definedName>
    <definedName name="frfa" localSheetId="1"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t">#REF!</definedName>
    <definedName name="fu">#REF!</definedName>
    <definedName name="Fub">#REF!</definedName>
    <definedName name="Fuel">#REF!</definedName>
    <definedName name="FuelControl">#REF!</definedName>
    <definedName name="FuelCostos">#REF!</definedName>
    <definedName name="FuelFactorA">#REF!</definedName>
    <definedName name="FuelFactorB">#REF!</definedName>
    <definedName name="FuelMedian">#REF!</definedName>
    <definedName name="FuelPrice">#REF!</definedName>
    <definedName name="Full_Print">#REF!</definedName>
    <definedName name="Fup">#REF!</definedName>
    <definedName name="fv">#REF!</definedName>
    <definedName name="fwff" localSheetId="1"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FX">#REF!</definedName>
    <definedName name="fx_rate">#REF!</definedName>
    <definedName name="fy">#REF!</definedName>
    <definedName name="Fyb">#REF!</definedName>
    <definedName name="Fyp">#REF!</definedName>
    <definedName name="ga">#REF!</definedName>
    <definedName name="GANCHO">#REF!</definedName>
    <definedName name="GarantiaExtendida">#REF!</definedName>
    <definedName name="GarantiaExtendidaCostos">#REF!</definedName>
    <definedName name="gb">#REF!</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c">#REF!</definedName>
    <definedName name="gd">#REF!</definedName>
    <definedName name="gdj">#REF!</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#REF!</definedName>
    <definedName name="gecolsa06">#REF!</definedName>
    <definedName name="geg" localSheetId="1" hidden="1">{"via1",#N/A,TRUE,"general";"via2",#N/A,TRUE,"general";"via3",#N/A,TRUE,"general"}</definedName>
    <definedName name="geg" hidden="1">{"via1",#N/A,TRUE,"general";"via2",#N/A,TRUE,"general";"via3",#N/A,TRUE,"general"}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ETCostOutput">#REF!</definedName>
    <definedName name="gf">#REF!</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hidden="1">{"via1",#N/A,TRUE,"general";"via2",#N/A,TRUE,"general";"via3",#N/A,TRUE,"general"}</definedName>
    <definedName name="gft">#REF!</definedName>
    <definedName name="gfutyj6" localSheetId="1" hidden="1">{"via1",#N/A,TRUE,"general";"via2",#N/A,TRUE,"general";"via3",#N/A,TRUE,"general"}</definedName>
    <definedName name="gfutyj6" hidden="1">{"via1",#N/A,TRUE,"general";"via2",#N/A,TRUE,"general";"via3",#N/A,TRUE,"general"}</definedName>
    <definedName name="gg">#REF!</definedName>
    <definedName name="ggdr" localSheetId="1"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gg">#REF!</definedName>
    <definedName name="gggggt" localSheetId="1"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#REF!</definedName>
    <definedName name="ghdghuy" localSheetId="1"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G">#REF!</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i">#REF!</definedName>
    <definedName name="gj">#REF!</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#REF!</definedName>
    <definedName name="GKJDGDIJZ">"Imagen 3"</definedName>
    <definedName name="gl">#REF!</definedName>
    <definedName name="gmt">#REF!</definedName>
    <definedName name="gn">#REF!</definedName>
    <definedName name="gnm">#REF!</definedName>
    <definedName name="gñ">#REF!</definedName>
    <definedName name="gp">#REF!</definedName>
    <definedName name="GPS">#REF!</definedName>
    <definedName name="GPSCostos">#REF!</definedName>
    <definedName name="_xlnm.Recorder">#REF!</definedName>
    <definedName name="grados">#REF!</definedName>
    <definedName name="GRAF1ANO" localSheetId="1"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ANITO">#REF!</definedName>
    <definedName name="GRANO">#REF!</definedName>
    <definedName name="gravilla">#REF!</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hidden="1">{"via1",#N/A,TRUE,"general";"via2",#N/A,TRUE,"general";"via3",#N/A,TRUE,"general"}</definedName>
    <definedName name="grl">#REF!</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#REF!</definedName>
    <definedName name="GRUPO2">#REF!</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hidden="1">{"via1",#N/A,TRUE,"general";"via2",#N/A,TRUE,"general";"via3",#N/A,TRUE,"general"}</definedName>
    <definedName name="gte">#REF!</definedName>
    <definedName name="gtgt" localSheetId="1"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v">#REF!</definedName>
    <definedName name="Gw">#REF!</definedName>
    <definedName name="gy">#REF!</definedName>
    <definedName name="h">#REF!</definedName>
    <definedName name="H.L._INGENIEROS___API_LTDA">#REF!</definedName>
    <definedName name="h9h" localSheetId="1" hidden="1">{"via1",#N/A,TRUE,"general";"via2",#N/A,TRUE,"general";"via3",#N/A,TRUE,"general"}</definedName>
    <definedName name="h9h" hidden="1">{"via1",#N/A,TRUE,"general";"via2",#N/A,TRUE,"general";"via3",#N/A,TRUE,"general"}</definedName>
    <definedName name="ha">#REF!</definedName>
    <definedName name="Hab.predio">#REF!</definedName>
    <definedName name="hab___viv">#REF!</definedName>
    <definedName name="HARRY">#REF!</definedName>
    <definedName name="Hb">#REF!</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C_Accesorios">#REF!</definedName>
    <definedName name="HC_CANON_ESP">#REF!</definedName>
    <definedName name="HC_CanonInterpolado">#REF!</definedName>
    <definedName name="HC_Capital">#REF!</definedName>
    <definedName name="HC_Capital_Congelado">#REF!</definedName>
    <definedName name="HC_CapitalInicio">#REF!</definedName>
    <definedName name="HCAccesoriosPrecPub">#REF!</definedName>
    <definedName name="hdfh" localSheetId="1"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rr">#REF!</definedName>
    <definedName name="hfgh" localSheetId="1"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hidden="1">{"via1",#N/A,TRUE,"general";"via2",#N/A,TRUE,"general";"via3",#N/A,TRUE,"general"}</definedName>
    <definedName name="HG">#REF!</definedName>
    <definedName name="HGFH" localSheetId="1"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gt">#REF!</definedName>
    <definedName name="hgu">#REF!</definedName>
    <definedName name="hh">#REF!</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#REF!</definedName>
    <definedName name="hhhhhh" localSheetId="1"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jh">#REF!</definedName>
    <definedName name="hhtrhreh" localSheetId="1" hidden="1">{"via1",#N/A,TRUE,"general";"via2",#N/A,TRUE,"general";"via3",#N/A,TRUE,"general"}</definedName>
    <definedName name="hhtrhreh" hidden="1">{"via1",#N/A,TRUE,"general";"via2",#N/A,TRUE,"general";"via3",#N/A,TRUE,"general"}</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erro2">#REF!</definedName>
    <definedName name="hierro4">#REF!</definedName>
    <definedName name="HILERAS">#REF!</definedName>
    <definedName name="HisYear_0" hidden="1">#REF!</definedName>
    <definedName name="HisYear_1" hidden="1">#REF!</definedName>
    <definedName name="HisYear_2" hidden="1">#REF!</definedName>
    <definedName name="HisYear_3" hidden="1">#REF!</definedName>
    <definedName name="hj">#REF!</definedName>
    <definedName name="hjfg" localSheetId="1"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hjhhhhhhhhhhhhh">#REF!</definedName>
    <definedName name="hjhjhj">#REF!</definedName>
    <definedName name="hjhjhjhj">#REF!</definedName>
    <definedName name="hjk">#REF!</definedName>
    <definedName name="HJKH" localSheetId="1"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l">#REF!</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n.ConvertZero1" hidden="1">#REF!,#REF!,#REF!,#REF!,#REF!,#REF!,#REF!,#REF!,#REF!,#REF!</definedName>
    <definedName name="hn.ConvertZero2" hidden="1">#REF!,#REF!,#REF!,#REF!,#REF!,#REF!,#REF!,#REF!</definedName>
    <definedName name="hn.ConvertZero3" hidden="1">#REF!,#REF!,#REF!,#REF!,#REF!</definedName>
    <definedName name="hn.ConvertZero4" hidden="1">#REF!,#REF!,#REF!,#REF!,#REF!,#REF!,#REF!,#REF!</definedName>
    <definedName name="hn.ConvertZeroUnhide1" hidden="1">#REF!,#REF!,#REF!</definedName>
    <definedName name="hn.Delete015" hidden="1">#REF!,#REF!,#REF!,#REF!</definedName>
    <definedName name="hn.DZ_MultByFXRates" hidden="1">#REF!,#REF!,#REF!,#REF!</definedName>
    <definedName name="hn.ExtDb" hidden="1">FALSE</definedName>
    <definedName name="hn.LTM_MultByFXRates" hidden="1">#REF!,#REF!,#REF!,#REF!,#REF!,#REF!,#REF!</definedName>
    <definedName name="hn.ModelType" hidden="1">"DEAL"</definedName>
    <definedName name="hn.ModelVersion" hidden="1">1</definedName>
    <definedName name="hn.MultbyFXRates" hidden="1">#REF!,#REF!,#REF!,#REF!,#REF!,#REF!,#REF!</definedName>
    <definedName name="hn.MultByFXRates1" hidden="1">#REF!,#REF!,#REF!,#REF!,#REF!</definedName>
    <definedName name="hn.MultByFXRates2" hidden="1">#REF!,#REF!,#REF!,#REF!,#REF!</definedName>
    <definedName name="hn.MultByFXRates3" hidden="1">#REF!,#REF!,#REF!,#REF!,#REF!</definedName>
    <definedName name="hn.MultbyFxrates4" hidden="1">#REF!,#REF!,#REF!,#REF!,#REF!,#REF!,#REF!</definedName>
    <definedName name="hn.multbyfxrates5" hidden="1">#REF!,#REF!,#REF!,#REF!,#REF!</definedName>
    <definedName name="hn.multbyfxrates6" hidden="1">#REF!,#REF!,#REF!,#REF!,#REF!</definedName>
    <definedName name="hn.multbyfxrates7" hidden="1">#REF!,#REF!,#REF!,#REF!,#REF!</definedName>
    <definedName name="hn.MultByFXRatesBot1" hidden="1">#REF!,#REF!,#REF!,#REF!,#REF!,#REF!,#REF!,#REF!,#REF!,#REF!,#REF!,#REF!</definedName>
    <definedName name="hn.MultByFXRatesBot2" hidden="1">#REF!,#REF!,#REF!,#REF!,#REF!,#REF!,#REF!,#REF!,#REF!,#REF!,#REF!,#REF!</definedName>
    <definedName name="hn.MultByFXRatesBot3" hidden="1">#REF!,#REF!,#REF!,#REF!,#REF!,#REF!,#REF!,#REF!,#REF!,#REF!,#REF!,#REF!</definedName>
    <definedName name="hn.MultByFXRatesBot4" hidden="1">#REF!,#REF!,#REF!,#REF!,#REF!,#REF!,#REF!,#REF!,#REF!,#REF!,#REF!,#REF!,#REF!</definedName>
    <definedName name="hn.MultByFXRatesBot5" hidden="1">#REF!,#REF!,#REF!,#REF!,#REF!,#REF!,#REF!,#REF!,#REF!,#REF!,#REF!</definedName>
    <definedName name="hn.MultByFXRatesBot6" hidden="1">#REF!,#REF!,#REF!,#REF!,#REF!,#REF!,#REF!,#REF!,#REF!,#REF!,#REF!</definedName>
    <definedName name="hn.MultByFXRatesBot7" hidden="1">#REF!,#REF!,#REF!,#REF!,#REF!,#REF!,#REF!,#REF!,#REF!,#REF!,#REF!</definedName>
    <definedName name="hn.MultByFXRatesTop1" hidden="1">#REF!,#REF!,#REF!,#REF!,#REF!,#REF!,#REF!,#REF!,#REF!,#REF!,#REF!,#REF!</definedName>
    <definedName name="hn.MultByFXRatesTop2" hidden="1">#REF!,#REF!,#REF!,#REF!,#REF!,#REF!,#REF!,#REF!,#REF!,#REF!,#REF!,#REF!,#REF!,#REF!,#REF!</definedName>
    <definedName name="hn.MultByFXRatesTop3" hidden="1">#REF!,#REF!,#REF!,#REF!,#REF!,#REF!,#REF!,#REF!,#REF!,#REF!,#REF!,#REF!,#REF!,#REF!,#REF!</definedName>
    <definedName name="hn.MultByFXRatesTop4" hidden="1">#REF!,#REF!,#REF!,#REF!,#REF!,#REF!,#REF!,#REF!,#REF!,#REF!,#REF!,#REF!,#REF!,#REF!,#REF!</definedName>
    <definedName name="hn.MultByFXRatesTop5" hidden="1">#REF!,#REF!,#REF!,#REF!,#REF!,#REF!,#REF!,#REF!,#REF!,#REF!,#REF!,#REF!</definedName>
    <definedName name="hn.MultByFXRatesTop6" hidden="1">#REF!,#REF!,#REF!,#REF!,#REF!,#REF!,#REF!,#REF!,#REF!,#REF!,#REF!,#REF!,#REF!,#REF!,#REF!</definedName>
    <definedName name="hn.MultByFXRatesTop7" hidden="1">#REF!,#REF!,#REF!,#REF!,#REF!,#REF!,#REF!,#REF!,#REF!,#REF!,#REF!,#REF!,#REF!,#REF!,#REF!</definedName>
    <definedName name="hn.NoUpload" hidden="1">0</definedName>
    <definedName name="hn.YearLabel" hidden="1">#REF!</definedName>
    <definedName name="hnt">#REF!</definedName>
    <definedName name="HOJA" localSheetId="44">DATE(YEAR([0]!Loan_Start),MONTH([0]!Loan_Start)+Payment_Number,DAY([0]!Loan_Start))</definedName>
    <definedName name="HOJA" localSheetId="5">DATE(YEAR([0]!Loan_Start),MONTH([0]!Loan_Start)+Payment_Number,DAY([0]!Loan_Start))</definedName>
    <definedName name="HOJA" localSheetId="6">DATE(YEAR([0]!Loan_Start),MONTH([0]!Loan_Start)+Payment_Number,DAY([0]!Loan_Start))</definedName>
    <definedName name="HOJA" localSheetId="7">DATE(YEAR([0]!Loan_Start),MONTH([0]!Loan_Start)+Payment_Number,DAY([0]!Loan_Start))</definedName>
    <definedName name="HOJA" localSheetId="8">DATE(YEAR([0]!Loan_Start),MONTH([0]!Loan_Start)+Payment_Number,DAY([0]!Loan_Start))</definedName>
    <definedName name="HOJA" localSheetId="9">DATE(YEAR([0]!Loan_Start),MONTH([0]!Loan_Start)+Payment_Number,DAY([0]!Loan_Start))</definedName>
    <definedName name="HOJA" localSheetId="10">DATE(YEAR([0]!Loan_Start),MONTH([0]!Loan_Start)+Payment_Number,DAY([0]!Loan_Start))</definedName>
    <definedName name="HOJA" localSheetId="11">DATE(YEAR([0]!Loan_Start),MONTH([0]!Loan_Start)+Payment_Number,DAY([0]!Loan_Start))</definedName>
    <definedName name="HOJA" localSheetId="12">DATE(YEAR([0]!Loan_Start),MONTH([0]!Loan_Start)+Payment_Number,DAY([0]!Loan_Start))</definedName>
    <definedName name="HOJA" localSheetId="13">DATE(YEAR([0]!Loan_Start),MONTH([0]!Loan_Start)+Payment_Number,DAY([0]!Loan_Start))</definedName>
    <definedName name="HOJA" localSheetId="33">DATE(YEAR([0]!Loan_Start),MONTH([0]!Loan_Start)+Payment_Number,DAY([0]!Loan_Start))</definedName>
    <definedName name="HOJA" localSheetId="34">DATE(YEAR([0]!Loan_Start),MONTH([0]!Loan_Start)+Payment_Number,DAY([0]!Loan_Start))</definedName>
    <definedName name="HOJA" localSheetId="35">DATE(YEAR([0]!Loan_Start),MONTH([0]!Loan_Start)+Payment_Number,DAY([0]!Loan_Start))</definedName>
    <definedName name="HOJA" localSheetId="37">DATE(YEAR([0]!Loan_Start),MONTH([0]!Loan_Start)+Payment_Number,DAY([0]!Loan_Start))</definedName>
    <definedName name="HOJA" localSheetId="1">DATE(YEAR([0]!Loan_Start),MONTH([0]!Loan_Start)+Payment_Number,DAY([0]!Loan_Start))</definedName>
    <definedName name="HOJA" localSheetId="14">DATE(YEAR([0]!Loan_Start),MONTH([0]!Loan_Start)+Payment_Number,DAY([0]!Loan_Start))</definedName>
    <definedName name="HOJA" localSheetId="15">DATE(YEAR([0]!Loan_Start),MONTH([0]!Loan_Start)+Payment_Number,DAY([0]!Loan_Start))</definedName>
    <definedName name="HOJA" localSheetId="16">DATE(YEAR([0]!Loan_Start),MONTH([0]!Loan_Start)+Payment_Number,DAY([0]!Loan_Start))</definedName>
    <definedName name="HOJA" localSheetId="17">DATE(YEAR([0]!Loan_Start),MONTH([0]!Loan_Start)+Payment_Number,DAY([0]!Loan_Start))</definedName>
    <definedName name="HOJA">DATE(YEAR([0]!Loan_Start),MONTH([0]!Loan_Start)+Payment_Number,DAY([0]!Loan_Start))</definedName>
    <definedName name="HOJA1">#REF!</definedName>
    <definedName name="HOJA444" localSheetId="44">DATE(YEAR([0]!Loan_Start),MONTH([0]!Loan_Start)+Payment_Number,DAY([0]!Loan_Start))</definedName>
    <definedName name="HOJA444" localSheetId="5">DATE(YEAR([0]!Loan_Start),MONTH([0]!Loan_Start)+Payment_Number,DAY([0]!Loan_Start))</definedName>
    <definedName name="HOJA444" localSheetId="6">DATE(YEAR([0]!Loan_Start),MONTH([0]!Loan_Start)+Payment_Number,DAY([0]!Loan_Start))</definedName>
    <definedName name="HOJA444" localSheetId="7">DATE(YEAR([0]!Loan_Start),MONTH([0]!Loan_Start)+Payment_Number,DAY([0]!Loan_Start))</definedName>
    <definedName name="HOJA444" localSheetId="8">DATE(YEAR([0]!Loan_Start),MONTH([0]!Loan_Start)+Payment_Number,DAY([0]!Loan_Start))</definedName>
    <definedName name="HOJA444" localSheetId="9">DATE(YEAR([0]!Loan_Start),MONTH([0]!Loan_Start)+Payment_Number,DAY([0]!Loan_Start))</definedName>
    <definedName name="HOJA444" localSheetId="10">DATE(YEAR([0]!Loan_Start),MONTH([0]!Loan_Start)+Payment_Number,DAY([0]!Loan_Start))</definedName>
    <definedName name="HOJA444" localSheetId="11">DATE(YEAR([0]!Loan_Start),MONTH([0]!Loan_Start)+Payment_Number,DAY([0]!Loan_Start))</definedName>
    <definedName name="HOJA444" localSheetId="12">DATE(YEAR([0]!Loan_Start),MONTH([0]!Loan_Start)+Payment_Number,DAY([0]!Loan_Start))</definedName>
    <definedName name="HOJA444" localSheetId="13">DATE(YEAR([0]!Loan_Start),MONTH([0]!Loan_Start)+Payment_Number,DAY([0]!Loan_Start))</definedName>
    <definedName name="HOJA444" localSheetId="33">DATE(YEAR([0]!Loan_Start),MONTH([0]!Loan_Start)+Payment_Number,DAY([0]!Loan_Start))</definedName>
    <definedName name="HOJA444" localSheetId="34">DATE(YEAR([0]!Loan_Start),MONTH([0]!Loan_Start)+Payment_Number,DAY([0]!Loan_Start))</definedName>
    <definedName name="HOJA444" localSheetId="35">DATE(YEAR([0]!Loan_Start),MONTH([0]!Loan_Start)+Payment_Number,DAY([0]!Loan_Start))</definedName>
    <definedName name="HOJA444" localSheetId="37">DATE(YEAR([0]!Loan_Start),MONTH([0]!Loan_Start)+Payment_Number,DAY([0]!Loan_Start))</definedName>
    <definedName name="HOJA444" localSheetId="1">DATE(YEAR([0]!Loan_Start),MONTH([0]!Loan_Start)+Payment_Number,DAY([0]!Loan_Start))</definedName>
    <definedName name="HOJA444" localSheetId="14">DATE(YEAR([0]!Loan_Start),MONTH([0]!Loan_Start)+Payment_Number,DAY([0]!Loan_Start))</definedName>
    <definedName name="HOJA444" localSheetId="15">DATE(YEAR([0]!Loan_Start),MONTH([0]!Loan_Start)+Payment_Number,DAY([0]!Loan_Start))</definedName>
    <definedName name="HOJA444" localSheetId="16">DATE(YEAR([0]!Loan_Start),MONTH([0]!Loan_Start)+Payment_Number,DAY([0]!Loan_Start))</definedName>
    <definedName name="HOJA444" localSheetId="17">DATE(YEAR([0]!Loan_Start),MONTH([0]!Loan_Start)+Payment_Number,DAY([0]!Loan_Start))</definedName>
    <definedName name="HOJA444">DATE(YEAR([0]!Loan_Start),MONTH([0]!Loan_Start)+Payment_Number,DAY([0]!Loan_Start))</definedName>
    <definedName name="HOJA8">#REF!</definedName>
    <definedName name="HORAS_DIAS">#REF!</definedName>
    <definedName name="horas_lluvia">#REF!</definedName>
    <definedName name="HORAS_LLUVIAS">#REF!</definedName>
    <definedName name="HORASLLUVIA">#REF!</definedName>
    <definedName name="horat">#REF!</definedName>
    <definedName name="HoursTotCol">#REF!</definedName>
    <definedName name="hp">#REF!</definedName>
    <definedName name="hqi">#REF!</definedName>
    <definedName name="hqmaxsutro">#REF!</definedName>
    <definedName name="hQminsutro">#REF!</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Increment">#REF!</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fg" localSheetId="1" hidden="1">{"via1",#N/A,TRUE,"general";"via2",#N/A,TRUE,"general";"via3",#N/A,TRUE,"general"}</definedName>
    <definedName name="hsfg" hidden="1">{"via1",#N/A,TRUE,"general";"via2",#N/A,TRUE,"general";"via3",#N/A,TRUE,"general"}</definedName>
    <definedName name="ht">#REF!</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k">#REF!</definedName>
    <definedName name="htryrt7" localSheetId="1" hidden="1">{"via1",#N/A,TRUE,"general";"via2",#N/A,TRUE,"general";"via3",#N/A,TRUE,"general"}</definedName>
    <definedName name="htryrt7" hidden="1">{"via1",#N/A,TRUE,"general";"via2",#N/A,TRUE,"general";"via3",#N/A,TRUE,"general"}</definedName>
    <definedName name="HY">#REF!</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localSheetId="1" hidden="1">{"via1",#N/A,TRUE,"general";"via2",#N/A,TRUE,"general";"via3",#N/A,TRUE,"general"}</definedName>
    <definedName name="hytirs" hidden="1">{"via1",#N/A,TRUE,"general";"via2",#N/A,TRUE,"general";"via3",#N/A,TRUE,"general"}</definedName>
    <definedName name="I">#REF!</definedName>
    <definedName name="i1277.">#REF!</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ANC">#REF!</definedName>
    <definedName name="id">#REF!</definedName>
    <definedName name="IF">#REF!</definedName>
    <definedName name="ig">#REF!</definedName>
    <definedName name="ii">#REF!</definedName>
    <definedName name="iii" localSheetId="1"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#REF!</definedName>
    <definedName name="ikj">#REF!</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m_Un">#REF!</definedName>
    <definedName name="ImpdosporMilCostos">#REF!</definedName>
    <definedName name="Impdosxmil">#REF!</definedName>
    <definedName name="imprev">#REF!</definedName>
    <definedName name="imprevistos">#REF!</definedName>
    <definedName name="Imprevistos_mmto_año1">#REF!</definedName>
    <definedName name="ImpuestoCostos">#REF!</definedName>
    <definedName name="Impuestos">#REF!</definedName>
    <definedName name="IMPULSIONALCANTARILLADOTABLA1.10">#REF!</definedName>
    <definedName name="Incomepb" hidden="1">#REF!</definedName>
    <definedName name="INCONTERMS">#REF!</definedName>
    <definedName name="INCREMENTO1">#REF!</definedName>
    <definedName name="INCREMENTO2">#REF!</definedName>
    <definedName name="INCREMENTO3">#REF!</definedName>
    <definedName name="IncrementoCanon">#REF!</definedName>
    <definedName name="IND">#REF!</definedName>
    <definedName name="INDICE">#REF!</definedName>
    <definedName name="INDICEPRECIOSCONSUMIDOR">#REF!</definedName>
    <definedName name="INDIREC">#REF!</definedName>
    <definedName name="INDJA1">#REF!</definedName>
    <definedName name="inf">#REF!</definedName>
    <definedName name="IniCeldaDtfRapida">#REF!</definedName>
    <definedName name="Inicio">#REF!</definedName>
    <definedName name="InitFleet">#REF!</definedName>
    <definedName name="InitPurch">#REF!</definedName>
    <definedName name="INS">#REF!</definedName>
    <definedName name="Instalación_TM_incluye15Breake">#REF!</definedName>
    <definedName name="instalaciontuberia3">#REF!</definedName>
    <definedName name="INSU">#REF!</definedName>
    <definedName name="INSUMO">"$B$4:$B$2082"</definedName>
    <definedName name="INSUMOS">#REF!</definedName>
    <definedName name="InsuranceRate">#REF!</definedName>
    <definedName name="Int">#REF!</definedName>
    <definedName name="intCosteoMmto">#REF!</definedName>
    <definedName name="intDiasPagoFactura">#REF!</definedName>
    <definedName name="Interest_Rate">#REF!</definedName>
    <definedName name="InterestRate">#REF!</definedName>
    <definedName name="interven">#REF!</definedName>
    <definedName name="intFrecIncremInsumosAno">#REF!</definedName>
    <definedName name="intFrecInctoMmtoAno">#REF!</definedName>
    <definedName name="intMesBenTributario">#REF!</definedName>
    <definedName name="intMesCruzarIva">#REF!</definedName>
    <definedName name="intMesInicioIncremInsumosAno">#REF!</definedName>
    <definedName name="intMesRevFinCont">#REF!</definedName>
    <definedName name="intPlazoVariable1">#REF!</definedName>
    <definedName name="intPlazoVariable2">#REF!</definedName>
    <definedName name="intPlazoVariable3">#REF!</definedName>
    <definedName name="IntRendCombKmGl">#REF!</definedName>
    <definedName name="IntTipoMmto">#REF!</definedName>
    <definedName name="INV_11">#REF!</definedName>
    <definedName name="io">#REF!</definedName>
    <definedName name="IPC">#REF!</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#REF!</definedName>
    <definedName name="IsColHidden" hidden="1">FALSE</definedName>
    <definedName name="IsLTMColHidden" hidden="1">FALSE</definedName>
    <definedName name="IsSecureRevolver" hidden="1">#REF!</definedName>
    <definedName name="IsSecureSenior1" hidden="1">#REF!</definedName>
    <definedName name="IsSecureSenior2" hidden="1">#REF!</definedName>
    <definedName name="IsSecureSenior3" hidden="1">#REF!</definedName>
    <definedName name="IsSecureSenior4" hidden="1">#REF!</definedName>
    <definedName name="IsSecureSenior5" hidden="1">#REF!</definedName>
    <definedName name="IsSecureSenior6" hidden="1">#REF!</definedName>
    <definedName name="IsSecureSenior7" hidden="1">#REF!</definedName>
    <definedName name="it.">#REF!</definedName>
    <definedName name="ITEM">#REF!</definedName>
    <definedName name="Item_number">#REF!</definedName>
    <definedName name="ITEM1">#REF!</definedName>
    <definedName name="ITEM15">#REF!</definedName>
    <definedName name="ITEM2">#REF!</definedName>
    <definedName name="ITEM2.10">#REF!</definedName>
    <definedName name="ITEM2.11">#REF!</definedName>
    <definedName name="ITEM2.12">#REF!</definedName>
    <definedName name="ITEM201.1">#REF!</definedName>
    <definedName name="ITEM201.2">#REF!</definedName>
    <definedName name="ITEM201.3">#REF!</definedName>
    <definedName name="ITEM210.2">#REF!</definedName>
    <definedName name="ITEM210.3">#REF!</definedName>
    <definedName name="ITEM211.1">#REF!</definedName>
    <definedName name="ITEM220.1">#REF!</definedName>
    <definedName name="ITEM222">#REF!</definedName>
    <definedName name="ITEM230">#REF!</definedName>
    <definedName name="ITEM3">#REF!</definedName>
    <definedName name="ITEM3.15">#REF!</definedName>
    <definedName name="ITEM3.16">#REF!</definedName>
    <definedName name="ITEM3.17">#REF!</definedName>
    <definedName name="ITEM3.18">#REF!</definedName>
    <definedName name="ITEM3.19">#REF!</definedName>
    <definedName name="ITEM3.20">#REF!</definedName>
    <definedName name="ITEM3.21">#REF!</definedName>
    <definedName name="ITEM3.22">#REF!</definedName>
    <definedName name="ITEM3.23">#REF!</definedName>
    <definedName name="item320">#REF!</definedName>
    <definedName name="ITEM330">#REF!</definedName>
    <definedName name="ITEM4.20">#REF!</definedName>
    <definedName name="ITEM4.21">#REF!</definedName>
    <definedName name="ITEM4.22">#REF!</definedName>
    <definedName name="ITEM4.23">#REF!</definedName>
    <definedName name="ITEM4.24">#REF!</definedName>
    <definedName name="ITEM4.25">#REF!</definedName>
    <definedName name="ITEM4.26">#REF!</definedName>
    <definedName name="ITEM4.27">#REF!</definedName>
    <definedName name="ITEM4.28">#REF!</definedName>
    <definedName name="ITEM4.29">#REF!</definedName>
    <definedName name="ITEM4.30">#REF!</definedName>
    <definedName name="ITEM4.31">#REF!</definedName>
    <definedName name="ITEM4.32">#REF!</definedName>
    <definedName name="ITEM4.33">#REF!</definedName>
    <definedName name="ITEM4.34">#REF!</definedName>
    <definedName name="ITEM4.35">#REF!</definedName>
    <definedName name="ITEM4.36">#REF!</definedName>
    <definedName name="ITEM4.37">#REF!</definedName>
    <definedName name="ITEM4.38">#REF!</definedName>
    <definedName name="ITEM4.39">#REF!</definedName>
    <definedName name="ITEM4.40">#REF!</definedName>
    <definedName name="ITEM4.41">#REF!</definedName>
    <definedName name="ITEM4.42">#REF!</definedName>
    <definedName name="ITEM4.43">#REF!</definedName>
    <definedName name="ITEM4.44">#REF!</definedName>
    <definedName name="ITEM4.45">#REF!</definedName>
    <definedName name="ITEM4.46">#REF!</definedName>
    <definedName name="ITEM410">#REF!</definedName>
    <definedName name="ITEM420">#REF!</definedName>
    <definedName name="ITEM450">#REF!</definedName>
    <definedName name="ITEM5.100">#REF!</definedName>
    <definedName name="ITEM5.101">#REF!</definedName>
    <definedName name="ITEM5.104">#REF!</definedName>
    <definedName name="ITEM5.105">#REF!</definedName>
    <definedName name="ITEM5.106">#REF!</definedName>
    <definedName name="ITEM5.107">#REF!</definedName>
    <definedName name="ITEM5.108">#REF!</definedName>
    <definedName name="ITEM5.109">#REF!</definedName>
    <definedName name="ITEM5.111">#REF!</definedName>
    <definedName name="ITEM5.112">#REF!</definedName>
    <definedName name="ITEM5.113">#REF!</definedName>
    <definedName name="ITEM5.114">#REF!</definedName>
    <definedName name="ITEM5.115">#REF!</definedName>
    <definedName name="ITEM5.53">#REF!</definedName>
    <definedName name="ITEM5.54">#REF!</definedName>
    <definedName name="ITEM5.55">#REF!</definedName>
    <definedName name="ITEM5.56">#REF!</definedName>
    <definedName name="ITEM5.57">#REF!</definedName>
    <definedName name="ITEM5.58">#REF!</definedName>
    <definedName name="ITEM5.59">#REF!</definedName>
    <definedName name="ITEM5.60">#REF!</definedName>
    <definedName name="ITEM5.61">#REF!</definedName>
    <definedName name="ITEM5.62">#REF!</definedName>
    <definedName name="ITEM5.63">#REF!</definedName>
    <definedName name="ITEM5.64">#REF!</definedName>
    <definedName name="ITEM5.65">#REF!</definedName>
    <definedName name="ITEM5.66">#REF!</definedName>
    <definedName name="ITEM5.67">#REF!</definedName>
    <definedName name="ITEM5.68">#REF!</definedName>
    <definedName name="ITEM5.69">#REF!</definedName>
    <definedName name="ITEM5.70">#REF!</definedName>
    <definedName name="ITEM5.71">#REF!</definedName>
    <definedName name="ITEM5.72">#REF!</definedName>
    <definedName name="ITEM5.73">#REF!</definedName>
    <definedName name="ITEM5.74">#REF!</definedName>
    <definedName name="ITEM5.77">#REF!</definedName>
    <definedName name="ITEM5.78">#REF!</definedName>
    <definedName name="ITEM5.79">#REF!</definedName>
    <definedName name="ITEM5.80">#REF!</definedName>
    <definedName name="ITEM5.82">#REF!</definedName>
    <definedName name="ITEM5.83">#REF!</definedName>
    <definedName name="ITEM5.84">#REF!</definedName>
    <definedName name="ITEM5.85">#REF!</definedName>
    <definedName name="ITEM5.86">#REF!</definedName>
    <definedName name="ITEM5.87">#REF!</definedName>
    <definedName name="ITEM5.88">#REF!</definedName>
    <definedName name="ITEM5.89">#REF!</definedName>
    <definedName name="ITEM5.90">#REF!</definedName>
    <definedName name="ITEM5.91">#REF!</definedName>
    <definedName name="ITEM5.92">#REF!</definedName>
    <definedName name="ITEM5.93">#REF!</definedName>
    <definedName name="ITEM5.94">#REF!</definedName>
    <definedName name="ITEM5.95">#REF!</definedName>
    <definedName name="ITEM5.96">#REF!</definedName>
    <definedName name="ITEM5.97">#REF!</definedName>
    <definedName name="ITEM5.98">#REF!</definedName>
    <definedName name="ITEM5.99">#REF!</definedName>
    <definedName name="ITEM521">#REF!</definedName>
    <definedName name="ITEM610">#REF!</definedName>
    <definedName name="ITEM630.4">#REF!</definedName>
    <definedName name="ITEM630.5">#REF!</definedName>
    <definedName name="ITEM630.6">#REF!</definedName>
    <definedName name="ITEM630.7">#REF!</definedName>
    <definedName name="ITEM630.8">#REF!</definedName>
    <definedName name="ITEM632">#REF!</definedName>
    <definedName name="ITEM640">#REF!</definedName>
    <definedName name="ITEM661">#REF!</definedName>
    <definedName name="ITEM671">#REF!</definedName>
    <definedName name="ITEM681">#REF!</definedName>
    <definedName name="ITEM7.1">#REF!</definedName>
    <definedName name="ITEM7.10">#REF!</definedName>
    <definedName name="ITEM7.11">#REF!</definedName>
    <definedName name="ITEM7.12">#REF!</definedName>
    <definedName name="ITEM7.13">#REF!</definedName>
    <definedName name="ITEM7.14">#REF!</definedName>
    <definedName name="ITEM7.15">#REF!</definedName>
    <definedName name="ITEM7.16">#REF!</definedName>
    <definedName name="ITEM7.17">#REF!</definedName>
    <definedName name="ITEM7.18">#REF!</definedName>
    <definedName name="ITEM7.19">#REF!</definedName>
    <definedName name="ITEM7.2">#REF!</definedName>
    <definedName name="ITEM7.20">#REF!</definedName>
    <definedName name="ITEM7.21">#REF!</definedName>
    <definedName name="ITEM7.22">#REF!</definedName>
    <definedName name="ITEM7.23">#REF!</definedName>
    <definedName name="ITEM7.24">#REF!</definedName>
    <definedName name="ITEM7.25">#REF!</definedName>
    <definedName name="ITEM7.26">#REF!</definedName>
    <definedName name="ITEM7.27">#REF!</definedName>
    <definedName name="ITEM7.28">#REF!</definedName>
    <definedName name="ITEM7.29">#REF!</definedName>
    <definedName name="ITEM7.3">#REF!</definedName>
    <definedName name="ITEM7.30">#REF!</definedName>
    <definedName name="ITEM7.31">#REF!</definedName>
    <definedName name="ITEM7.32">#REF!</definedName>
    <definedName name="ITEM7.33">#REF!</definedName>
    <definedName name="ITEM7.34">#REF!</definedName>
    <definedName name="ITEM7.35">#REF!</definedName>
    <definedName name="ITEM7.4">#REF!</definedName>
    <definedName name="ITEM7.5">#REF!</definedName>
    <definedName name="ITEM7.6">#REF!</definedName>
    <definedName name="ITEM7.7">#REF!</definedName>
    <definedName name="ITEM7.8">#REF!</definedName>
    <definedName name="ITEM7.9">#REF!</definedName>
    <definedName name="ITEM704">#REF!</definedName>
    <definedName name="ITEM720">#REF!</definedName>
    <definedName name="ITEM900">#REF!</definedName>
    <definedName name="ItemCodos">#REF!</definedName>
    <definedName name="items">#REF!</definedName>
    <definedName name="ITEN320">#REF!</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#REF!</definedName>
    <definedName name="iyuiuyi" localSheetId="1"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a">#REF!</definedName>
    <definedName name="JACK_RYAN">#REF!</definedName>
    <definedName name="jan02a">#REF!</definedName>
    <definedName name="Jb">#REF!</definedName>
    <definedName name="Jc">#REF!</definedName>
    <definedName name="Jd">#REF!</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#REF!</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#REF!</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GJG">#REF!</definedName>
    <definedName name="jh">#REF!</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#REF!</definedName>
    <definedName name="jjfq" localSheetId="1" hidden="1">{"via1",#N/A,TRUE,"general";"via2",#N/A,TRUE,"general";"via3",#N/A,TRUE,"general"}</definedName>
    <definedName name="jjfq" hidden="1">{"via1",#N/A,TRUE,"general";"via2",#N/A,TRUE,"general";"via3",#N/A,TRUE,"general"}</definedName>
    <definedName name="jjj">#REF!</definedName>
    <definedName name="jjjhjddfg" localSheetId="1" hidden="1">{"via1",#N/A,TRUE,"general";"via2",#N/A,TRUE,"general";"via3",#N/A,TRUE,"general"}</definedName>
    <definedName name="jjjhjddfg" hidden="1">{"via1",#N/A,TRUE,"general";"via2",#N/A,TRUE,"general";"via3",#N/A,TRUE,"general"}</definedName>
    <definedName name="jjjjjjjjjjjjjjj">#REF!</definedName>
    <definedName name="jjjjju" localSheetId="1"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hidden="1">{"via1",#N/A,TRUE,"general";"via2",#N/A,TRUE,"general";"via3",#N/A,TRUE,"general"}</definedName>
    <definedName name="jk">#REF!</definedName>
    <definedName name="jkjh">#REF!</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1" hidden="1">{"TAB1",#N/A,TRUE,"GENERAL";"TAB2",#N/A,TRUE,"GENERAL";"TAB3",#N/A,TRUE,"GENERAL";"TAB4",#N/A,TRUE,"GENERAL";"TAB5",#N/A,TRUE,"GENERAL"}</definedName>
    <definedName name="jkl" hidden="1">{"TAB1",#N/A,TRUE,"GENERAL";"TAB2",#N/A,TRUE,"GENERAL";"TAB3",#N/A,TRUE,"GENERAL";"TAB4",#N/A,TRUE,"GENERAL";"TAB5",#N/A,TRUE,"GENERAL"}</definedName>
    <definedName name="jklj" hidden="1">#REF!</definedName>
    <definedName name="jn">#REF!</definedName>
    <definedName name="jñ">#REF!</definedName>
    <definedName name="jo">#REF!</definedName>
    <definedName name="Job_number">#REF!</definedName>
    <definedName name="JobNo">#REF!</definedName>
    <definedName name="jose">#REF!</definedName>
    <definedName name="JRYJ" localSheetId="1" hidden="1">{"via1",#N/A,TRUE,"general";"via2",#N/A,TRUE,"general";"via3",#N/A,TRUE,"general"}</definedName>
    <definedName name="JRYJ" hidden="1">{"via1",#N/A,TRUE,"general";"via2",#N/A,TRUE,"general";"via3",#N/A,TRUE,"general"}</definedName>
    <definedName name="jt">#REF!</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localSheetId="1"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l00">#REF!</definedName>
    <definedName name="jun">#REF!</definedName>
    <definedName name="jun00">#REF!</definedName>
    <definedName name="JUNE3">#REF!</definedName>
    <definedName name="junebs">#REF!</definedName>
    <definedName name="juneint">#REF!</definedName>
    <definedName name="juneint1">#REF!</definedName>
    <definedName name="juneint2">#REF!</definedName>
    <definedName name="JUNEINT3">#REF!</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yjt7" localSheetId="1"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aren">#REF!,#REF!</definedName>
    <definedName name="KHGGH" localSheetId="1" hidden="1">{"via1",#N/A,TRUE,"general";"via2",#N/A,TRUE,"general";"via3",#N/A,TRUE,"general"}</definedName>
    <definedName name="KHGGH" hidden="1">{"via1",#N/A,TRUE,"general";"via2",#N/A,TRUE,"general";"via3",#N/A,TRUE,"general"}</definedName>
    <definedName name="KHJ">#REF!</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hidden="1">{"via1",#N/A,TRUE,"general";"via2",#N/A,TRUE,"general";"via3",#N/A,TRUE,"general"}</definedName>
    <definedName name="kio">#REF!</definedName>
    <definedName name="kip">#REF!</definedName>
    <definedName name="KitCarretera">#REF!</definedName>
    <definedName name="KitCarreteraCostos">#REF!</definedName>
    <definedName name="Kiunga_Elec">#REF!</definedName>
    <definedName name="KJH">#REF!</definedName>
    <definedName name="kjhkd" localSheetId="1" hidden="1">{"via1",#N/A,TRUE,"general";"via2",#N/A,TRUE,"general";"via3",#N/A,TRUE,"general"}</definedName>
    <definedName name="kjhkd"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kjk">#REF!</definedName>
    <definedName name="kjljkl">#REF!</definedName>
    <definedName name="kjtrkjr" localSheetId="1" hidden="1">{"via1",#N/A,TRUE,"general";"via2",#N/A,TRUE,"general";"via3",#N/A,TRUE,"general"}</definedName>
    <definedName name="kjtrkjr" hidden="1">{"via1",#N/A,TRUE,"general";"via2",#N/A,TRUE,"general";"via3",#N/A,TRUE,"general"}</definedName>
    <definedName name="kk">#REF!</definedName>
    <definedName name="kkkki" localSheetId="1"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kkkkkk">#REF!</definedName>
    <definedName name="kkkkkkkk">#REF!</definedName>
    <definedName name="kkkkkkkkkkk">#REF!</definedName>
    <definedName name="kl">#REF!</definedName>
    <definedName name="kñy">#REF!</definedName>
    <definedName name="ko">#REF!</definedName>
    <definedName name="krtrk" localSheetId="1" hidden="1">{"via1",#N/A,TRUE,"general";"via2",#N/A,TRUE,"general";"via3",#N/A,TRUE,"general"}</definedName>
    <definedName name="krtrk" hidden="1">{"via1",#N/A,TRUE,"general";"via2",#N/A,TRUE,"general";"via3",#N/A,TRUE,"general"}</definedName>
    <definedName name="KTES_AL">#REF!</definedName>
    <definedName name="KU">#REF!</definedName>
    <definedName name="kuh">#REF!</definedName>
    <definedName name="kuy">#REF!</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#REF!</definedName>
    <definedName name="L_L" localSheetId="1">IF(BALANCE!Values_Entered,Header_Row+BALANCE!Number_of_Payments,Header_Row)</definedName>
    <definedName name="L_L">IF([0]!Values_Entered,Header_Row+[0]!Number_of_Payments,Header_Row)</definedName>
    <definedName name="La">#REF!</definedName>
    <definedName name="Labour">#REF!</definedName>
    <definedName name="largovertedero">#REF!</definedName>
    <definedName name="Last_Row" localSheetId="1">IF(BALANCE!Values_Entered,Header_Row+BALANCE!Number_of_Payments,Header_Row)</definedName>
    <definedName name="Last_Row">IF([0]!Values_Entered,Header_Row+[0]!Number_of_Payments,Header_Row)</definedName>
    <definedName name="Lb">#REF!</definedName>
    <definedName name="Ld">#REF!</definedName>
    <definedName name="Le">#REF!</definedName>
    <definedName name="Left_Header" hidden="1">#REF!</definedName>
    <definedName name="lev0.1">#REF!</definedName>
    <definedName name="Lf">#REF!</definedName>
    <definedName name="Lh">#REF!</definedName>
    <definedName name="Li">#REF!</definedName>
    <definedName name="LICITACION">#REF!</definedName>
    <definedName name="LIGBOQ">#REF!</definedName>
    <definedName name="LIGGARDE">#REF!</definedName>
    <definedName name="LIGRECAP">#REF!</definedName>
    <definedName name="LIGTITRE">#REF!</definedName>
    <definedName name="LIJOIJOI">#REF!</definedName>
    <definedName name="LIMATESA">#REF!</definedName>
    <definedName name="limcount" hidden="1">1</definedName>
    <definedName name="LINA">#REF!</definedName>
    <definedName name="LINEA">#REF!</definedName>
    <definedName name="Liner_Bolts">#REF!</definedName>
    <definedName name="Liquor.SG">#REF!</definedName>
    <definedName name="LIST">#REF!</definedName>
    <definedName name="List_cuadrillas">#REF!</definedName>
    <definedName name="LISTA">#REF!</definedName>
    <definedName name="Lista_Mater">#REF!</definedName>
    <definedName name="Lista_MO">#REF!</definedName>
    <definedName name="lista1">#REF!</definedName>
    <definedName name="lista3">#REF!</definedName>
    <definedName name="ListaCantidad">#REF!</definedName>
    <definedName name="ListaItem">#REF!</definedName>
    <definedName name="ListaUni">#REF!</definedName>
    <definedName name="LISTON2">#REF!</definedName>
    <definedName name="LISTON2x4x15">#REF!</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j">#REF!</definedName>
    <definedName name="Lk">#REF!</definedName>
    <definedName name="lkj" localSheetId="1"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kkl">#REF!</definedName>
    <definedName name="ll">#REF!</definedName>
    <definedName name="LLC_north_perc">50</definedName>
    <definedName name="LLC_south_perc">100</definedName>
    <definedName name="Lll">#REF!</definedName>
    <definedName name="llll">#REF!</definedName>
    <definedName name="lllllh" localSheetId="1" hidden="1">{"via1",#N/A,TRUE,"general";"via2",#N/A,TRUE,"general";"via3",#N/A,TRUE,"general"}</definedName>
    <definedName name="lllllh" hidden="1">{"via1",#N/A,TRUE,"general";"via2",#N/A,TRUE,"general";"via3",#N/A,TRUE,"general"}</definedName>
    <definedName name="lllllllllll">#REF!</definedName>
    <definedName name="lllllllo" localSheetId="1" hidden="1">{"via1",#N/A,TRUE,"general";"via2",#N/A,TRUE,"general";"via3",#N/A,TRUE,"general"}</definedName>
    <definedName name="lllllllo" hidden="1">{"via1",#N/A,TRUE,"general";"via2",#N/A,TRUE,"general";"via3",#N/A,TRUE,"general"}</definedName>
    <definedName name="LLUVIA">#REF!</definedName>
    <definedName name="LM">#REF!</definedName>
    <definedName name="lmf">#REF!</definedName>
    <definedName name="LMO">#REF!</definedName>
    <definedName name="Ln">#REF!</definedName>
    <definedName name="LngCantVehic">#REF!</definedName>
    <definedName name="LngKilometrajeAnno">#REF!</definedName>
    <definedName name="LngKilometrajeAno">#REF!</definedName>
    <definedName name="LngNumPeriodosGracia">#REF!</definedName>
    <definedName name="LngPickupKilometros">#REF!</definedName>
    <definedName name="LngPlazoRenting">#REF!</definedName>
    <definedName name="LngTiempoDepreciarMeses">#REF!</definedName>
    <definedName name="Lñ">#REF!</definedName>
    <definedName name="LÑP">#REF!</definedName>
    <definedName name="Lo">#REF!</definedName>
    <definedName name="Loan_Amount">#REF!</definedName>
    <definedName name="Loan_Start">#REF!</definedName>
    <definedName name="Loan_Years">#REF!</definedName>
    <definedName name="LOCA">#REF!</definedName>
    <definedName name="LOCA1">#REF!</definedName>
    <definedName name="LOCALIZACIÓN_Y_REPLANTEO._ESTRUCTURAS">#REF!</definedName>
    <definedName name="location">#REF!</definedName>
    <definedName name="location1">#REF!</definedName>
    <definedName name="logLiquida">#REF!</definedName>
    <definedName name="LOI">#REF!</definedName>
    <definedName name="LOLA">#REF!</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ng">#REF!</definedName>
    <definedName name="Longitud">#REF!</definedName>
    <definedName name="Longitud1">#REF!</definedName>
    <definedName name="Longitud2">#REF!</definedName>
    <definedName name="longituddesarenador">#REF!</definedName>
    <definedName name="LOPE">#REF!</definedName>
    <definedName name="Lp">#REF!</definedName>
    <definedName name="lplpl" localSheetId="1" hidden="1">{"via1",#N/A,TRUE,"general";"via2",#N/A,TRUE,"general";"via3",#N/A,TRUE,"general"}</definedName>
    <definedName name="lplpl" hidden="1">{"via1",#N/A,TRUE,"general";"via2",#N/A,TRUE,"general";"via3",#N/A,TRUE,"general"}</definedName>
    <definedName name="Lq">#REF!</definedName>
    <definedName name="Lr">#REF!</definedName>
    <definedName name="Ls">#REF!</definedName>
    <definedName name="Lt">#REF!</definedName>
    <definedName name="Lu">#REF!</definedName>
    <definedName name="LubeCostOutput">#REF!</definedName>
    <definedName name="LUCY" localSheetId="1">OFFSET(Full_Print,0,0,LOCA)</definedName>
    <definedName name="LUCY">OFFSET(Full_Print,0,0,LOCA)</definedName>
    <definedName name="Lw">#REF!</definedName>
    <definedName name="Lz">#REF!</definedName>
    <definedName name="M">#REF!</definedName>
    <definedName name="Ma">#REF!</definedName>
    <definedName name="MACROMEDIDORES">#REF!</definedName>
    <definedName name="MAESTRO">#REF!</definedName>
    <definedName name="mafdsf" localSheetId="1" hidden="1">{"via1",#N/A,TRUE,"general";"via2",#N/A,TRUE,"general";"via3",#N/A,TRUE,"general"}</definedName>
    <definedName name="mafdsf" hidden="1">{"via1",#N/A,TRUE,"general";"via2",#N/A,TRUE,"general";"via3",#N/A,TRUE,"general"}</definedName>
    <definedName name="Maint_Labour_Factor">#REF!</definedName>
    <definedName name="MaintManHours">#REF!</definedName>
    <definedName name="MALLA">#REF!</definedName>
    <definedName name="MALO">#REF!&lt;2.5</definedName>
    <definedName name="MALO4006">#REF!</definedName>
    <definedName name="MALO4006A">#REF!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NGLE">#REF!</definedName>
    <definedName name="MANOBRA">#REF!</definedName>
    <definedName name="MANTO">#REF!</definedName>
    <definedName name="manufactures_lead_time">#REF!</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hidden="1">{"via1",#N/A,TRUE,"general";"via2",#N/A,TRUE,"general";"via3",#N/A,TRUE,"general"}</definedName>
    <definedName name="MAP">#REF!</definedName>
    <definedName name="maq">#REF!</definedName>
    <definedName name="mar00">#REF!</definedName>
    <definedName name="marc06">#REF!</definedName>
    <definedName name="MargenComercial">#REF!</definedName>
    <definedName name="MargenFinanciero">#REF!</definedName>
    <definedName name="marol">#REF!</definedName>
    <definedName name="marol1">#REF!</definedName>
    <definedName name="MARTA" localSheetId="1">IF(Loan_Amount*Interest_Rate*Loan_Years*Loan_Start&gt;0,1,0)</definedName>
    <definedName name="MARTA">IF(Loan_Amount*Interest_Rate*Loan_Years*Loan_Start&gt;0,1,0)</definedName>
    <definedName name="MARTHA">#REF!</definedName>
    <definedName name="masor" localSheetId="1" hidden="1">{"via1",#N/A,TRUE,"general";"via2",#N/A,TRUE,"general";"via3",#N/A,TRUE,"general"}</definedName>
    <definedName name="masor" hidden="1">{"via1",#N/A,TRUE,"general";"via2",#N/A,TRUE,"general";"via3",#N/A,TRUE,"general"}</definedName>
    <definedName name="MAT">#REF!</definedName>
    <definedName name="MATE">#REF!</definedName>
    <definedName name="mater">#REF!</definedName>
    <definedName name="MATERIAL">#REF!</definedName>
    <definedName name="materiales">#REF!</definedName>
    <definedName name="MaterialTub">#REF!</definedName>
    <definedName name="matriz">#REF!,#REF!</definedName>
    <definedName name="MATRIZRICS">#REF!</definedName>
    <definedName name="may00">#REF!</definedName>
    <definedName name="Mb">#REF!</definedName>
    <definedName name="Mcotas">#REF!</definedName>
    <definedName name="md">#REF!</definedName>
    <definedName name="mdd" localSheetId="1" hidden="1">{"via1",#N/A,TRUE,"general";"via2",#N/A,TRUE,"general";"via3",#N/A,TRUE,"general"}</definedName>
    <definedName name="mdd" hidden="1">{"via1",#N/A,TRUE,"general";"via2",#N/A,TRUE,"general";"via3",#N/A,TRUE,"general"}</definedName>
    <definedName name="MDEO">#N/A</definedName>
    <definedName name="mdo">#REF!</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JORA">#REF!</definedName>
    <definedName name="mejoramientosubrasante">#REF!</definedName>
    <definedName name="merchandCostos">#REF!</definedName>
    <definedName name="Merchandisig">#REF!</definedName>
    <definedName name="MES">#REF!</definedName>
    <definedName name="meses">#REF!</definedName>
    <definedName name="mf">#REF!</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hidden="1">{"via1",#N/A,TRUE,"general";"via2",#N/A,TRUE,"general";"via3",#N/A,TRUE,"general"}</definedName>
    <definedName name="mhg">#REF!</definedName>
    <definedName name="mht">#REF!</definedName>
    <definedName name="mhy">#REF!</definedName>
    <definedName name="Mill_Head_H2O.Total_Volume">#REF!</definedName>
    <definedName name="Mill_Screen_H2O.Total_Volume">#REF!</definedName>
    <definedName name="Mill_Weight">#REF!</definedName>
    <definedName name="Mine_Equip_Hrs">#REF!</definedName>
    <definedName name="Mine_Equip_Hrs_MARC">#REF!</definedName>
    <definedName name="Mine_Equip_Hrs_Remaining">#REF!</definedName>
    <definedName name="MineUsed">#REF!</definedName>
    <definedName name="MiT">#REF!</definedName>
    <definedName name="MiV">#REF!</definedName>
    <definedName name="mjmj" localSheetId="1"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ju">#REF!</definedName>
    <definedName name="mku">#REF!</definedName>
    <definedName name="mm">#REF!</definedName>
    <definedName name="MMH">#REF!</definedName>
    <definedName name="MMHBS">#REF!</definedName>
    <definedName name="mmhcosts">#REF!</definedName>
    <definedName name="MMHJUN02">#REF!</definedName>
    <definedName name="mmhmarch2000">#REF!</definedName>
    <definedName name="MmIL">#REF!</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JV">#REF!</definedName>
    <definedName name="mmm">#REF!</definedName>
    <definedName name="mmmh" localSheetId="1"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hidden="1">{"via1",#N/A,TRUE,"general";"via2",#N/A,TRUE,"general";"via3",#N/A,TRUE,"general"}</definedName>
    <definedName name="Mmto">#REF!</definedName>
    <definedName name="MN" localSheetId="1" hidden="1">{"via1",#N/A,TRUE,"general";"via2",#N/A,TRUE,"general";"via3",#N/A,TRUE,"general"}</definedName>
    <definedName name="MN" hidden="1">{"via1",#N/A,TRUE,"general";"via2",#N/A,TRUE,"general";"via3",#N/A,TRUE,"general"}</definedName>
    <definedName name="MNO">#REF!</definedName>
    <definedName name="MO">#REF!</definedName>
    <definedName name="mobil06">#REF!</definedName>
    <definedName name="mobra">#REF!</definedName>
    <definedName name="MOMATECA">#REF!</definedName>
    <definedName name="MONETARY">#REF!</definedName>
    <definedName name="MORTE12">#REF!</definedName>
    <definedName name="MORTE14">#REF!</definedName>
    <definedName name="morte15">#REF!</definedName>
    <definedName name="MORTE16">#REF!</definedName>
    <definedName name="mortero14">#REF!</definedName>
    <definedName name="mortero15">#REF!</definedName>
    <definedName name="mr">#REF!</definedName>
    <definedName name="MR_DESCRIPTION">#REF!</definedName>
    <definedName name="MRNumber">#REF!</definedName>
    <definedName name="MTD.ROM1_PercentFed">#REF!</definedName>
    <definedName name="MTD.ROM2_PercentFed">#REF!</definedName>
    <definedName name="MTD.ROM3_PercentFed">#REF!</definedName>
    <definedName name="MTD.ROM4_PercentFed">#REF!</definedName>
    <definedName name="MTD.ROM5_PercentFed">#REF!</definedName>
    <definedName name="MTD_Days">#REF!</definedName>
    <definedName name="Mtotalizado">#REF!</definedName>
    <definedName name="muro">#REF!</definedName>
    <definedName name="murocontencion">#REF!</definedName>
    <definedName name="MXSMAR">#REF!</definedName>
    <definedName name="N">#REF!</definedName>
    <definedName name="Na">#REF!</definedName>
    <definedName name="nb">#REF!</definedName>
    <definedName name="nbnbv">#REF!</definedName>
    <definedName name="nbv">#REF!</definedName>
    <definedName name="nbvnv" localSheetId="1" hidden="1">{"via1",#N/A,TRUE,"general";"via2",#N/A,TRUE,"general";"via3",#N/A,TRUE,"general"}</definedName>
    <definedName name="nbvnv" hidden="1">{"via1",#N/A,TRUE,"general";"via2",#N/A,TRUE,"general";"via3",#N/A,TRUE,"general"}</definedName>
    <definedName name="Nc">#REF!</definedName>
    <definedName name="Nd">#REF!</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e">#REF!</definedName>
    <definedName name="nece.cab">#REF!</definedName>
    <definedName name="Necesidad_entorchado_Zonas">#REF!</definedName>
    <definedName name="NES">#REF!</definedName>
    <definedName name="Nett_Rev_COL_Nom">#REF!</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hidden="1">{"via1",#N/A,TRUE,"general";"via2",#N/A,TRUE,"general";"via3",#N/A,TRUE,"general"}</definedName>
    <definedName name="NHG">#REF!</definedName>
    <definedName name="nhn" localSheetId="1"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hidden="1">{"via1",#N/A,TRUE,"general";"via2",#N/A,TRUE,"general";"via3",#N/A,TRUE,"general"}</definedName>
    <definedName name="nic_nis">#REF!</definedName>
    <definedName name="NIVEL">#REF!</definedName>
    <definedName name="NJH">#REF!</definedName>
    <definedName name="nm">#REF!</definedName>
    <definedName name="nmmmm" localSheetId="1" hidden="1">{"via1",#N/A,TRUE,"general";"via2",#N/A,TRUE,"general";"via3",#N/A,TRUE,"general"}</definedName>
    <definedName name="nmmmm" hidden="1">{"via1",#N/A,TRUE,"general";"via2",#N/A,TRUE,"general";"via3",#N/A,TRUE,"general"}</definedName>
    <definedName name="NN">#REF!</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#REF!</definedName>
    <definedName name="nnnhd" localSheetId="1"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hidden="1">{"via1",#N/A,TRUE,"general";"via2",#N/A,TRUE,"general";"via3",#N/A,TRUE,"general"}</definedName>
    <definedName name="No.">#REF!</definedName>
    <definedName name="NOA_4">#REF!</definedName>
    <definedName name="NOA_7">#REF!</definedName>
    <definedName name="NOMBRE">#REF!</definedName>
    <definedName name="Nombres_Materiales">#REF!</definedName>
    <definedName name="NOMINA">#REF!</definedName>
    <definedName name="Nomina06">#REF!</definedName>
    <definedName name="NoRepAtEnd">#REF!</definedName>
    <definedName name="Norte">#REF!</definedName>
    <definedName name="North_sales">#REF!</definedName>
    <definedName name="nov00">#REF!</definedName>
    <definedName name="nr">#REF!</definedName>
    <definedName name="nt">#REF!</definedName>
    <definedName name="NUEVO">#REF!</definedName>
    <definedName name="Num_Pmt_Per_Year">#REF!</definedName>
    <definedName name="Number_of_Payments" localSheetId="1">MATCH(0.01,End_Bal,-1)+1</definedName>
    <definedName name="Number_of_Payments">MATCH(0.01,End_Bal,-1)+1</definedName>
    <definedName name="NUMERO">#REF!</definedName>
    <definedName name="nxn" localSheetId="1" hidden="1">{"via1",#N/A,TRUE,"general";"via2",#N/A,TRUE,"general";"via3",#N/A,TRUE,"general"}</definedName>
    <definedName name="nxn" hidden="1">{"via1",#N/A,TRUE,"general";"via2",#N/A,TRUE,"general";"via3",#N/A,TRUE,"general"}</definedName>
    <definedName name="ñl">#REF!</definedName>
    <definedName name="ññ">#REF!</definedName>
    <definedName name="ÑÑÑ">#REF!</definedName>
    <definedName name="ñok">#REF!</definedName>
    <definedName name="ñp">#REF!</definedName>
    <definedName name="ñpñpñ" localSheetId="1" hidden="1">{"via1",#N/A,TRUE,"general";"via2",#N/A,TRUE,"general";"via3",#N/A,TRUE,"general"}</definedName>
    <definedName name="ñpñpñ" hidden="1">{"via1",#N/A,TRUE,"general";"via2",#N/A,TRUE,"general";"via3",#N/A,TRUE,"general"}</definedName>
    <definedName name="ñpo">#REF!</definedName>
    <definedName name="o9o9" localSheetId="1" hidden="1">{"via1",#N/A,TRUE,"general";"via2",#N/A,TRUE,"general";"via3",#N/A,TRUE,"general"}</definedName>
    <definedName name="o9o9" hidden="1">{"via1",#N/A,TRUE,"general";"via2",#N/A,TRUE,"general";"via3",#N/A,TRUE,"general"}</definedName>
    <definedName name="OBS_Data_Col" hidden="1">#REF!</definedName>
    <definedName name="OCEquipData">#REF!</definedName>
    <definedName name="oct00">#REF!</definedName>
    <definedName name="OFFICE_ENTITY">#REF!</definedName>
    <definedName name="OFICIAL">#REF!</definedName>
    <definedName name="OHaulCostOutput">#REF!</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hidden="1">{"via1",#N/A,TRUE,"general";"via2",#N/A,TRUE,"general";"via3",#N/A,TRUE,"general"}</definedName>
    <definedName name="OJO">#REF!</definedName>
    <definedName name="ojuojoijojoijdlf">#REF!</definedName>
    <definedName name="om">#REF!</definedName>
    <definedName name="oo">#REF!</definedName>
    <definedName name="ooo">#REF!</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hidden="1">{"via1",#N/A,TRUE,"general";"via2",#N/A,TRUE,"general";"via3",#N/A,TRUE,"general"}</definedName>
    <definedName name="OP">#REF!</definedName>
    <definedName name="Openingpb" hidden="1">#REF!</definedName>
    <definedName name="OpEquip">#REF!</definedName>
    <definedName name="OpexFac">#REF!</definedName>
    <definedName name="Option">#REF!</definedName>
    <definedName name="Orden">#REF!</definedName>
    <definedName name="OreToStorage.Check_tonne_error">#REF!</definedName>
    <definedName name="OreToStorage.Check_Tonnes">#REF!</definedName>
    <definedName name="OreToStorage.Check_Volume">#REF!</definedName>
    <definedName name="OreToStorage.Pulp_Density">#REF!</definedName>
    <definedName name="os">#REF!</definedName>
    <definedName name="OtherCosts">#REF!</definedName>
    <definedName name="OTR">#REF!</definedName>
    <definedName name="OTRO">#REF!</definedName>
    <definedName name="otro2">#REF!</definedName>
    <definedName name="otros">#REF!</definedName>
    <definedName name="OtrosServicios">#REF!</definedName>
    <definedName name="OtrosServiciosCostos">#REF!</definedName>
    <definedName name="ØuRn1v">#REF!</definedName>
    <definedName name="ØuRn2v">#REF!</definedName>
    <definedName name="OWNER" hidden="1">#REF!</definedName>
    <definedName name="p">#REF!</definedName>
    <definedName name="p.BS" hidden="1">#REF!</definedName>
    <definedName name="p.BSAssumptions" hidden="1">#REF!</definedName>
    <definedName name="p.CapStructure" hidden="1">#REF!</definedName>
    <definedName name="p.CashFlow" hidden="1">#REF!</definedName>
    <definedName name="p.Cover" hidden="1">#REF!</definedName>
    <definedName name="p.Depreciation" hidden="1">#REF!</definedName>
    <definedName name="p.Executive" hidden="1">#REF!</definedName>
    <definedName name="p.FactSheet" hidden="1">#REF!</definedName>
    <definedName name="p.IS" hidden="1">#REF!</definedName>
    <definedName name="p.ISAssumptions" hidden="1">#REF!</definedName>
    <definedName name="p.OpeningBS" hidden="1">#REF!</definedName>
    <definedName name="p.TaxCalculation" hidden="1">#REF!</definedName>
    <definedName name="p0p0" localSheetId="1" hidden="1">{"via1",#N/A,TRUE,"general";"via2",#N/A,TRUE,"general";"via3",#N/A,TRUE,"general"}</definedName>
    <definedName name="p0p0" hidden="1">{"via1",#N/A,TRUE,"general";"via2",#N/A,TRUE,"general";"via3",#N/A,TRUE,"general"}</definedName>
    <definedName name="Pa">#REF!</definedName>
    <definedName name="PAG">#N/A</definedName>
    <definedName name="PagoFinanciero">#REF!</definedName>
    <definedName name="pagos">#REF!</definedName>
    <definedName name="PANEL">#REF!</definedName>
    <definedName name="pañet">#REF!</definedName>
    <definedName name="PARAMETROS">#N/A</definedName>
    <definedName name="PATIOS">#REF!</definedName>
    <definedName name="pav_asf">#REF!</definedName>
    <definedName name="pav_cto">#REF!</definedName>
    <definedName name="Pay_Date">#REF!</definedName>
    <definedName name="Pay_Num">#REF!</definedName>
    <definedName name="Payment_Date" localSheetId="44">DATE(YEAR([0]!Loan_Start),MONTH([0]!Loan_Start)+Payment_Number,DAY([0]!Loan_Start))</definedName>
    <definedName name="Payment_Date" localSheetId="5">DATE(YEAR([0]!Loan_Start),MONTH([0]!Loan_Start)+Payment_Number,DAY([0]!Loan_Start))</definedName>
    <definedName name="Payment_Date" localSheetId="6">DATE(YEAR([0]!Loan_Start),MONTH([0]!Loan_Start)+Payment_Number,DAY([0]!Loan_Start))</definedName>
    <definedName name="Payment_Date" localSheetId="7">DATE(YEAR([0]!Loan_Start),MONTH([0]!Loan_Start)+Payment_Number,DAY([0]!Loan_Start))</definedName>
    <definedName name="Payment_Date" localSheetId="8">DATE(YEAR([0]!Loan_Start),MONTH([0]!Loan_Start)+Payment_Number,DAY([0]!Loan_Start))</definedName>
    <definedName name="Payment_Date" localSheetId="9">DATE(YEAR([0]!Loan_Start),MONTH([0]!Loan_Start)+Payment_Number,DAY([0]!Loan_Start))</definedName>
    <definedName name="Payment_Date" localSheetId="10">DATE(YEAR([0]!Loan_Start),MONTH([0]!Loan_Start)+Payment_Number,DAY([0]!Loan_Start))</definedName>
    <definedName name="Payment_Date" localSheetId="11">DATE(YEAR([0]!Loan_Start),MONTH([0]!Loan_Start)+Payment_Number,DAY([0]!Loan_Start))</definedName>
    <definedName name="Payment_Date" localSheetId="12">DATE(YEAR([0]!Loan_Start),MONTH([0]!Loan_Start)+Payment_Number,DAY([0]!Loan_Start))</definedName>
    <definedName name="Payment_Date" localSheetId="13">DATE(YEAR([0]!Loan_Start),MONTH([0]!Loan_Start)+Payment_Number,DAY([0]!Loan_Start))</definedName>
    <definedName name="Payment_Date" localSheetId="33">DATE(YEAR([0]!Loan_Start),MONTH([0]!Loan_Start)+Payment_Number,DAY([0]!Loan_Start))</definedName>
    <definedName name="Payment_Date" localSheetId="34">DATE(YEAR([0]!Loan_Start),MONTH([0]!Loan_Start)+Payment_Number,DAY([0]!Loan_Start))</definedName>
    <definedName name="Payment_Date" localSheetId="35">DATE(YEAR([0]!Loan_Start),MONTH([0]!Loan_Start)+Payment_Number,DAY([0]!Loan_Start))</definedName>
    <definedName name="Payment_Date" localSheetId="37">DATE(YEAR([0]!Loan_Start),MONTH([0]!Loan_Start)+Payment_Number,DAY([0]!Loan_Start))</definedName>
    <definedName name="Payment_Date" localSheetId="1">DATE(YEAR(Loan_Start),MONTH(Loan_Start)+Payment_Number,DAY(Loan_Start))</definedName>
    <definedName name="Payment_Date" localSheetId="14">DATE(YEAR([0]!Loan_Start),MONTH([0]!Loan_Start)+Payment_Number,DAY([0]!Loan_Start))</definedName>
    <definedName name="Payment_Date" localSheetId="15">DATE(YEAR([0]!Loan_Start),MONTH([0]!Loan_Start)+Payment_Number,DAY([0]!Loan_Start))</definedName>
    <definedName name="Payment_Date" localSheetId="16">DATE(YEAR([0]!Loan_Start),MONTH([0]!Loan_Start)+Payment_Number,DAY([0]!Loan_Start))</definedName>
    <definedName name="Payment_Date" localSheetId="17">DATE(YEAR([0]!Loan_Start),MONTH([0]!Loan_Start)+Payment_Number,DAY([0]!Loan_Start))</definedName>
    <definedName name="Payment_Date">DATE(YEAR(Loan_Start),MONTH(Loan_Start)+Payment_Number,DAY(Loan_Start))</definedName>
    <definedName name="payment_terms">#REF!</definedName>
    <definedName name="PAZ">#REF!</definedName>
    <definedName name="Pb">#REF!</definedName>
    <definedName name="Pc">#REF!</definedName>
    <definedName name="Pd">#REF!</definedName>
    <definedName name="Pe">#REF!</definedName>
    <definedName name="pedro">#REF!</definedName>
    <definedName name="Pegante_PVC">#REF!</definedName>
    <definedName name="perDate">#REF!</definedName>
    <definedName name="PeriodInc">#REF!</definedName>
    <definedName name="PERIODO">#REF!</definedName>
    <definedName name="perLabel">#REF!</definedName>
    <definedName name="PERSONALTABLA1.1.1">#REF!</definedName>
    <definedName name="PERSONALTABLA1.2">#REF!</definedName>
    <definedName name="PERSONALTABLA1.3">#REF!</definedName>
    <definedName name="PESO14.2">#REF!</definedName>
    <definedName name="PESO14.3">#REF!</definedName>
    <definedName name="PESO14.4">#REF!</definedName>
    <definedName name="PILOTE">#REF!</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lacas_.9x.9_Azul_labrador">#REF!</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n">#REF!</definedName>
    <definedName name="Plan_Vallejo_Sens">#REF!</definedName>
    <definedName name="PLANT7">#REF!</definedName>
    <definedName name="PLANTASALCANTARILLADO1.1">#REF!</definedName>
    <definedName name="PLANTASALCANTARILLADOTABLA1.7">#REF!</definedName>
    <definedName name="PLANTASTRATAMIENTOTABLA5.1">#REF!</definedName>
    <definedName name="PLANTASTRATAMIENTOTABLA5.2">#REF!</definedName>
    <definedName name="PlanVallejo">#REF!</definedName>
    <definedName name="Plazo">#REF!</definedName>
    <definedName name="PlazoAIU">#REF!</definedName>
    <definedName name="PLOMERO">#REF!</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LUG" hidden="1">#REF!</definedName>
    <definedName name="PMT">#REF!</definedName>
    <definedName name="pñ">#REF!</definedName>
    <definedName name="po">#REF!</definedName>
    <definedName name="poi">#REF!</definedName>
    <definedName name="POIPOZOS">#REF!</definedName>
    <definedName name="POIUP" localSheetId="1" hidden="1">{"via1",#N/A,TRUE,"general";"via2",#N/A,TRUE,"general";"via3",#N/A,TRUE,"general"}</definedName>
    <definedName name="POIUP" hidden="1">{"via1",#N/A,TRUE,"general";"via2",#N/A,TRUE,"general";"via3",#N/A,TRUE,"general"}</definedName>
    <definedName name="POO">#REF!</definedName>
    <definedName name="popop" localSheetId="1"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AdicCostoLlantasCliente">#REF!</definedName>
    <definedName name="PorcAdicCostoMtto">#REF!</definedName>
    <definedName name="PorcCostosOcultos">#REF!</definedName>
    <definedName name="PORCE">#REF!</definedName>
    <definedName name="PorContribConduct">#REF!</definedName>
    <definedName name="PorContribImpRod">#REF!</definedName>
    <definedName name="PorContribLlantas">#REF!</definedName>
    <definedName name="PorContribMtto">#REF!</definedName>
    <definedName name="PorContribSeguro">#REF!</definedName>
    <definedName name="PorcPAAG">#REF!</definedName>
    <definedName name="PorcPuntosAdicCredito">#REF!</definedName>
    <definedName name="PorcPuntosAdicLeasing">#REF!</definedName>
    <definedName name="PorcTasaSeguroCanon">#REF!</definedName>
    <definedName name="PorcTasaSeguroCliente">#REF!</definedName>
    <definedName name="PorDecremImptosRodamto">#REF!</definedName>
    <definedName name="porDemerito1">#REF!</definedName>
    <definedName name="porDemerito10">#REF!</definedName>
    <definedName name="porDemerito11">#REF!</definedName>
    <definedName name="porDemerito2">#REF!</definedName>
    <definedName name="porDemerito3">#REF!</definedName>
    <definedName name="porDemerito4">#REF!</definedName>
    <definedName name="porDemerito5">#REF!</definedName>
    <definedName name="porDemerito6">#REF!</definedName>
    <definedName name="porDemerito7">#REF!</definedName>
    <definedName name="porDemerito8">#REF!</definedName>
    <definedName name="porDemerito9">#REF!</definedName>
    <definedName name="porDemeritoAcces">#REF!</definedName>
    <definedName name="PorDesctoTransfdoVehicClien">#REF!</definedName>
    <definedName name="PorDesctoVehicCliente">#REF!</definedName>
    <definedName name="PorDesctoVehicSurenting">#REF!</definedName>
    <definedName name="PorDesctoVehícSurenting">#REF!</definedName>
    <definedName name="PorFactorIvaCanon">#REF!</definedName>
    <definedName name="PorFactPrestacConduct">#REF!</definedName>
    <definedName name="porImprevistos">#REF!</definedName>
    <definedName name="PorImpto2Xmil">#REF!</definedName>
    <definedName name="PorIncremAnualComb">#REF!</definedName>
    <definedName name="PorIncremAnualCostos">#REF!</definedName>
    <definedName name="PorIncremAnualCostos10">#REF!</definedName>
    <definedName name="PorIncremAnualCostos11">#REF!</definedName>
    <definedName name="PorIncremAnualCostos2">#REF!</definedName>
    <definedName name="PorIncremAnualCostos3">#REF!</definedName>
    <definedName name="PorIncremAnualCostos4">#REF!</definedName>
    <definedName name="PorIncremAnualCostos5">#REF!</definedName>
    <definedName name="PorIncremAnualCostos6">#REF!</definedName>
    <definedName name="PorIncremAnualCostos7">#REF!</definedName>
    <definedName name="PorIncremAnualCostos8">#REF!</definedName>
    <definedName name="PorIncremAnualCostos9">#REF!</definedName>
    <definedName name="PorIncremAnualManoObra">#REF!</definedName>
    <definedName name="PorIncreSeguro10A">#REF!</definedName>
    <definedName name="PorIncreSeguro11A">#REF!</definedName>
    <definedName name="PorIncreSeguro2A">#REF!</definedName>
    <definedName name="PorIncreSeguro3A">#REF!</definedName>
    <definedName name="PorIncreSeguro4A">#REF!</definedName>
    <definedName name="PorIncreSeguro5A">#REF!</definedName>
    <definedName name="PorIncreSeguro6A">#REF!</definedName>
    <definedName name="PorIncreSeguro7A">#REF!</definedName>
    <definedName name="PorIncreSeguro8A">#REF!</definedName>
    <definedName name="PorIncreSeguro9A">#REF!</definedName>
    <definedName name="porInsumos">#REF!</definedName>
    <definedName name="PorIvaVehic">#REF!</definedName>
    <definedName name="porManoObra">#REF!</definedName>
    <definedName name="PorMargenFuel">#REF!</definedName>
    <definedName name="PorMargenGeneral">#REF!</definedName>
    <definedName name="PorMargenGPS">#REF!</definedName>
    <definedName name="porMargenReventa">#REF!</definedName>
    <definedName name="PorMargenStandby">#REF!</definedName>
    <definedName name="PorPuntosAdicionDTF">#REF!</definedName>
    <definedName name="PorPuntosAdicServicios">#REF!</definedName>
    <definedName name="PorPuntosPromTAFondeo">#REF!</definedName>
    <definedName name="PorRetomaCliente">#REF!</definedName>
    <definedName name="PorRetomaLeasing">#REF!</definedName>
    <definedName name="porReventaCliente">#REF!</definedName>
    <definedName name="PorReventaSurenting">#REF!</definedName>
    <definedName name="PorRiesgoReventa">#REF!</definedName>
    <definedName name="PorTasaImpoPagoImptoRenta">#REF!</definedName>
    <definedName name="PorTasaMensualDesctarVPN">#REF!</definedName>
    <definedName name="PorTasaSeguro">#REF!</definedName>
    <definedName name="PorTasaSgro">#REF!</definedName>
    <definedName name="PorUtilidadDesctoCompra">#REF!</definedName>
    <definedName name="PorUtilidadFinanciera">#REF!</definedName>
    <definedName name="pouig" localSheetId="1" hidden="1">{"via1",#N/A,TRUE,"general";"via2",#N/A,TRUE,"general";"via3",#N/A,TRUE,"general"}</definedName>
    <definedName name="pouig" hidden="1">{"via1",#N/A,TRUE,"general";"via2",#N/A,TRUE,"general";"via3",#N/A,TRUE,"general"}</definedName>
    <definedName name="POZOSACTUAL">#REF!</definedName>
    <definedName name="pozosconduccion">#REF!</definedName>
    <definedName name="pp">#REF!</definedName>
    <definedName name="ppp">#REF!</definedName>
    <definedName name="PPPP">#REF!</definedName>
    <definedName name="ppppp9" localSheetId="1"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ppppppppppp">#REF!</definedName>
    <definedName name="PPPPPPPPPPPPEE">#REF!</definedName>
    <definedName name="PPtoNorte">#REF!</definedName>
    <definedName name="pqroj" localSheetId="1" hidden="1">{"via1",#N/A,TRUE,"general";"via2",#N/A,TRUE,"general";"via3",#N/A,TRUE,"general"}</definedName>
    <definedName name="pqroj" hidden="1">{"via1",#N/A,TRUE,"general";"via2",#N/A,TRUE,"general";"via3",#N/A,TRUE,"general"}</definedName>
    <definedName name="PRE">#REF!</definedName>
    <definedName name="PRECIO">#REF!</definedName>
    <definedName name="precio2">#REF!</definedName>
    <definedName name="precios">#REF!</definedName>
    <definedName name="Precios1">#REF!</definedName>
    <definedName name="PRES">#REF!</definedName>
    <definedName name="prestaciones">#REF!</definedName>
    <definedName name="Prestaciones_sociales">#REF!</definedName>
    <definedName name="Presu">#REF!</definedName>
    <definedName name="PRESUP">#REF!</definedName>
    <definedName name="Presupuest">#REF!</definedName>
    <definedName name="Presupuesto">#REF!</definedName>
    <definedName name="PResupuestos">#REF!</definedName>
    <definedName name="PrevFleet">#REF!</definedName>
    <definedName name="PRICES_FIRM">#REF!</definedName>
    <definedName name="primer">#REF!</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 localSheetId="1">OFFSET(Full_Print,0,0,BALANCE!Last_Row)</definedName>
    <definedName name="Print_Area_Reset">OFFSET(Full_Print,0,0,Last_Row)</definedName>
    <definedName name="PRINT_TITLES">#N/A</definedName>
    <definedName name="PRINT_TITLES_MI">#N/A</definedName>
    <definedName name="Print_Titles2">#N/A</definedName>
    <definedName name="PRINT2">#REF!</definedName>
    <definedName name="PrintEnd" hidden="1">#REF!</definedName>
    <definedName name="PrintStart" hidden="1">#REF!</definedName>
    <definedName name="PrintTitle">#REF!</definedName>
    <definedName name="Prioridad">#REF!</definedName>
    <definedName name="prod">#REF!</definedName>
    <definedName name="prod1">#REF!</definedName>
    <definedName name="prod98">#REF!</definedName>
    <definedName name="prodcal">#REF!</definedName>
    <definedName name="proddsfdhgasd">#REF!</definedName>
    <definedName name="prodeco">#REF!</definedName>
    <definedName name="prodhati">#REF!</definedName>
    <definedName name="PRODUCCIONACTUAL">#REF!</definedName>
    <definedName name="PRODUCTCARB">#REF!</definedName>
    <definedName name="PRODUCTEST">#REF!</definedName>
    <definedName name="PROF">#REF!</definedName>
    <definedName name="PrOfic">#REF!</definedName>
    <definedName name="profit_margin">#REF!</definedName>
    <definedName name="Profundidad">#REF!</definedName>
    <definedName name="Project">#REF!</definedName>
    <definedName name="PROJECT_CURRENCY">#REF!</definedName>
    <definedName name="Project_Name">#REF!</definedName>
    <definedName name="Project_name_1">#REF!</definedName>
    <definedName name="Project_name_2">#REF!</definedName>
    <definedName name="Prov">#REF!</definedName>
    <definedName name="PROYECCION">#REF!</definedName>
    <definedName name="PROYECCIONDEMANDATABLA1">#REF!</definedName>
    <definedName name="PROYECTOS">#REF!</definedName>
    <definedName name="PRUEBA">#REF!</definedName>
    <definedName name="PRUEBA2">#REF!</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hidden="1">{"via1",#N/A,TRUE,"general";"via2",#N/A,TRUE,"general";"via3",#N/A,TRUE,"general"}</definedName>
    <definedName name="Pulidora">#REF!</definedName>
    <definedName name="PuntosRentabilidad">#REF!</definedName>
    <definedName name="Purchase">#REF!</definedName>
    <definedName name="q">#REF!</definedName>
    <definedName name="q1q1q" localSheetId="1"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E">#REF!</definedName>
    <definedName name="QE_TE">#REF!</definedName>
    <definedName name="qedcd" localSheetId="1"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hidden="1">{"via1",#N/A,TRUE,"general";"via2",#N/A,TRUE,"general";"via3",#N/A,TRUE,"general"}</definedName>
    <definedName name="QI">#REF!</definedName>
    <definedName name="QI_TI">#REF!</definedName>
    <definedName name="QMAX">#REF!</definedName>
    <definedName name="qmaxdesarenador">#REF!</definedName>
    <definedName name="QMAXDIARIO">#REF!</definedName>
    <definedName name="Qmed">#REF!</definedName>
    <definedName name="QMIN">#REF!</definedName>
    <definedName name="qmindesarenador">#REF!</definedName>
    <definedName name="QN">#REF!</definedName>
    <definedName name="QN_QI">#REF!</definedName>
    <definedName name="QNS">#REF!</definedName>
    <definedName name="QPROM">#REF!</definedName>
    <definedName name="qq">#REF!</definedName>
    <definedName name="qqq">#REF!</definedName>
    <definedName name="qqqqqqqqqqqqqqqq">#REF!</definedName>
    <definedName name="qqqqqw" localSheetId="1" hidden="1">{"via1",#N/A,TRUE,"general";"via2",#N/A,TRUE,"general";"via3",#N/A,TRUE,"general"}</definedName>
    <definedName name="qqqqqw" hidden="1">{"via1",#N/A,TRUE,"general";"via2",#N/A,TRUE,"general";"via3",#N/A,TRUE,"general"}</definedName>
    <definedName name="QRS">#REF!</definedName>
    <definedName name="Quality_PvT">#REF!</definedName>
    <definedName name="QualityF">#REF!</definedName>
    <definedName name="quantity">#REF!</definedName>
    <definedName name="QUIMICOSTABLA1.3.1">#REF!</definedName>
    <definedName name="qw">#REF!</definedName>
    <definedName name="qwdas2" localSheetId="1" hidden="1">{"via1",#N/A,TRUE,"general";"via2",#N/A,TRUE,"general";"via3",#N/A,TRUE,"general"}</definedName>
    <definedName name="qwdas2" hidden="1">{"via1",#N/A,TRUE,"general";"via2",#N/A,TRUE,"general";"via3",#N/A,TRUE,"general"}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qw">#REF!</definedName>
    <definedName name="qwqwas">#REF!</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CashFlow" hidden="1">#REF!</definedName>
    <definedName name="r.Leverage" hidden="1">#REF!</definedName>
    <definedName name="r.Liquidity" hidden="1">#REF!</definedName>
    <definedName name="r.Market" hidden="1">#REF!</definedName>
    <definedName name="r.Profitability" hidden="1">#REF!</definedName>
    <definedName name="r.Summary" hidden="1">#REF!</definedName>
    <definedName name="Ra">#REF!</definedName>
    <definedName name="radianes">#REF!</definedName>
    <definedName name="rango">#REF!</definedName>
    <definedName name="Rate1">#REF!</definedName>
    <definedName name="rate2">#REF!</definedName>
    <definedName name="ratio">#REF!</definedName>
    <definedName name="Rb">#REF!</definedName>
    <definedName name="Rd">#REF!</definedName>
    <definedName name="RD_CP">#REF!</definedName>
    <definedName name="RD_CP_VL">#REF!</definedName>
    <definedName name="rds">#REF!</definedName>
    <definedName name="Re">#REF!</definedName>
    <definedName name="RE4NTA">#REF!</definedName>
    <definedName name="rec">#REF!</definedName>
    <definedName name="Recurso">#REF!</definedName>
    <definedName name="REDESALCANTARILLADOTABLA1.2">#REF!</definedName>
    <definedName name="REDESALCANTARILLADOTABLA1.4">#REF!</definedName>
    <definedName name="REDESALCANTARILLADOTABLA1.5">#REF!</definedName>
    <definedName name="REDESTABLA6.1">#REF!</definedName>
    <definedName name="REDESTABLA6.2">#REF!</definedName>
    <definedName name="REDESTABLA6.3">#REF!</definedName>
    <definedName name="REFERENCIAPROYECTOS">#REF!</definedName>
    <definedName name="REFMAR">#REF!</definedName>
    <definedName name="REG">#REF!</definedName>
    <definedName name="REGBT">#N/A</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onal">#REF!</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GULAR">#REF!&gt;2.5</definedName>
    <definedName name="REGULAR4006">#REF!</definedName>
    <definedName name="REGULAR4006A">#REF!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JHE" localSheetId="1" hidden="1">{"via1",#N/A,TRUE,"general";"via2",#N/A,TRUE,"general";"via3",#N/A,TRUE,"general"}</definedName>
    <definedName name="REJHE" hidden="1">{"via1",#N/A,TRUE,"general";"via2",#N/A,TRUE,"general";"via3",#N/A,TRUE,"general"}</definedName>
    <definedName name="RELACUION">#REF!</definedName>
    <definedName name="rell">#REF!</definedName>
    <definedName name="relle">#REF!</definedName>
    <definedName name="relleno">#REF!</definedName>
    <definedName name="remb">#REF!</definedName>
    <definedName name="rendimiento">#REF!</definedName>
    <definedName name="repello">#REF!</definedName>
    <definedName name="replanteo">#REF!</definedName>
    <definedName name="REPOSICIONACU">#REF!</definedName>
    <definedName name="REPOSICIONACUREDES">#REF!</definedName>
    <definedName name="REPOSICIONALC">#REF!</definedName>
    <definedName name="REPOSICIONALCREDES">#REF!</definedName>
    <definedName name="req">#REF!</definedName>
    <definedName name="Required_Delivery">#REF!</definedName>
    <definedName name="rer" localSheetId="1"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erva">#REF!</definedName>
    <definedName name="residente">#REF!</definedName>
    <definedName name="Responsible">#REF!</definedName>
    <definedName name="RESU">#REF!</definedName>
    <definedName name="resultado">#REF!</definedName>
    <definedName name="RESUM">#REF!</definedName>
    <definedName name="resum2">#REF!</definedName>
    <definedName name="resumen">#REF!</definedName>
    <definedName name="RESUMENALCANTARILLADO">#REF!</definedName>
    <definedName name="ResumenAPU">#REF!</definedName>
    <definedName name="RESUMENCOSTOSOPERACIÓN">#REF!</definedName>
    <definedName name="RESUMENINVERSIONESACU">#REF!</definedName>
    <definedName name="RESUMENINVERSIONESACUEDUCTO">#REF!</definedName>
    <definedName name="RESUMENINVERSIONESALC">#REF!</definedName>
    <definedName name="RESUMENMODELODEMANDA">#REF!</definedName>
    <definedName name="RESUMENOPTIMIZACIONACU">#REF!</definedName>
    <definedName name="RESUMENOPTIMIZACIONALC">#REF!</definedName>
    <definedName name="reten">#REF!</definedName>
    <definedName name="Retenc">#REF!</definedName>
    <definedName name="retiroarbol">#REF!</definedName>
    <definedName name="retirocorte">#REF!</definedName>
    <definedName name="RETTRE" localSheetId="1"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#REF!</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hidden="1">{"via1",#N/A,TRUE,"general";"via2",#N/A,TRUE,"general";"via3",#N/A,TRUE,"general"}</definedName>
    <definedName name="Rg">#REF!</definedName>
    <definedName name="rge" localSheetId="1"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#REF!</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#REF!</definedName>
    <definedName name="RICO" localSheetId="1">IF(Loan_Amount*Interest_Rate*Loan_Years*Loan_Start&gt;0,1,0)</definedName>
    <definedName name="RICO">IF(Loan_Amount*Interest_Rate*Loan_Years*Loan_Start&gt;0,1,0)</definedName>
    <definedName name="RiskInd">#REF!</definedName>
    <definedName name="RiskRanking">#REF!</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hidden="1">{"via1",#N/A,TRUE,"general";"via2",#N/A,TRUE,"general";"via3",#N/A,TRUE,"general"}</definedName>
    <definedName name="Rk">#REF!</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o">#REF!</definedName>
    <definedName name="rm">#REF!</definedName>
    <definedName name="RMCostOutput">#REF!</definedName>
    <definedName name="Rmm">#REF!</definedName>
    <definedName name="Rn">#REF!</definedName>
    <definedName name="rñ">#REF!</definedName>
    <definedName name="Ro">#REF!</definedName>
    <definedName name="RoA_N">#REF!</definedName>
    <definedName name="rolando">#REF!</definedName>
    <definedName name="Roster1">#REF!</definedName>
    <definedName name="Roster2">#REF!</definedName>
    <definedName name="Roster3">#REF!</definedName>
    <definedName name="Roster4">#REF!</definedName>
    <definedName name="Rosters">#REF!</definedName>
    <definedName name="Rows2Unhide" hidden="1">#REF!</definedName>
    <definedName name="Roy_price_sens">#REF!</definedName>
    <definedName name="Royal_Col_Nom">#REF!</definedName>
    <definedName name="royalphalumi">#REF!</definedName>
    <definedName name="Royalty_CDC_LLC">#REF!</definedName>
    <definedName name="Royalty_CZN_SA">#REF!</definedName>
    <definedName name="Royalty_total">#REF!</definedName>
    <definedName name="Rp">#REF!</definedName>
    <definedName name="Rq">#REF!</definedName>
    <definedName name="rr">#REF!</definedName>
    <definedName name="rrr" localSheetId="1" hidden="1">{"via1",#N/A,TRUE,"general";"via2",#N/A,TRUE,"general";"via3",#N/A,TRUE,"general"}</definedName>
    <definedName name="rrr"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rrrr">#REF!</definedName>
    <definedName name="rrrrt" localSheetId="1" hidden="1">{"via1",#N/A,TRUE,"general";"via2",#N/A,TRUE,"general";"via3",#N/A,TRUE,"general"}</definedName>
    <definedName name="rrrrt" hidden="1">{"via1",#N/A,TRUE,"general";"via2",#N/A,TRUE,"general";"via3",#N/A,TRUE,"general"}</definedName>
    <definedName name="RRRTGTG">#REF!</definedName>
    <definedName name="Rs">#REF!</definedName>
    <definedName name="rsadf">#REF!</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t">#REF!</definedName>
    <definedName name="rte">#REF!</definedName>
    <definedName name="rteg" localSheetId="1"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#REF!</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A" localSheetId="44">DATE(YEAR([0]!Loan_Start),MONTH([0]!Loan_Start)+Payment_Number,DAY([0]!Loan_Start))</definedName>
    <definedName name="RUTA" localSheetId="5">DATE(YEAR([0]!Loan_Start),MONTH([0]!Loan_Start)+Payment_Number,DAY([0]!Loan_Start))</definedName>
    <definedName name="RUTA" localSheetId="6">DATE(YEAR([0]!Loan_Start),MONTH([0]!Loan_Start)+Payment_Number,DAY([0]!Loan_Start))</definedName>
    <definedName name="RUTA" localSheetId="7">DATE(YEAR([0]!Loan_Start),MONTH([0]!Loan_Start)+Payment_Number,DAY([0]!Loan_Start))</definedName>
    <definedName name="RUTA" localSheetId="8">DATE(YEAR([0]!Loan_Start),MONTH([0]!Loan_Start)+Payment_Number,DAY([0]!Loan_Start))</definedName>
    <definedName name="RUTA" localSheetId="9">DATE(YEAR([0]!Loan_Start),MONTH([0]!Loan_Start)+Payment_Number,DAY([0]!Loan_Start))</definedName>
    <definedName name="RUTA" localSheetId="10">DATE(YEAR([0]!Loan_Start),MONTH([0]!Loan_Start)+Payment_Number,DAY([0]!Loan_Start))</definedName>
    <definedName name="RUTA" localSheetId="11">DATE(YEAR([0]!Loan_Start),MONTH([0]!Loan_Start)+Payment_Number,DAY([0]!Loan_Start))</definedName>
    <definedName name="RUTA" localSheetId="12">DATE(YEAR([0]!Loan_Start),MONTH([0]!Loan_Start)+Payment_Number,DAY([0]!Loan_Start))</definedName>
    <definedName name="RUTA" localSheetId="13">DATE(YEAR([0]!Loan_Start),MONTH([0]!Loan_Start)+Payment_Number,DAY([0]!Loan_Start))</definedName>
    <definedName name="RUTA" localSheetId="33">DATE(YEAR([0]!Loan_Start),MONTH([0]!Loan_Start)+Payment_Number,DAY([0]!Loan_Start))</definedName>
    <definedName name="RUTA" localSheetId="34">DATE(YEAR([0]!Loan_Start),MONTH([0]!Loan_Start)+Payment_Number,DAY([0]!Loan_Start))</definedName>
    <definedName name="RUTA" localSheetId="35">DATE(YEAR([0]!Loan_Start),MONTH([0]!Loan_Start)+Payment_Number,DAY([0]!Loan_Start))</definedName>
    <definedName name="RUTA" localSheetId="37">DATE(YEAR([0]!Loan_Start),MONTH([0]!Loan_Start)+Payment_Number,DAY([0]!Loan_Start))</definedName>
    <definedName name="RUTA" localSheetId="1">DATE(YEAR([0]!Loan_Start),MONTH([0]!Loan_Start)+Payment_Number,DAY([0]!Loan_Start))</definedName>
    <definedName name="RUTA" localSheetId="14">DATE(YEAR([0]!Loan_Start),MONTH([0]!Loan_Start)+Payment_Number,DAY([0]!Loan_Start))</definedName>
    <definedName name="RUTA" localSheetId="15">DATE(YEAR([0]!Loan_Start),MONTH([0]!Loan_Start)+Payment_Number,DAY([0]!Loan_Start))</definedName>
    <definedName name="RUTA" localSheetId="16">DATE(YEAR([0]!Loan_Start),MONTH([0]!Loan_Start)+Payment_Number,DAY([0]!Loan_Start))</definedName>
    <definedName name="RUTA" localSheetId="17">DATE(YEAR([0]!Loan_Start),MONTH([0]!Loan_Start)+Payment_Number,DAY([0]!Loan_Start))</definedName>
    <definedName name="RUTA">DATE(YEAR([0]!Loan_Start),MONTH([0]!Loan_Start)+Payment_Number,DAY([0]!Loan_Start))</definedName>
    <definedName name="rutu" localSheetId="1" hidden="1">{"via1",#N/A,TRUE,"general";"via2",#N/A,TRUE,"general";"via3",#N/A,TRUE,"general"}</definedName>
    <definedName name="rutu" hidden="1">{"via1",#N/A,TRUE,"general";"via2",#N/A,TRUE,"general";"via3",#N/A,TRUE,"general"}</definedName>
    <definedName name="Rv">#REF!</definedName>
    <definedName name="RW">#REF!</definedName>
    <definedName name="rwt" localSheetId="1" hidden="1">{"via1",#N/A,TRUE,"general";"via2",#N/A,TRUE,"general";"via3",#N/A,TRUE,"general"}</definedName>
    <definedName name="rwt" hidden="1">{"via1",#N/A,TRUE,"general";"via2",#N/A,TRUE,"general";"via3",#N/A,TRUE,"general"}</definedName>
    <definedName name="Rx">#REF!</definedName>
    <definedName name="ry">#REF!</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hidden="1">{"via1",#N/A,TRUE,"general";"via2",#N/A,TRUE,"general";"via3",#N/A,TRUE,"general"}</definedName>
    <definedName name="Rz">#REF!</definedName>
    <definedName name="SA">#REF!</definedName>
    <definedName name="saa" localSheetId="1"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ASDFSDF">#REF!</definedName>
    <definedName name="SADF" localSheetId="1"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arios">#REF!</definedName>
    <definedName name="Saldo_Capital">#REF!</definedName>
    <definedName name="SalMinimo">#REF!</definedName>
    <definedName name="sasa">#REF!</definedName>
    <definedName name="Sb">#REF!</definedName>
    <definedName name="sbe">#REF!</definedName>
    <definedName name="Sbf">#REF!</definedName>
    <definedName name="sbgfbgdr" localSheetId="1" hidden="1">{"via1",#N/A,TRUE,"general";"via2",#N/A,TRUE,"general";"via3",#N/A,TRUE,"general"}</definedName>
    <definedName name="sbgfbgdr" hidden="1">{"via1",#N/A,TRUE,"general";"via2",#N/A,TRUE,"general";"via3",#N/A,TRUE,"general"}</definedName>
    <definedName name="sc">#REF!</definedName>
    <definedName name="Sched_Pay">#REF!</definedName>
    <definedName name="Scheduled_Extra_Payments">#REF!</definedName>
    <definedName name="Scheduled_Interest_Rate">#REF!</definedName>
    <definedName name="Scheduled_Monthly_Payment">#REF!</definedName>
    <definedName name="SContLab">#REF!</definedName>
    <definedName name="SContParts">#REF!</definedName>
    <definedName name="scope">#REF!</definedName>
    <definedName name="scope1">#REF!</definedName>
    <definedName name="sd">#REF!</definedName>
    <definedName name="sdaf" localSheetId="1"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E">#REF!</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hjfasdfjasj">#REF!</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1"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hidden="1">{"via1",#N/A,TRUE,"general";"via2",#N/A,TRUE,"general";"via3",#N/A,TRUE,"general"}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#REF!</definedName>
    <definedName name="sdsdfh" localSheetId="1" hidden="1">{"via1",#N/A,TRUE,"general";"via2",#N/A,TRUE,"general";"via3",#N/A,TRUE,"general"}</definedName>
    <definedName name="sdsdfh" hidden="1">{"via1",#N/A,TRUE,"general";"via2",#N/A,TRUE,"general";"via3",#N/A,TRUE,"general"}</definedName>
    <definedName name="SE">#REF!</definedName>
    <definedName name="segundo">#REF!</definedName>
    <definedName name="Seguro">#REF!</definedName>
    <definedName name="SeguroCostos">#REF!</definedName>
    <definedName name="SEM_DEL_MES">#REF!</definedName>
    <definedName name="Semanas_mes">#REF!</definedName>
    <definedName name="sencount" hidden="1">1</definedName>
    <definedName name="sep00">#REF!</definedName>
    <definedName name="SEPARACIONPLACAS">#REF!</definedName>
    <definedName name="Sepjv2">#REF!</definedName>
    <definedName name="septdetail">#REF!</definedName>
    <definedName name="septtb">#REF!</definedName>
    <definedName name="SequenceF">#REF!</definedName>
    <definedName name="servicioingreso">#REF!</definedName>
    <definedName name="ServicioSurentingExpress">#REF!</definedName>
    <definedName name="servicioutilidad">#REF!</definedName>
    <definedName name="ServicioVehSustituto">#REF!</definedName>
    <definedName name="setrj" localSheetId="1"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#REF!</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g">#REF!</definedName>
    <definedName name="SGET">#REF!</definedName>
    <definedName name="Sh">#REF!</definedName>
    <definedName name="Share">#REF!</definedName>
    <definedName name="SHARED_FORMULA_21">#N/A</definedName>
    <definedName name="ship_terms">#REF!</definedName>
    <definedName name="SHIP_VIA">#REF!</definedName>
    <definedName name="Shovel_1">#REF!</definedName>
    <definedName name="Shovel_2">#REF!</definedName>
    <definedName name="Shovel_3">#REF!</definedName>
    <definedName name="Shovel_4">#REF!</definedName>
    <definedName name="Shovel_5">#REF!</definedName>
    <definedName name="show_all">#REF!</definedName>
    <definedName name="si">#REF!</definedName>
    <definedName name="SIKA">#REF!</definedName>
    <definedName name="Sim_Model_Input_1">#REF!</definedName>
    <definedName name="Sim_Model_Input_4">#REF!</definedName>
    <definedName name="Sim_Model_Output_1">#REF!</definedName>
    <definedName name="Sitio">#REF!</definedName>
    <definedName name="sk">#REF!</definedName>
    <definedName name="SLube">#REF!</definedName>
    <definedName name="sm">#REF!</definedName>
    <definedName name="sn">#REF!</definedName>
    <definedName name="snw">#REF!</definedName>
    <definedName name="sñ">#REF!</definedName>
    <definedName name="so">#REF!</definedName>
    <definedName name="Soat">#REF!</definedName>
    <definedName name="SoatCostos">#REF!</definedName>
    <definedName name="SOBRE2H">#REF!</definedName>
    <definedName name="sobrecimiento">#REF!</definedName>
    <definedName name="SOCIAL">#REF!</definedName>
    <definedName name="SOHaul">#REF!</definedName>
    <definedName name="SOL">#REF!</definedName>
    <definedName name="SOLDA">#REF!</definedName>
    <definedName name="Solids.SG">#REF!</definedName>
    <definedName name="spread">#REF!</definedName>
    <definedName name="SpreadDesctos">#REF!</definedName>
    <definedName name="SpreadFcro">#REF!</definedName>
    <definedName name="SpreadServicios">#REF!</definedName>
    <definedName name="Spreadsheet_name">#REF!</definedName>
    <definedName name="SpreadTotal">#REF!</definedName>
    <definedName name="sr">#REF!</definedName>
    <definedName name="SRandM">#REF!</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#REF!</definedName>
    <definedName name="SSDSD">#REF!</definedName>
    <definedName name="sss">#REF!</definedName>
    <definedName name="ssss">#REF!</definedName>
    <definedName name="sssss">#REF!</definedName>
    <definedName name="sssss7" localSheetId="1"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SS" localSheetId="1">IF(Loan_Amount*Interest_Rate*Loan_Years*Loan_Start&gt;0,1,0)</definedName>
    <definedName name="SSSSSSS">IF(Loan_Amount*Interest_Rate*Loan_Years*Loan_Start&gt;0,1,0)</definedName>
    <definedName name="ssssssssss">#REF!</definedName>
    <definedName name="sssssssssss">#REF!</definedName>
    <definedName name="ssssssssssssssssssss">#REF!</definedName>
    <definedName name="sssssy" localSheetId="1" hidden="1">{"via1",#N/A,TRUE,"general";"via2",#N/A,TRUE,"general";"via3",#N/A,TRUE,"general"}</definedName>
    <definedName name="sssssy" hidden="1">{"via1",#N/A,TRUE,"general";"via2",#N/A,TRUE,"general";"via3",#N/A,TRUE,"general"}</definedName>
    <definedName name="Standby">#REF!</definedName>
    <definedName name="StandbyCostos">#REF!</definedName>
    <definedName name="StartBid">#REF!</definedName>
    <definedName name="StartItems">#REF!</definedName>
    <definedName name="StartPeriod">#REF!</definedName>
    <definedName name="StartRates">#REF!</definedName>
    <definedName name="StartTags">#REF!</definedName>
    <definedName name="status">#REF!</definedName>
    <definedName name="statusofexecution">#REF!</definedName>
    <definedName name="STOCK_CODE">#REF!</definedName>
    <definedName name="stock_oreganal">#REF!</definedName>
    <definedName name="StorageTank_Height">#REF!</definedName>
    <definedName name="StorageTank_Radius">#REF!</definedName>
    <definedName name="StorageTank_TotalVolume">#REF!</definedName>
    <definedName name="StorageTank1_DryTonnes">#REF!</definedName>
    <definedName name="StorageTank1_SlurryVolume">#REF!</definedName>
    <definedName name="StorageTank2_DryTonnes">#REF!</definedName>
    <definedName name="StorageTank2_SlurryVolume">#REF!</definedName>
    <definedName name="StorageTank3_DryTonnes">#REF!</definedName>
    <definedName name="StorageTank3_SlurryVolume">#REF!</definedName>
    <definedName name="StorageTank4_DryTonnes">#REF!</definedName>
    <definedName name="StorageTank4_SlurryVolume">#REF!</definedName>
    <definedName name="StrBaseIncremCanon">#REF!</definedName>
    <definedName name="StrBaseReliquidacion">#REF!</definedName>
    <definedName name="StrClienDescontarIVA">#REF!</definedName>
    <definedName name="StrCliente">#REF!</definedName>
    <definedName name="StrClienTributaRentaPresun">#REF!</definedName>
    <definedName name="strDescAccesorios">#REF!</definedName>
    <definedName name="strDescPlanSeguro">#REF!</definedName>
    <definedName name="strEstado">#REF!</definedName>
    <definedName name="StrFrecPago">#REF!</definedName>
    <definedName name="StrFrecReliquidacion">#REF!</definedName>
    <definedName name="StrGerenteCuenta">#REF!</definedName>
    <definedName name="StrImpDosXMil">#REF!</definedName>
    <definedName name="StrMarcaVehicModelo">#REF!</definedName>
    <definedName name="StrMarcaVehícModelo">#REF!</definedName>
    <definedName name="StrModalidadCanon">#REF!</definedName>
    <definedName name="StrModalidadPago">#REF!</definedName>
    <definedName name="strNomVariable1">#REF!</definedName>
    <definedName name="strNomVariable2">#REF!</definedName>
    <definedName name="strNomVariable3">#REF!</definedName>
    <definedName name="StrNumeroCotizacion">#REF!</definedName>
    <definedName name="StrNumeroCotización">#REF!</definedName>
    <definedName name="strPlaca">#REF!</definedName>
    <definedName name="StrRentBack">#REF!</definedName>
    <definedName name="strTipoCliente">#REF!</definedName>
    <definedName name="StrTipoContrato">#REF!</definedName>
    <definedName name="stt" localSheetId="1" hidden="1">{"via1",#N/A,TRUE,"general";"via2",#N/A,TRUE,"general";"via3",#N/A,TRUE,"general"}</definedName>
    <definedName name="stt" hidden="1">{"via1",#N/A,TRUE,"general";"via2",#N/A,TRUE,"general";"via3",#N/A,TRUE,"general"}</definedName>
    <definedName name="Stub" hidden="1">#REF!</definedName>
    <definedName name="Stub_Header1" hidden="1">#REF!</definedName>
    <definedName name="Stub_Header2" hidden="1">#REF!</definedName>
    <definedName name="Stub_Header3" hidden="1">#REF!</definedName>
    <definedName name="STyre">#REF!</definedName>
    <definedName name="Subbase2">#REF!</definedName>
    <definedName name="SUELDOS">#REF!</definedName>
    <definedName name="suma">#REF!</definedName>
    <definedName name="SUPERCEL">#REF!</definedName>
    <definedName name="Supervía" localSheetId="1" hidden="1">{#N/A,#N/A,TRUE,"0001";#N/A,#N/A,TRUE,"0002";#N/A,#N/A,TRUE,"0003";#N/A,#N/A,TRUE,"0004";#N/A,#N/A,TRUE,"0005";#N/A,#N/A,TRUE,"0006";#N/A,#N/A,TRUE,"0007";#N/A,#N/A,TRUE,"0008";#N/A,#N/A,TRUE,"0009";#N/A,#N/A,TRUE,"0010"}</definedName>
    <definedName name="Supervía" hidden="1">{#N/A,#N/A,TRUE,"0001";#N/A,#N/A,TRUE,"0002";#N/A,#N/A,TRUE,"0003";#N/A,#N/A,TRUE,"0004";#N/A,#N/A,TRUE,"0005";#N/A,#N/A,TRUE,"0006";#N/A,#N/A,TRUE,"0007";#N/A,#N/A,TRUE,"0008";#N/A,#N/A,TRUE,"0009";#N/A,#N/A,TRUE,"0010"}</definedName>
    <definedName name="supervision">#REF!</definedName>
    <definedName name="SupportFleet">#REF!</definedName>
    <definedName name="SupportOpCost">#REF!</definedName>
    <definedName name="SupportRepl">#REF!</definedName>
    <definedName name="swssdecs">#REF!</definedName>
    <definedName name="swsw" localSheetId="1"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SZX">#REF!</definedName>
    <definedName name="t">#REF!</definedName>
    <definedName name="T.1">#REF!</definedName>
    <definedName name="T.1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a">#REF!</definedName>
    <definedName name="TAB">#REF!</definedName>
    <definedName name="Tab_Elec">#REF!</definedName>
    <definedName name="Tab_Expense">#REF!</definedName>
    <definedName name="Tab_Process">#REF!</definedName>
    <definedName name="Tab_Respons">#REF!</definedName>
    <definedName name="TABLA">#REF!</definedName>
    <definedName name="TABLA_CMI">#REF!</definedName>
    <definedName name="TABLA_RN">#REF!</definedName>
    <definedName name="TABLA1">#REF!</definedName>
    <definedName name="TABLA1.2.2">#REF!</definedName>
    <definedName name="tabla2">#REF!</definedName>
    <definedName name="tablaDeDTFS">#REF!</definedName>
    <definedName name="TablaR">#REF!</definedName>
    <definedName name="Tablero_trifásico_12_circuitos">#REF!</definedName>
    <definedName name="TagBid1">#REF!</definedName>
    <definedName name="tagbid1ext">#REF!</definedName>
    <definedName name="tagbid1UnevalCost">#REF!</definedName>
    <definedName name="tagbid1unit">#REF!</definedName>
    <definedName name="TagBid2">#REF!</definedName>
    <definedName name="tagbid2ext">#REF!</definedName>
    <definedName name="tagbid2UnEvalCost">#REF!</definedName>
    <definedName name="tagbid2unit">#REF!</definedName>
    <definedName name="TagBid3">#REF!</definedName>
    <definedName name="tagbid3ext">#REF!</definedName>
    <definedName name="tagBid3UnevalCost">#REF!</definedName>
    <definedName name="tagbid3unit">#REF!</definedName>
    <definedName name="TagBid4">#REF!</definedName>
    <definedName name="tagbid4ext">#REF!</definedName>
    <definedName name="tagBid4UnEvalCost">#REF!</definedName>
    <definedName name="tagbid4unit">#REF!</definedName>
    <definedName name="TagBidRange">#REF!</definedName>
    <definedName name="TagCurrency_conversion_factor">#REF!</definedName>
    <definedName name="TagDescription">#REF!</definedName>
    <definedName name="tagid">#REF!</definedName>
    <definedName name="TagLineNo">#REF!</definedName>
    <definedName name="TagList.EndDate">#REF!</definedName>
    <definedName name="TagList.StartDate">#REF!</definedName>
    <definedName name="TagQuantity">#REF!</definedName>
    <definedName name="TagRefer">#REF!</definedName>
    <definedName name="tagunit">#REF!</definedName>
    <definedName name="TANQUES4.1">#REF!</definedName>
    <definedName name="TAPA">#REF!</definedName>
    <definedName name="TARIFAS_SUBSIDIOS">#REF!</definedName>
    <definedName name="TARIFAS1">#REF!</definedName>
    <definedName name="Tasa_Efectiva_Mensual_Fondeo">#REF!</definedName>
    <definedName name="Tax_Rate_Col">#REF!</definedName>
    <definedName name="Taxpb" hidden="1">#REF!</definedName>
    <definedName name="tb">#REF!</definedName>
    <definedName name="TBCUR">#REF!</definedName>
    <definedName name="TBMAYINT">#REF!</definedName>
    <definedName name="tbres">#REF!</definedName>
    <definedName name="TBV1A">#REF!</definedName>
    <definedName name="Tc">#REF!</definedName>
    <definedName name="Td">#REF!</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#REF!</definedName>
    <definedName name="Tec_Adesivo">#REF!</definedName>
    <definedName name="TechAccept">#REF!</definedName>
    <definedName name="TECN" localSheetId="44">DATE(YEAR([0]!Loan_Start),MONTH([0]!Loan_Start)+Payment_Number,DAY([0]!Loan_Start))</definedName>
    <definedName name="TECN" localSheetId="5">DATE(YEAR([0]!Loan_Start),MONTH([0]!Loan_Start)+Payment_Number,DAY([0]!Loan_Start))</definedName>
    <definedName name="TECN" localSheetId="6">DATE(YEAR([0]!Loan_Start),MONTH([0]!Loan_Start)+Payment_Number,DAY([0]!Loan_Start))</definedName>
    <definedName name="TECN" localSheetId="7">DATE(YEAR([0]!Loan_Start),MONTH([0]!Loan_Start)+Payment_Number,DAY([0]!Loan_Start))</definedName>
    <definedName name="TECN" localSheetId="8">DATE(YEAR([0]!Loan_Start),MONTH([0]!Loan_Start)+Payment_Number,DAY([0]!Loan_Start))</definedName>
    <definedName name="TECN" localSheetId="9">DATE(YEAR([0]!Loan_Start),MONTH([0]!Loan_Start)+Payment_Number,DAY([0]!Loan_Start))</definedName>
    <definedName name="TECN" localSheetId="10">DATE(YEAR([0]!Loan_Start),MONTH([0]!Loan_Start)+Payment_Number,DAY([0]!Loan_Start))</definedName>
    <definedName name="TECN" localSheetId="11">DATE(YEAR([0]!Loan_Start),MONTH([0]!Loan_Start)+Payment_Number,DAY([0]!Loan_Start))</definedName>
    <definedName name="TECN" localSheetId="12">DATE(YEAR([0]!Loan_Start),MONTH([0]!Loan_Start)+Payment_Number,DAY([0]!Loan_Start))</definedName>
    <definedName name="TECN" localSheetId="13">DATE(YEAR([0]!Loan_Start),MONTH([0]!Loan_Start)+Payment_Number,DAY([0]!Loan_Start))</definedName>
    <definedName name="TECN" localSheetId="33">DATE(YEAR([0]!Loan_Start),MONTH([0]!Loan_Start)+Payment_Number,DAY([0]!Loan_Start))</definedName>
    <definedName name="TECN" localSheetId="34">DATE(YEAR([0]!Loan_Start),MONTH([0]!Loan_Start)+Payment_Number,DAY([0]!Loan_Start))</definedName>
    <definedName name="TECN" localSheetId="35">DATE(YEAR([0]!Loan_Start),MONTH([0]!Loan_Start)+Payment_Number,DAY([0]!Loan_Start))</definedName>
    <definedName name="TECN" localSheetId="37">DATE(YEAR([0]!Loan_Start),MONTH([0]!Loan_Start)+Payment_Number,DAY([0]!Loan_Start))</definedName>
    <definedName name="TECN" localSheetId="1">DATE(YEAR(Loan_Start),MONTH(Loan_Start)+Payment_Number,DAY(Loan_Start))</definedName>
    <definedName name="TECN" localSheetId="14">DATE(YEAR([0]!Loan_Start),MONTH([0]!Loan_Start)+Payment_Number,DAY([0]!Loan_Start))</definedName>
    <definedName name="TECN" localSheetId="15">DATE(YEAR([0]!Loan_Start),MONTH([0]!Loan_Start)+Payment_Number,DAY([0]!Loan_Start))</definedName>
    <definedName name="TECN" localSheetId="16">DATE(YEAR([0]!Loan_Start),MONTH([0]!Loan_Start)+Payment_Number,DAY([0]!Loan_Start))</definedName>
    <definedName name="TECN" localSheetId="17">DATE(YEAR([0]!Loan_Start),MONTH([0]!Loan_Start)+Payment_Number,DAY([0]!Loan_Start))</definedName>
    <definedName name="TECN">DATE(YEAR(Loan_Start),MONTH(Loan_Start)+Payment_Number,DAY(Loan_Start))</definedName>
    <definedName name="tecpro06">#REF!</definedName>
    <definedName name="TEMP2">#REF!</definedName>
    <definedName name="test">#REF!</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hidden="1">{"via1",#N/A,TRUE,"general";"via2",#N/A,TRUE,"general";"via3",#N/A,TRUE,"general"}</definedName>
    <definedName name="Tf">#REF!</definedName>
    <definedName name="Tg">#REF!</definedName>
    <definedName name="th">#REF!</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tj" localSheetId="1" hidden="1">{"via1",#N/A,TRUE,"general";"via2",#N/A,TRUE,"general";"via3",#N/A,TRUE,"general"}</definedName>
    <definedName name="thtj" hidden="1">{"via1",#N/A,TRUE,"general";"via2",#N/A,TRUE,"general";"via3",#N/A,TRUE,"general"}</definedName>
    <definedName name="Ti">#REF!</definedName>
    <definedName name="TIEMPO">#REF!</definedName>
    <definedName name="Tipo">#REF!</definedName>
    <definedName name="tipo_pintura">#REF!</definedName>
    <definedName name="tipov">#REF!</definedName>
    <definedName name="TIT">#REF!</definedName>
    <definedName name="titi" localSheetId="1">IF(Loan_Amount*Interest_Rate*Loan_Years*Loan_Start&gt;0,1,0)</definedName>
    <definedName name="titi">IF(Loan_Amount*Interest_Rate*Loan_Years*Loan_Start&gt;0,1,0)</definedName>
    <definedName name="Titlepb" hidden="1">#REF!</definedName>
    <definedName name="TITO" localSheetId="1">IF(BALANCE!RICO,Header_Row+BALANCE!TUPI,Header_Row)</definedName>
    <definedName name="TITO">IF(RICO,Header_Row+[0]!TUPI,Header_Row)</definedName>
    <definedName name="TITOF" localSheetId="1">IF(BALANCE!RICO,Header_Row+BALANCE!TUPI,Header_Row)</definedName>
    <definedName name="TITOF">IF(RICO,Header_Row+[0]!TUPI,Header_Row)</definedName>
    <definedName name="TITU">#REF!</definedName>
    <definedName name="TITULO">#REF!</definedName>
    <definedName name="Titulos_a_imprimir">#REF!</definedName>
    <definedName name="_xlnm.Print_Titles" localSheetId="2">PRESUPUESTO!$1:$3</definedName>
    <definedName name="_xlnm.Print_Titles">#N/A</definedName>
    <definedName name="Títulos_a_imprimir_IM">#REF!</definedName>
    <definedName name="tj">#REF!</definedName>
    <definedName name="Tk">#REF!</definedName>
    <definedName name="tl">#REF!</definedName>
    <definedName name="Tll">#REF!</definedName>
    <definedName name="Tm">#REF!</definedName>
    <definedName name="tn">#REF!</definedName>
    <definedName name="Tñ">#REF!</definedName>
    <definedName name="To">#REF!</definedName>
    <definedName name="TODOANA">#REF!</definedName>
    <definedName name="TODOINSU">#REF!</definedName>
    <definedName name="TODOITEM">#REF!</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hidden="1">{"via1",#N/A,TRUE,"general";"via2",#N/A,TRUE,"general";"via3",#N/A,TRUE,"general"}</definedName>
    <definedName name="TOT">#REF!</definedName>
    <definedName name="Tot_Con_Ins">#REF!</definedName>
    <definedName name="Tot_EA_CAPEX">#REF!</definedName>
    <definedName name="Tot_Elect">#REF!</definedName>
    <definedName name="Tot_Elect1">#REF!</definedName>
    <definedName name="Tot_Ops_Ins">#REF!</definedName>
    <definedName name="TOTAL">#REF!</definedName>
    <definedName name="TOTAL_CIVIL">#REF!</definedName>
    <definedName name="TOTAL_ELECTRICO">#REF!</definedName>
    <definedName name="Total_Interest">#REF!</definedName>
    <definedName name="Total_Pay">#REF!</definedName>
    <definedName name="Total_Payment" localSheetId="44">Scheduled_Payment+Extra_Payment</definedName>
    <definedName name="Total_Payment" localSheetId="5">Scheduled_Payment+Extra_Payment</definedName>
    <definedName name="Total_Payment" localSheetId="6">Scheduled_Payment+Extra_Payment</definedName>
    <definedName name="Total_Payment" localSheetId="7">Scheduled_Payment+Extra_Payment</definedName>
    <definedName name="Total_Payment" localSheetId="8">Scheduled_Payment+Extra_Payment</definedName>
    <definedName name="Total_Payment" localSheetId="9">Scheduled_Payment+Extra_Payment</definedName>
    <definedName name="Total_Payment" localSheetId="10">Scheduled_Payment+Extra_Payment</definedName>
    <definedName name="Total_Payment" localSheetId="11">Scheduled_Payment+Extra_Payment</definedName>
    <definedName name="Total_Payment" localSheetId="12">Scheduled_Payment+Extra_Payment</definedName>
    <definedName name="Total_Payment" localSheetId="13">Scheduled_Payment+Extra_Payment</definedName>
    <definedName name="Total_Payment" localSheetId="33">Scheduled_Payment+Extra_Payment</definedName>
    <definedName name="Total_Payment" localSheetId="34">Scheduled_Payment+Extra_Payment</definedName>
    <definedName name="Total_Payment" localSheetId="35">Scheduled_Payment+Extra_Payment</definedName>
    <definedName name="Total_Payment" localSheetId="37">Scheduled_Payment+Extra_Payment</definedName>
    <definedName name="Total_Payment" localSheetId="1">Scheduled_Payment+Extra_Payment</definedName>
    <definedName name="Total_Payment" localSheetId="14">Scheduled_Payment+Extra_Payment</definedName>
    <definedName name="Total_Payment" localSheetId="15">Scheduled_Payment+Extra_Payment</definedName>
    <definedName name="Total_Payment" localSheetId="16">Scheduled_Payment+Extra_Payment</definedName>
    <definedName name="Total_Payment" localSheetId="17">Scheduled_Payment+Extra_Payment</definedName>
    <definedName name="Total_Payment">Scheduled_Payment+Extra_Payment</definedName>
    <definedName name="TOTAL_SERVICIOS">#REF!</definedName>
    <definedName name="TOTALAFIR4006">#REF!</definedName>
    <definedName name="TOTALAFIR4006A">#REF!</definedName>
    <definedName name="TOTALAFIR40CN01">#REF!</definedName>
    <definedName name="TOTALAFIR55CN01">#REF!</definedName>
    <definedName name="TOTALAFIR55CN03">#REF!</definedName>
    <definedName name="TOTALAFIR5607">#REF!</definedName>
    <definedName name="TotalBidCost">#REF!</definedName>
    <definedName name="TotalCost">#REF!</definedName>
    <definedName name="TotalCostosDirectos">#REF!</definedName>
    <definedName name="totales">#REF!</definedName>
    <definedName name="TOTALITEM1.1">#REF!</definedName>
    <definedName name="TOTALITEM1.1.1">#REF!</definedName>
    <definedName name="TOTALITEM1.1.2">#REF!</definedName>
    <definedName name="TOTALITEM1.1.3">#REF!</definedName>
    <definedName name="TOTALITEM1.1.4">#REF!</definedName>
    <definedName name="TOTALITEM1.2.1">#REF!</definedName>
    <definedName name="TOTALITEM1.2.2">#REF!</definedName>
    <definedName name="TOTALITEM1.2.3">#REF!</definedName>
    <definedName name="TOTALITEM1.2.4">#REF!</definedName>
    <definedName name="TOTALITEM1.2.5">#REF!</definedName>
    <definedName name="TOTALITEM1.2.6">#REF!</definedName>
    <definedName name="TOTALITEM1.3.1">#REF!</definedName>
    <definedName name="TOTALITEM1.4">#REF!</definedName>
    <definedName name="TOTALITEM1.5">#REF!</definedName>
    <definedName name="TOTALITEM1.6">#REF!</definedName>
    <definedName name="TOTALITEM1.7">#REF!</definedName>
    <definedName name="TOTALITEM1.8">#REF!</definedName>
    <definedName name="TOTALITEM10.1">#REF!</definedName>
    <definedName name="TOTALITEM11.1">#REF!</definedName>
    <definedName name="TOTALITEM11.2">#REF!</definedName>
    <definedName name="TOTALITEM11.3">#REF!</definedName>
    <definedName name="TOTALITEM11.4">#REF!</definedName>
    <definedName name="TOTALITEM11.5">#REF!</definedName>
    <definedName name="TOTALITEM11.6">#REF!</definedName>
    <definedName name="TOTALITEM12.1">#REF!</definedName>
    <definedName name="TOTALITEM12.10">#REF!</definedName>
    <definedName name="TOTALITEM12.2">#REF!</definedName>
    <definedName name="TOTALITEM12.3">#REF!</definedName>
    <definedName name="TOTALITEM12.4">#REF!</definedName>
    <definedName name="TOTALITEM12.5">#REF!</definedName>
    <definedName name="TOTALITEM12.6">#REF!</definedName>
    <definedName name="TOTALITEM12.7">#REF!</definedName>
    <definedName name="TOTALITEM12.8">#REF!</definedName>
    <definedName name="TOTALITEM12.9">#REF!</definedName>
    <definedName name="TOTALITEM13.1.1">#REF!</definedName>
    <definedName name="TOTALITEM13.1.2">#REF!</definedName>
    <definedName name="TOTALITEM13.1.3">#REF!</definedName>
    <definedName name="TOTALITEM13.2.2">#REF!</definedName>
    <definedName name="TOTALITEM14.2">#REF!</definedName>
    <definedName name="TOTALITEM14.3">#REF!</definedName>
    <definedName name="TOTALITEM14.4">#REF!</definedName>
    <definedName name="TOTALITEM14.5">#REF!</definedName>
    <definedName name="TOTALITEM14.6">#REF!</definedName>
    <definedName name="TOTALITEM15">#REF!</definedName>
    <definedName name="TOTALITEM16">#REF!</definedName>
    <definedName name="TOTALITEM2.1">#REF!</definedName>
    <definedName name="TOTALITEM2.10">#REF!</definedName>
    <definedName name="TOTALITEM2.11.1">#REF!</definedName>
    <definedName name="TOTALITEM2.11.2">#REF!</definedName>
    <definedName name="TOTALITEM2.12.1">#REF!</definedName>
    <definedName name="TOTALITEM2.2">#REF!</definedName>
    <definedName name="TOTALITEM2.3">#REF!</definedName>
    <definedName name="TOTALITEM2.4">#REF!</definedName>
    <definedName name="TOTALITEM2.5">#REF!</definedName>
    <definedName name="TOTALITEM2.6">#REF!</definedName>
    <definedName name="TOTALITEM2.7">#REF!</definedName>
    <definedName name="TOTALITEM3.1.1">#REF!</definedName>
    <definedName name="TOTALITEM3.1.2">#REF!</definedName>
    <definedName name="TOTALITEM3.2">#REF!</definedName>
    <definedName name="TOTALITEM3.3">#REF!</definedName>
    <definedName name="TOTALITEM3.4.1">#REF!</definedName>
    <definedName name="TOTALITEM3.4.2">#REF!</definedName>
    <definedName name="TOTALITEM3.4.3">#REF!</definedName>
    <definedName name="TOTALITEM3.5.1">#REF!</definedName>
    <definedName name="TOTALITEM3.5.2">#REF!</definedName>
    <definedName name="TOTALITEM3.5.3">#REF!</definedName>
    <definedName name="TOTALITEM4.1.2">#REF!</definedName>
    <definedName name="TOTALITEM4.1.3">#REF!</definedName>
    <definedName name="TOTALITEM4.1.4">#REF!</definedName>
    <definedName name="TOTALITEM4.2">#REF!</definedName>
    <definedName name="TOTALITEM4.3">#REF!</definedName>
    <definedName name="TOTALITEM4.4">#REF!</definedName>
    <definedName name="TOTALITEM4.5">#REF!</definedName>
    <definedName name="TOTALITEM4.6">#REF!</definedName>
    <definedName name="TOTALITEM5.1">#REF!</definedName>
    <definedName name="TOTALITEM5.2">#REF!</definedName>
    <definedName name="TOTALITEM5.3">#REF!</definedName>
    <definedName name="TOTALITEM5.4">#REF!</definedName>
    <definedName name="TOTALITEM6.1">#REF!</definedName>
    <definedName name="TOTALITEM6.2">#REF!</definedName>
    <definedName name="TOTALITEM6.3">#REF!</definedName>
    <definedName name="TOTALITEM7.1">#REF!</definedName>
    <definedName name="TOTALITEM7.2">#REF!</definedName>
    <definedName name="TOTALITEM7.3">#REF!</definedName>
    <definedName name="TOTALITEM7.4">#REF!</definedName>
    <definedName name="TOTALITEM7.5">#REF!</definedName>
    <definedName name="TOTALITEM8.1">#REF!</definedName>
    <definedName name="TOTALITEM8.2">#REF!</definedName>
    <definedName name="TOTALITEM8.3">#REF!</definedName>
    <definedName name="TOTALITEM8.4">#REF!</definedName>
    <definedName name="TOTALITEM8.5">#REF!</definedName>
    <definedName name="TOTALITEM8.6">#REF!</definedName>
    <definedName name="TOTALITEM8.7">#REF!</definedName>
    <definedName name="TOTALITEM8.8">#REF!</definedName>
    <definedName name="TOTALITEM9.1">#REF!</definedName>
    <definedName name="TOTALITEM9.2">#REF!</definedName>
    <definedName name="TOTALITEM9.3">#REF!</definedName>
    <definedName name="TOTALITEM9.4">#REF!</definedName>
    <definedName name="TOTALITEM9.5">#REF!</definedName>
    <definedName name="TOTALITEM9.6">#REF!</definedName>
    <definedName name="TOTALITEM9.7">#REF!</definedName>
    <definedName name="TOTALITEM9.8">#REF!</definedName>
    <definedName name="TotalItemsCost">#REF!</definedName>
    <definedName name="TOTALITEN1.2.4">#REF!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otalPickedCost">#REF!</definedName>
    <definedName name="TotEquipos1.1.3">#REF!</definedName>
    <definedName name="TotEquipos1.2.2.10">#REF!</definedName>
    <definedName name="TotEquipos1.2.2.11">#REF!</definedName>
    <definedName name="TotEquipos1.2.2.3">#REF!</definedName>
    <definedName name="TotEquipos1.2.2.4">#REF!</definedName>
    <definedName name="TotEquipos1.2.2.5">#REF!</definedName>
    <definedName name="TotEquipos1.2.2.6">#REF!</definedName>
    <definedName name="TotEquipos1.2.2.7">#REF!</definedName>
    <definedName name="TotEquipos1.2.2.8">#REF!</definedName>
    <definedName name="TotEquipos1.2.2.9">#REF!</definedName>
    <definedName name="TotEquipos1.2.3.1">#REF!</definedName>
    <definedName name="TotEquipos1.2.3.3">#REF!</definedName>
    <definedName name="TotEquipos1.2.3.4">#REF!</definedName>
    <definedName name="TotEquipos1.3.2">#REF!</definedName>
    <definedName name="TotManodeobra1.1.3">#REF!</definedName>
    <definedName name="TotManodeobra1.2.2.10">#REF!</definedName>
    <definedName name="TotManodeobra1.2.2.11">#REF!</definedName>
    <definedName name="TotManodeobra1.2.2.3">#REF!</definedName>
    <definedName name="TotManodeobra1.2.2.4">#REF!</definedName>
    <definedName name="TotManodeobra1.2.2.5">#REF!</definedName>
    <definedName name="TotManodeobra1.2.2.6">#REF!</definedName>
    <definedName name="TotManodeobra1.2.2.7">#REF!</definedName>
    <definedName name="TotManodeobra1.2.2.8">#REF!</definedName>
    <definedName name="TotManodeobra1.2.2.9">#REF!</definedName>
    <definedName name="TotManodeobra1.2.3.1">#REF!</definedName>
    <definedName name="TotManodeobra1.2.3.3">#REF!</definedName>
    <definedName name="TotManodeobra1.2.3.4">#REF!</definedName>
    <definedName name="TotManodeobra1.3.2">#REF!</definedName>
    <definedName name="TotMateriales1.1.3">#REF!</definedName>
    <definedName name="TotMateriales1.2.2.10">#REF!</definedName>
    <definedName name="TotMateriales1.2.2.11">#REF!</definedName>
    <definedName name="TotMateriales1.2.2.3">#REF!</definedName>
    <definedName name="TotMateriales1.2.2.4">#REF!</definedName>
    <definedName name="TotMateriales1.2.2.5">#REF!</definedName>
    <definedName name="TotMateriales1.2.2.6">#REF!</definedName>
    <definedName name="TotMateriales1.2.2.7">#REF!</definedName>
    <definedName name="TotMateriales1.2.2.8">#REF!</definedName>
    <definedName name="TotMateriales1.2.2.9">#REF!</definedName>
    <definedName name="TotMateriales1.2.3.1">#REF!</definedName>
    <definedName name="TotMateriales1.2.3.3">#REF!</definedName>
    <definedName name="TotMateriales1.2.3.4">#REF!</definedName>
    <definedName name="TotMateriales1.3.2">#REF!</definedName>
    <definedName name="TotTransportes1.1.3">#REF!</definedName>
    <definedName name="TotTransportes1.2.2.10">#REF!</definedName>
    <definedName name="TotTransportes1.2.2.11">#REF!</definedName>
    <definedName name="TotTransportes1.2.2.3">#REF!</definedName>
    <definedName name="TotTransportes1.2.2.4">#REF!</definedName>
    <definedName name="TotTransportes1.2.2.5">#REF!</definedName>
    <definedName name="TotTransportes1.2.2.6">#REF!</definedName>
    <definedName name="TotTransportes1.2.2.7">#REF!</definedName>
    <definedName name="TotTransportes1.2.2.8">#REF!</definedName>
    <definedName name="TotTransportes1.2.2.9">#REF!</definedName>
    <definedName name="TotTransportes1.2.3.1">#REF!</definedName>
    <definedName name="TotTransportes1.2.3.3">#REF!</definedName>
    <definedName name="TotTransportes1.2.3.4">#REF!</definedName>
    <definedName name="TotTransportes1.3.2">#REF!</definedName>
    <definedName name="Tp">#REF!</definedName>
    <definedName name="tpte">#REF!</definedName>
    <definedName name="tptee">#REF!</definedName>
    <definedName name="Tq">#REF!</definedName>
    <definedName name="Tr">#REF!</definedName>
    <definedName name="TRAFO">#N/A</definedName>
    <definedName name="Tramites">#REF!</definedName>
    <definedName name="TramitesCostos">#REF!</definedName>
    <definedName name="Transfer_Price">#REF!</definedName>
    <definedName name="Transporte">#REF!</definedName>
    <definedName name="TRAT">#REF!</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imestre1">#REF!</definedName>
    <definedName name="TRIPLEX">#REF!</definedName>
    <definedName name="TRITURADO">#REF!</definedName>
    <definedName name="trjfgjh" localSheetId="1" hidden="1">{"via1",#N/A,TRUE,"general";"via2",#N/A,TRUE,"general";"via3",#N/A,TRUE,"general"}</definedName>
    <definedName name="trjfgjh" hidden="1">{"via1",#N/A,TRUE,"general";"via2",#N/A,TRUE,"general";"via3",#N/A,TRUE,"general"}</definedName>
    <definedName name="TRM">#REF!</definedName>
    <definedName name="tru" localSheetId="1"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hidden="1">{"via1",#N/A,TRUE,"general";"via2",#N/A,TRUE,"general";"via3",#N/A,TRUE,"general"}</definedName>
    <definedName name="Ts">#REF!</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CD">#REF!</definedName>
    <definedName name="TTCostOutput">#REF!</definedName>
    <definedName name="TTR" localSheetId="1"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#REF!</definedName>
    <definedName name="tttt7" localSheetId="1"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TTTTT">#REF!</definedName>
    <definedName name="TTTTTTTT">#REF!</definedName>
    <definedName name="Tu">#REF!</definedName>
    <definedName name="tuberia3">#REF!</definedName>
    <definedName name="TUBO6">#REF!</definedName>
    <definedName name="TUBO8">#REF!</definedName>
    <definedName name="TUPI" localSheetId="1">MATCH(0.01,End_Bal,-1)+1</definedName>
    <definedName name="TUPI">MATCH(0.01,End_Bal,-1)+1</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w">#REF!</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x">#REF!</definedName>
    <definedName name="ty">#REF!</definedName>
    <definedName name="tyery" localSheetId="1"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PE">#REF!</definedName>
    <definedName name="typeofcommittment">#REF!</definedName>
    <definedName name="tyr" localSheetId="1" hidden="1">{"via1",#N/A,TRUE,"general";"via2",#N/A,TRUE,"general";"via3",#N/A,TRUE,"general"}</definedName>
    <definedName name="tyr" hidden="1">{"via1",#N/A,TRUE,"general";"via2",#N/A,TRUE,"general";"via3",#N/A,TRUE,"general"}</definedName>
    <definedName name="tytfy">#REF!</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Tz">#REF!</definedName>
    <definedName name="U">#REF!</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a">#REF!</definedName>
    <definedName name="Ub">#REF!</definedName>
    <definedName name="Uc">#REF!</definedName>
    <definedName name="Ud">#REF!</definedName>
    <definedName name="Ue">#REF!</definedName>
    <definedName name="Uf">#REF!</definedName>
    <definedName name="UFInanzas">#REF!</definedName>
    <definedName name="Ug">#REF!</definedName>
    <definedName name="UGEquipData">#REF!</definedName>
    <definedName name="Uh">#REF!</definedName>
    <definedName name="ui">#REF!</definedName>
    <definedName name="uijhj" localSheetId="1"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j">#REF!</definedName>
    <definedName name="ujyyu">#REF!</definedName>
    <definedName name="Uk">#REF!</definedName>
    <definedName name="Ull">#REF!</definedName>
    <definedName name="Um">#REF!</definedName>
    <definedName name="UMina">#REF!</definedName>
    <definedName name="UN">#REF!</definedName>
    <definedName name="UNIDAD521">#REF!</definedName>
    <definedName name="Unit" hidden="1">#REF!</definedName>
    <definedName name="units">#REF!</definedName>
    <definedName name="Uñ">#REF!</definedName>
    <definedName name="Uo">#REF!</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p">#REF!</definedName>
    <definedName name="UPlanta">#REF!</definedName>
    <definedName name="Uq">#REF!</definedName>
    <definedName name="Ur">#REF!</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s">#REF!</definedName>
    <definedName name="ut">#REF!</definedName>
    <definedName name="Ut_Un">#REF!</definedName>
    <definedName name="Util">#REF!</definedName>
    <definedName name="utilidad">#REF!</definedName>
    <definedName name="UtilidadMensual">#REF!</definedName>
    <definedName name="UTMAR">#REF!</definedName>
    <definedName name="uu">#REF!</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 hidden="1">#REF!</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hidden="1">{"via1",#N/A,TRUE,"general";"via2",#N/A,TRUE,"general";"via3",#N/A,TRUE,"general"}</definedName>
    <definedName name="uuuuutiyt">#REF!</definedName>
    <definedName name="uuuuuu">#REF!</definedName>
    <definedName name="uuuuuuuuuu">#REF!</definedName>
    <definedName name="Uv">#REF!</definedName>
    <definedName name="Uw">#REF!</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xd">#REF!</definedName>
    <definedName name="uy">#REF!</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hidden="1">{"via1",#N/A,TRUE,"general";"via2",#N/A,TRUE,"general";"via3",#N/A,TRUE,"general"}</definedName>
    <definedName name="Uz">#REF!</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M.CV1_Moisture">#REF!</definedName>
    <definedName name="V.M.CV2_Al">#REF!</definedName>
    <definedName name="V.M.CV2_Co">#REF!</definedName>
    <definedName name="V.M.CV2_DryTonnes">#REF!</definedName>
    <definedName name="V.M.CV2_dtph">#REF!</definedName>
    <definedName name="V.M.CV2_Fe">#REF!</definedName>
    <definedName name="V.M.CV2_Mg">#REF!</definedName>
    <definedName name="V.M.CV2_Ni">#REF!</definedName>
    <definedName name="V.M.CV2_Si">#REF!</definedName>
    <definedName name="V.M.Mill_Availability">#REF!</definedName>
    <definedName name="V.M.Mill_Downtime">#REF!</definedName>
    <definedName name="V.M.Mill_DryTonnes">#REF!</definedName>
    <definedName name="V.M.Mill_DryTph">#REF!</definedName>
    <definedName name="V.M.Mill_PowerDraw">#REF!</definedName>
    <definedName name="V.M.Mill_PowerDrawPerTonne">#REF!</definedName>
    <definedName name="V.M.Mill_Uptime">#REF!</definedName>
    <definedName name="V.M.Mill_Utilization">#REF!</definedName>
    <definedName name="V.M.Mill_WetTonnes">#REF!</definedName>
    <definedName name="V.M.Mill_WetTph">#REF!</definedName>
    <definedName name="V.M.MillFeed_Al">#REF!</definedName>
    <definedName name="V.M.MillFeed_Co">#REF!</definedName>
    <definedName name="V.M.MillFeed_Fe">#REF!</definedName>
    <definedName name="V.M.MillFeed_Mg">#REF!</definedName>
    <definedName name="V.M.MillFeed_Ni">#REF!</definedName>
    <definedName name="V.M.MillFeed_Si">#REF!</definedName>
    <definedName name="V.M.MillH2O_Head">#REF!</definedName>
    <definedName name="V.M.MillH2O_Screen">#REF!</definedName>
    <definedName name="V.M.MillH2O_Total">#REF!</definedName>
    <definedName name="V.M.OreToStorage_Al">#REF!</definedName>
    <definedName name="V.M.OreToStorage_Co">#REF!</definedName>
    <definedName name="V.M.OreToStorage_DryTonnes">#REF!</definedName>
    <definedName name="V.M.OreToStorage_DryTph">#REF!</definedName>
    <definedName name="V.M.OreToStorage_Fe">#REF!</definedName>
    <definedName name="V.M.OreToStorage_Mg">#REF!</definedName>
    <definedName name="V.M.OreToStorage_Ni">#REF!</definedName>
    <definedName name="V.M.OreToStorage_PulpDensity">#REF!</definedName>
    <definedName name="V.M.OreToStorage_PulpYieldStress">#REF!</definedName>
    <definedName name="V.M.OreToStorage_Si">#REF!</definedName>
    <definedName name="V.M.OreToStorage_Volume">#REF!</definedName>
    <definedName name="V.M.OreToStorage_VolumePerHr">#REF!</definedName>
    <definedName name="V.Y.CV1_Moisture">#REF!</definedName>
    <definedName name="V.Y.CV2_Al">#REF!</definedName>
    <definedName name="V.Y.CV2_Co">#REF!</definedName>
    <definedName name="V.Y.CV2_DryTonnes">#REF!</definedName>
    <definedName name="V.Y.CV2_dtph">#REF!</definedName>
    <definedName name="V.Y.CV2_Fe">#REF!</definedName>
    <definedName name="V.Y.CV2_Mg">#REF!</definedName>
    <definedName name="V.Y.CV2_Ni">#REF!</definedName>
    <definedName name="V.Y.CV2_Si">#REF!</definedName>
    <definedName name="V.Y.Mill_Availability">#REF!</definedName>
    <definedName name="V.Y.Mill_Downtime">#REF!</definedName>
    <definedName name="V.Y.Mill_DryTonnes">#REF!</definedName>
    <definedName name="V.Y.Mill_DryTph">#REF!</definedName>
    <definedName name="V.Y.Mill_PowerDraw">#REF!</definedName>
    <definedName name="V.Y.Mill_PowerDrawPerTonne">#REF!</definedName>
    <definedName name="V.Y.Mill_Uptime">#REF!</definedName>
    <definedName name="V.Y.Mill_Utilization">#REF!</definedName>
    <definedName name="V.Y.Mill_WetTonnes">#REF!</definedName>
    <definedName name="V.Y.Mill_WetTph">#REF!</definedName>
    <definedName name="V.Y.MillFeed_Al">#REF!</definedName>
    <definedName name="V.Y.MillFeed_Co">#REF!</definedName>
    <definedName name="V.Y.MillFeed_Fe">#REF!</definedName>
    <definedName name="V.Y.MillFeed_Mg">#REF!</definedName>
    <definedName name="V.Y.MillFeed_Ni">#REF!</definedName>
    <definedName name="V.Y.MillFeed_Si">#REF!</definedName>
    <definedName name="V.Y.MillH2O_Head">#REF!</definedName>
    <definedName name="V.Y.MillH2O_Screen">#REF!</definedName>
    <definedName name="V.Y.MillH2O_Total">#REF!</definedName>
    <definedName name="V.Y.OreToStorage_Al">#REF!</definedName>
    <definedName name="V.Y.OreToStorage_Co">#REF!</definedName>
    <definedName name="V.Y.OreToStorage_DryTonnes">#REF!</definedName>
    <definedName name="V.Y.OreToStorage_DryTph">#REF!</definedName>
    <definedName name="V.Y.OreToStorage_Fe">#REF!</definedName>
    <definedName name="V.Y.OreToStorage_Mg">#REF!</definedName>
    <definedName name="V.Y.OreToStorage_Ni">#REF!</definedName>
    <definedName name="V.Y.OreToStorage_PulpDensity">#REF!</definedName>
    <definedName name="V.Y.OreToStorage_PulpYieldStress">#REF!</definedName>
    <definedName name="V.Y.OreToStorage_Si">#REF!</definedName>
    <definedName name="V.Y.OreToStorage_Volume">#REF!</definedName>
    <definedName name="V.Y.OreToStorage_VolumePerHr">#REF!</definedName>
    <definedName name="Va">#REF!</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cal">#REF!</definedName>
    <definedName name="VALDES">#REF!</definedName>
    <definedName name="valhati">#REF!</definedName>
    <definedName name="valor_consumibles">#REF!</definedName>
    <definedName name="valor_cuadrilla">#REF!</definedName>
    <definedName name="valor_equipos">#REF!</definedName>
    <definedName name="valor_nomina1">#REF!</definedName>
    <definedName name="valor_nomina2">#REF!</definedName>
    <definedName name="valor_nomina3">#REF!</definedName>
    <definedName name="valor1">#REF!</definedName>
    <definedName name="valor2">#REF!</definedName>
    <definedName name="VALOR3">#REF!</definedName>
    <definedName name="valorcal">#REF!</definedName>
    <definedName name="ValoresCanon">#REF!</definedName>
    <definedName name="ValoresIva">#REF!</definedName>
    <definedName name="ValorFuturoFcro">#REF!</definedName>
    <definedName name="ValorImpuestoTimbre">#REF!</definedName>
    <definedName name="Values_Entered" localSheetId="1">IF(Loan_Amount*Interest_Rate*Loan_Years*Loan_Start&gt;0,1,0)</definedName>
    <definedName name="Values_Entered">IF(Loan_Amount*Interest_Rate*Loan_Years*Loan_Start&gt;0,1,0)</definedName>
    <definedName name="VarEquip">#REF!</definedName>
    <definedName name="Varios">#REF!</definedName>
    <definedName name="Varios2">#REF!</definedName>
    <definedName name="VarRange">#REF!</definedName>
    <definedName name="VAT">#REF!</definedName>
    <definedName name="vaton">#REF!</definedName>
    <definedName name="vb">#REF!</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k">#REF!</definedName>
    <definedName name="vd">#REF!</definedName>
    <definedName name="vdfvuio" localSheetId="1"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#REF!</definedName>
    <definedName name="velosidadhorizontal">#REF!</definedName>
    <definedName name="VENDOR_ID">#REF!</definedName>
    <definedName name="Vendor_name">#REF!</definedName>
    <definedName name="vendor_name2">#REF!</definedName>
    <definedName name="VENT100_S1">#REF!</definedName>
    <definedName name="VENT100_S2">#REF!</definedName>
    <definedName name="VENT100_S3">#REF!</definedName>
    <definedName name="VENT100_S4">#REF!</definedName>
    <definedName name="VENT100_S5">#REF!</definedName>
    <definedName name="VENT100_S6">#REF!</definedName>
    <definedName name="VentaAiu">#REF!</definedName>
    <definedName name="Verifier">#REF!</definedName>
    <definedName name="Vf">#REF!</definedName>
    <definedName name="vfbgnhyt" localSheetId="1" hidden="1">{"via1",#N/A,TRUE,"general";"via2",#N/A,TRUE,"general";"via3",#N/A,TRUE,"general"}</definedName>
    <definedName name="vfbgnhyt" hidden="1">{"via1",#N/A,TRUE,"general";"via2",#N/A,TRUE,"general";"via3",#N/A,TRUE,"general"}</definedName>
    <definedName name="vfggchbh">#REF!</definedName>
    <definedName name="vfgtfgvfgv">#REF!</definedName>
    <definedName name="vfn">#REF!</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h">#REF!</definedName>
    <definedName name="via" localSheetId="1" hidden="1">{"via1",#N/A,TRUE,"general";"via2",#N/A,TRUE,"general";"via3",#N/A,TRUE,"general"}</definedName>
    <definedName name="via" hidden="1">{"via1",#N/A,TRUE,"general";"via2",#N/A,TRUE,"general";"via3",#N/A,TRUE,"general"}</definedName>
    <definedName name="vias">#REF!</definedName>
    <definedName name="VIDRIO4">#REF!</definedName>
    <definedName name="VINILO">#REF!</definedName>
    <definedName name="vk" localSheetId="1" hidden="1">{"via1",#N/A,TRUE,"general";"via2",#N/A,TRUE,"general";"via3",#N/A,TRUE,"general"}</definedName>
    <definedName name="vk" hidden="1">{"via1",#N/A,TRUE,"general";"via2",#N/A,TRUE,"general";"via3",#N/A,TRUE,"general"}</definedName>
    <definedName name="vm">#REF!</definedName>
    <definedName name="vnbvxb" localSheetId="1"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o">#REF!</definedName>
    <definedName name="volumenarena">#REF!</definedName>
    <definedName name="VOLUMENDIARIO">#REF!</definedName>
    <definedName name="VPD">#REF!</definedName>
    <definedName name="VPDACUE">#REF!</definedName>
    <definedName name="VPI">#REF!</definedName>
    <definedName name="VPNIngresos">#REF!</definedName>
    <definedName name="VPNSurenting">#REF!</definedName>
    <definedName name="vr_equipos">#REF!</definedName>
    <definedName name="VRA">#REF!</definedName>
    <definedName name="Vs">#REF!</definedName>
    <definedName name="VSCanonTotal">#REF!</definedName>
    <definedName name="vsdfj" localSheetId="1" hidden="1">{"via1",#N/A,TRUE,"general";"via2",#N/A,TRUE,"general";"via3",#N/A,TRUE,"general"}</definedName>
    <definedName name="vsdfj" hidden="1">{"via1",#N/A,TRUE,"general";"via2",#N/A,TRUE,"general";"via3",#N/A,TRUE,"general"}</definedName>
    <definedName name="VSPunRentabilidad">#REF!</definedName>
    <definedName name="VSTablaDTF">#REF!</definedName>
    <definedName name="VSTablaDTFDatos">#REF!</definedName>
    <definedName name="VSUtilidadMensual">#REF!</definedName>
    <definedName name="VSVariablesRenting">#REF!</definedName>
    <definedName name="vt" localSheetId="1" hidden="1">{"via1",#N/A,TRUE,"general";"via2",#N/A,TRUE,"general";"via3",#N/A,TRUE,"general"}</definedName>
    <definedName name="vt" hidden="1">{"via1",#N/A,TRUE,"general";"via2",#N/A,TRUE,"general";"via3",#N/A,TRUE,"general"}</definedName>
    <definedName name="vv">#REF!</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V">#REF!</definedName>
    <definedName name="vvvvt" localSheetId="1"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 localSheetId="44">Scheduled_Payment+Extra_Payment</definedName>
    <definedName name="w" localSheetId="5">Scheduled_Payment+Extra_Payment</definedName>
    <definedName name="w" localSheetId="6">Scheduled_Payment+Extra_Payment</definedName>
    <definedName name="w" localSheetId="7">Scheduled_Payment+Extra_Payment</definedName>
    <definedName name="w" localSheetId="8">Scheduled_Payment+Extra_Payment</definedName>
    <definedName name="w" localSheetId="9">Scheduled_Payment+Extra_Payment</definedName>
    <definedName name="w" localSheetId="10">Scheduled_Payment+Extra_Payment</definedName>
    <definedName name="w" localSheetId="11">Scheduled_Payment+Extra_Payment</definedName>
    <definedName name="w" localSheetId="12">Scheduled_Payment+Extra_Payment</definedName>
    <definedName name="w" localSheetId="13">Scheduled_Payment+Extra_Payment</definedName>
    <definedName name="w" localSheetId="33">Scheduled_Payment+Extra_Payment</definedName>
    <definedName name="w" localSheetId="34">Scheduled_Payment+Extra_Payment</definedName>
    <definedName name="w" localSheetId="35">Scheduled_Payment+Extra_Payment</definedName>
    <definedName name="w" localSheetId="37">Scheduled_Payment+Extra_Payment</definedName>
    <definedName name="w" localSheetId="1">Scheduled_Payment+Extra_Payment</definedName>
    <definedName name="w" localSheetId="14">Scheduled_Payment+Extra_Payment</definedName>
    <definedName name="w" localSheetId="15">Scheduled_Payment+Extra_Payment</definedName>
    <definedName name="w" localSheetId="16">Scheduled_Payment+Extra_Payment</definedName>
    <definedName name="w" localSheetId="17">Scheduled_Payment+Extra_Payment</definedName>
    <definedName name="w">Scheduled_Payment+Extra_Payment</definedName>
    <definedName name="w2w2w" localSheetId="1" hidden="1">{"via1",#N/A,TRUE,"general";"via2",#N/A,TRUE,"general";"via3",#N/A,TRUE,"general"}</definedName>
    <definedName name="w2w2w" hidden="1">{"via1",#N/A,TRUE,"general";"via2",#N/A,TRUE,"general";"via3",#N/A,TRUE,"general"}</definedName>
    <definedName name="Waste_DB">#REF!</definedName>
    <definedName name="Waste1">#REF!</definedName>
    <definedName name="Waste2">#REF!</definedName>
    <definedName name="Waste3">#REF!</definedName>
    <definedName name="Waste4">#REF!</definedName>
    <definedName name="WasteFleet">#REF!</definedName>
    <definedName name="WasteLoad">#REF!</definedName>
    <definedName name="WasteOpCost">#REF!</definedName>
    <definedName name="WasteOverCap">#REF!</definedName>
    <definedName name="WasteRepl">#REF!</definedName>
    <definedName name="WasteUtil">#REF!</definedName>
    <definedName name="WContLab">#REF!</definedName>
    <definedName name="WContParts">#REF!</definedName>
    <definedName name="we">#REF!</definedName>
    <definedName name="weight">#REF!</definedName>
    <definedName name="WEIGHT_UNIT">#REF!</definedName>
    <definedName name="WER">#REF!</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GET">#REF!</definedName>
    <definedName name="WILSON">#REF!</definedName>
    <definedName name="wj">#REF!</definedName>
    <definedName name="wl">#REF!</definedName>
    <definedName name="WLube">#REF!</definedName>
    <definedName name="WOHaul">#REF!</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andM">#REF!</definedName>
    <definedName name="wrn.Financial._.Statements." localSheetId="1"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localSheetId="1"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Restructuring._.Summaries." localSheetId="1" hidden="1">{#N/A,#N/A,TRUE,"Transaction Summary";#N/A,#N/A,TRUE,"Restructuring Sensitivities";#N/A,#N/A,TRUE,"DCF";#N/A,#N/A,TRUE,"IRR";#N/A,#N/A,TRUE,"Debt Capacity"}</definedName>
    <definedName name="wrn.Restructuring._.Summaries." hidden="1">{#N/A,#N/A,TRUE,"Transaction Summary";#N/A,#N/A,TRUE,"Restructuring Sensitivities";#N/A,#N/A,TRUE,"DCF";#N/A,#N/A,TRUE,"IRR";#N/A,#N/A,TRUE,"Debt Capacity"}</definedName>
    <definedName name="wrn.via." localSheetId="1" hidden="1">{"via1",#N/A,TRUE,"general";"via2",#N/A,TRUE,"general";"via3",#N/A,TRUE,"general"}</definedName>
    <definedName name="wrn.via." hidden="1">{"via1",#N/A,TRUE,"general";"via2",#N/A,TRUE,"general";"via3",#N/A,TRUE,"general"}</definedName>
    <definedName name="ws">#REF!</definedName>
    <definedName name="wsnhed" localSheetId="1"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Tyre">#REF!</definedName>
    <definedName name="ww">#REF!</definedName>
    <definedName name="wwded3" localSheetId="1" hidden="1">{"via1",#N/A,TRUE,"general";"via2",#N/A,TRUE,"general";"via3",#N/A,TRUE,"general"}</definedName>
    <definedName name="wwded3" hidden="1">{"via1",#N/A,TRUE,"general";"via2",#N/A,TRUE,"general";"via3",#N/A,TRUE,"general"}</definedName>
    <definedName name="WWW">#REF!</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wwwwwwwww">#REF!</definedName>
    <definedName name="wwwwwwwwwwww">#REF!</definedName>
    <definedName name="wyty" localSheetId="1" hidden="1">{"via1",#N/A,TRUE,"general";"via2",#N/A,TRUE,"general";"via3",#N/A,TRUE,"general"}</definedName>
    <definedName name="wyty" hidden="1">{"via1",#N/A,TRUE,"general";"via2",#N/A,TRUE,"general";"via3",#N/A,TRUE,"general"}</definedName>
    <definedName name="x">#REF!</definedName>
    <definedName name="xb">#REF!</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fgf">#REF!</definedName>
    <definedName name="xo">#REF!</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vrcsdrasxz">#REF!</definedName>
    <definedName name="xx">#REF!</definedName>
    <definedName name="xxfg" localSheetId="1" hidden="1">{"via1",#N/A,TRUE,"general";"via2",#N/A,TRUE,"general";"via3",#N/A,TRUE,"general"}</definedName>
    <definedName name="xxfg" hidden="1">{"via1",#N/A,TRUE,"general";"via2",#N/A,TRUE,"general";"via3",#N/A,TRUE,"general"}</definedName>
    <definedName name="XXX">#REF!</definedName>
    <definedName name="xxxx">#REF!</definedName>
    <definedName name="xxxxxds" localSheetId="1" hidden="1">{"via1",#N/A,TRUE,"general";"via2",#N/A,TRUE,"general";"via3",#N/A,TRUE,"general"}</definedName>
    <definedName name="xxxxxds" hidden="1">{"via1",#N/A,TRUE,"general";"via2",#N/A,TRUE,"general";"via3",#N/A,TRUE,"general"}</definedName>
    <definedName name="XXXXXXXXXX">#REF!</definedName>
    <definedName name="xxxxxxxxxx29" localSheetId="1" hidden="1">{"via1",#N/A,TRUE,"general";"via2",#N/A,TRUE,"general";"via3",#N/A,TRUE,"general"}</definedName>
    <definedName name="xxxxxxxxxx29" hidden="1">{"via1",#N/A,TRUE,"general";"via2",#N/A,TRUE,"general";"via3",#N/A,TRUE,"general"}</definedName>
    <definedName name="XXXXXXXXXXXX">#REF!</definedName>
    <definedName name="xyz" hidden="1">#REF!</definedName>
    <definedName name="xzczxczxc">#REF!</definedName>
    <definedName name="XZXZV" localSheetId="1" hidden="1">{"via1",#N/A,TRUE,"general";"via2",#N/A,TRUE,"general";"via3",#N/A,TRUE,"general"}</definedName>
    <definedName name="XZXZV" hidden="1">{"via1",#N/A,TRUE,"general";"via2",#N/A,TRUE,"general";"via3",#N/A,TRUE,"general"}</definedName>
    <definedName name="y">#REF!</definedName>
    <definedName name="y6y6" localSheetId="1" hidden="1">{"via1",#N/A,TRUE,"general";"via2",#N/A,TRUE,"general";"via3",#N/A,TRUE,"general"}</definedName>
    <definedName name="y6y6" hidden="1">{"via1",#N/A,TRUE,"general";"via2",#N/A,TRUE,"general";"via3",#N/A,TRUE,"general"}</definedName>
    <definedName name="Year">#REF!</definedName>
    <definedName name="years">#REF!</definedName>
    <definedName name="yery" localSheetId="1" hidden="1">{"via1",#N/A,TRUE,"general";"via2",#N/A,TRUE,"general";"via3",#N/A,TRUE,"general"}</definedName>
    <definedName name="yery" hidden="1">{"via1",#N/A,TRUE,"general";"via2",#N/A,TRUE,"general";"via3",#N/A,TRUE,"general"}</definedName>
    <definedName name="yesno">#REF!</definedName>
    <definedName name="YESO">#REF!</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rey" localSheetId="1"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D.ROM1_PercentFed">#REF!</definedName>
    <definedName name="YTD.ROM2_PercentFed">#REF!</definedName>
    <definedName name="YTD.ROM3_PercentFed">#REF!</definedName>
    <definedName name="YTD.ROM4_PercentFed">#REF!</definedName>
    <definedName name="YTD.ROM5_PercentFed">#REF!</definedName>
    <definedName name="YTD_Days">#REF!</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#REF!</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localSheetId="1"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#REF!</definedName>
    <definedName name="YYY">#REF!</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hidden="1">{"via1",#N/A,TRUE,"general";"via2",#N/A,TRUE,"general";"via3",#N/A,TRUE,"general"}</definedName>
    <definedName name="yyyyyy" hidden="1">#REF!</definedName>
    <definedName name="zc">#REF!</definedName>
    <definedName name="zd">#REF!</definedName>
    <definedName name="zdervr" localSheetId="1" hidden="1">{"via1",#N/A,TRUE,"general";"via2",#N/A,TRUE,"general";"via3",#N/A,TRUE,"general"}</definedName>
    <definedName name="zdervr" hidden="1">{"via1",#N/A,TRUE,"general";"via2",#N/A,TRUE,"general";"via3",#N/A,TRUE,"general"}</definedName>
    <definedName name="zdr">#REF!</definedName>
    <definedName name="zv">#REF!</definedName>
    <definedName name="zx">#REF!</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#REF!</definedName>
    <definedName name="ZZZZZZZZZZZ">#REF!</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44" i="76" l="1"/>
  <c r="I30" i="76"/>
  <c r="B20" i="82" l="1"/>
  <c r="F20" i="82"/>
  <c r="G20" i="82" s="1"/>
  <c r="D20" i="82"/>
  <c r="I36" i="76"/>
  <c r="K36" i="76" s="1"/>
  <c r="F19" i="82"/>
  <c r="G19" i="82" s="1"/>
  <c r="D19" i="82"/>
  <c r="F22" i="82"/>
  <c r="G22" i="82" s="1"/>
  <c r="F21" i="82"/>
  <c r="G21" i="82" s="1"/>
  <c r="C16" i="82"/>
  <c r="G33" i="82"/>
  <c r="F27" i="82"/>
  <c r="G39" i="82"/>
  <c r="H40" i="82" s="1"/>
  <c r="G23" i="82"/>
  <c r="B13" i="82"/>
  <c r="F34" i="76"/>
  <c r="G34" i="76" s="1"/>
  <c r="E29" i="53"/>
  <c r="B29" i="53"/>
  <c r="B30" i="81"/>
  <c r="E23" i="53"/>
  <c r="F23" i="53"/>
  <c r="F35" i="81"/>
  <c r="G35" i="81" s="1"/>
  <c r="H36" i="81" s="1"/>
  <c r="B35" i="81"/>
  <c r="G30" i="81"/>
  <c r="E30" i="81"/>
  <c r="D30" i="81"/>
  <c r="F26" i="81"/>
  <c r="G26" i="81" s="1"/>
  <c r="H27" i="81" s="1"/>
  <c r="G20" i="81"/>
  <c r="D20" i="81"/>
  <c r="B20" i="81"/>
  <c r="F19" i="81"/>
  <c r="G19" i="81" s="1"/>
  <c r="D19" i="81"/>
  <c r="B19" i="81"/>
  <c r="H16" i="81"/>
  <c r="C16" i="81"/>
  <c r="B13" i="81"/>
  <c r="F24" i="55"/>
  <c r="G35" i="55"/>
  <c r="I34" i="76"/>
  <c r="I35" i="76"/>
  <c r="K35" i="76" s="1"/>
  <c r="I22" i="76"/>
  <c r="J22" i="76" s="1"/>
  <c r="J34" i="76" l="1"/>
  <c r="H24" i="82"/>
  <c r="G27" i="82"/>
  <c r="H30" i="82" s="1"/>
  <c r="F35" i="82" s="1"/>
  <c r="G35" i="82" s="1"/>
  <c r="H36" i="82" s="1"/>
  <c r="H23" i="81"/>
  <c r="F31" i="81"/>
  <c r="G31" i="81" s="1"/>
  <c r="H32" i="81" s="1"/>
  <c r="K34" i="76"/>
  <c r="L34" i="76" s="1"/>
  <c r="H42" i="82" l="1"/>
  <c r="F36" i="76" s="1"/>
  <c r="H38" i="81"/>
  <c r="F35" i="76" s="1"/>
  <c r="J36" i="76" l="1"/>
  <c r="G36" i="76"/>
  <c r="L36" i="76"/>
  <c r="D24" i="82"/>
  <c r="D30" i="82"/>
  <c r="D40" i="82"/>
  <c r="D36" i="82"/>
  <c r="G35" i="76"/>
  <c r="L35" i="76"/>
  <c r="J35" i="76"/>
  <c r="D23" i="81"/>
  <c r="D27" i="81"/>
  <c r="D36" i="81"/>
  <c r="D32" i="81"/>
  <c r="C16" i="53" l="1"/>
  <c r="I33" i="76"/>
  <c r="H16" i="55"/>
  <c r="C16" i="55"/>
  <c r="C40" i="76"/>
  <c r="C39" i="76"/>
  <c r="I31" i="76"/>
  <c r="K31" i="76" s="1"/>
  <c r="L31" i="76" s="1"/>
  <c r="G31" i="76"/>
  <c r="K30" i="76"/>
  <c r="L30" i="76" s="1"/>
  <c r="G30" i="76"/>
  <c r="I28" i="76"/>
  <c r="K28" i="76" s="1"/>
  <c r="L28" i="76" s="1"/>
  <c r="G28" i="76"/>
  <c r="I27" i="76"/>
  <c r="K27" i="76" s="1"/>
  <c r="L27" i="76" s="1"/>
  <c r="G27" i="76"/>
  <c r="I25" i="76"/>
  <c r="G25" i="76"/>
  <c r="I24" i="76"/>
  <c r="G24" i="76"/>
  <c r="I23" i="76"/>
  <c r="G23" i="76"/>
  <c r="K22" i="76"/>
  <c r="L22" i="76" s="1"/>
  <c r="G22" i="76"/>
  <c r="I20" i="76"/>
  <c r="K20" i="76" s="1"/>
  <c r="L20" i="76" s="1"/>
  <c r="G20" i="76"/>
  <c r="J28" i="76" l="1"/>
  <c r="K23" i="76"/>
  <c r="L23" i="76" s="1"/>
  <c r="J23" i="76"/>
  <c r="J30" i="76"/>
  <c r="K24" i="76"/>
  <c r="L24" i="76" s="1"/>
  <c r="J24" i="76"/>
  <c r="K25" i="76"/>
  <c r="L25" i="76" s="1"/>
  <c r="J25" i="76"/>
  <c r="J27" i="76"/>
  <c r="J20" i="76"/>
  <c r="J31" i="76"/>
  <c r="C24" i="38" l="1"/>
  <c r="F113" i="58"/>
  <c r="F64" i="7" l="1"/>
  <c r="D17" i="45"/>
  <c r="D13" i="1" l="1"/>
  <c r="B20" i="46"/>
  <c r="B7" i="12"/>
  <c r="E16" i="33" l="1"/>
  <c r="H16" i="51"/>
  <c r="C16" i="51"/>
  <c r="E17" i="33"/>
  <c r="E28" i="52"/>
  <c r="E19" i="52"/>
  <c r="F19" i="52"/>
  <c r="B19" i="52"/>
  <c r="H16" i="52"/>
  <c r="C16" i="52"/>
  <c r="D14" i="1"/>
  <c r="D32" i="43"/>
  <c r="D31" i="43"/>
  <c r="D30" i="43"/>
  <c r="D31" i="39"/>
  <c r="D30" i="39"/>
  <c r="G22" i="52"/>
  <c r="G23" i="52"/>
  <c r="G24" i="52"/>
  <c r="F28" i="52"/>
  <c r="G34" i="52"/>
  <c r="G401" i="27"/>
  <c r="I7" i="5"/>
  <c r="F400" i="27"/>
  <c r="J235" i="27"/>
  <c r="G178" i="27"/>
  <c r="F178" i="27"/>
  <c r="G176" i="27"/>
  <c r="F176" i="27"/>
  <c r="L176" i="27" s="1"/>
  <c r="G128" i="27"/>
  <c r="G127" i="27"/>
  <c r="F130" i="27"/>
  <c r="F127" i="27"/>
  <c r="J127" i="27" s="1"/>
  <c r="J46" i="27"/>
  <c r="F46" i="27"/>
  <c r="O12" i="27"/>
  <c r="F401" i="27" s="1"/>
  <c r="J401" i="27" s="1"/>
  <c r="O11" i="27"/>
  <c r="Q11" i="27" s="1"/>
  <c r="Q10" i="27"/>
  <c r="F234" i="27" s="1"/>
  <c r="L44" i="27"/>
  <c r="L48" i="27"/>
  <c r="L49" i="27"/>
  <c r="L50" i="27"/>
  <c r="L51" i="27"/>
  <c r="L52" i="27"/>
  <c r="L53" i="27"/>
  <c r="L54" i="27"/>
  <c r="L55" i="27"/>
  <c r="L56" i="27"/>
  <c r="L11" i="9"/>
  <c r="F35" i="9"/>
  <c r="F42" i="9"/>
  <c r="F41" i="9"/>
  <c r="F40" i="9"/>
  <c r="F39" i="9"/>
  <c r="F38" i="9"/>
  <c r="F37" i="9"/>
  <c r="F36" i="9"/>
  <c r="H30" i="9"/>
  <c r="D30" i="9"/>
  <c r="D29" i="9"/>
  <c r="D15" i="9"/>
  <c r="F13" i="9"/>
  <c r="F12" i="9"/>
  <c r="F11" i="9"/>
  <c r="F43" i="27"/>
  <c r="F288" i="27" s="1"/>
  <c r="F260" i="27"/>
  <c r="D20" i="60"/>
  <c r="D19" i="60"/>
  <c r="G18" i="60"/>
  <c r="F47" i="27" l="1"/>
  <c r="J47" i="27" s="1"/>
  <c r="L47" i="27" s="1"/>
  <c r="F344" i="27"/>
  <c r="F131" i="27"/>
  <c r="J131" i="27" s="1"/>
  <c r="F45" i="27"/>
  <c r="F128" i="27"/>
  <c r="Q12" i="27"/>
  <c r="F233" i="27" s="1"/>
  <c r="R11" i="27"/>
  <c r="H20" i="60"/>
  <c r="H18" i="60"/>
  <c r="G27" i="60"/>
  <c r="D7" i="5"/>
  <c r="E21" i="5"/>
  <c r="L260" i="27"/>
  <c r="J132" i="27"/>
  <c r="F99" i="27"/>
  <c r="L99" i="27"/>
  <c r="E95" i="27"/>
  <c r="Q9" i="27"/>
  <c r="F232" i="27" s="1"/>
  <c r="J205" i="27" l="1"/>
  <c r="F7" i="5"/>
  <c r="F8" i="5" s="1"/>
  <c r="F9" i="5" s="1"/>
  <c r="F10" i="5" s="1"/>
  <c r="L429" i="27"/>
  <c r="G8" i="62" l="1"/>
  <c r="G11" i="62"/>
  <c r="H67" i="60" l="1"/>
  <c r="H62" i="60"/>
  <c r="D15" i="73"/>
  <c r="D14" i="73"/>
  <c r="D13" i="73"/>
  <c r="D12" i="73"/>
  <c r="D10" i="73"/>
  <c r="D9" i="73"/>
  <c r="B46" i="60"/>
  <c r="D39" i="58"/>
  <c r="G10" i="62" l="1"/>
  <c r="G6" i="62"/>
  <c r="D8" i="67"/>
  <c r="F28" i="74" l="1"/>
  <c r="F29" i="74"/>
  <c r="F27" i="74"/>
  <c r="F26" i="74"/>
  <c r="G27" i="74" s="1"/>
  <c r="P9" i="74"/>
  <c r="J9" i="74"/>
  <c r="C34" i="74"/>
  <c r="P29" i="74"/>
  <c r="O29" i="74"/>
  <c r="N29" i="74"/>
  <c r="M29" i="74"/>
  <c r="L29" i="74"/>
  <c r="K29" i="74"/>
  <c r="I29" i="74"/>
  <c r="P28" i="74"/>
  <c r="O28" i="74"/>
  <c r="N28" i="74"/>
  <c r="M28" i="74"/>
  <c r="L28" i="74"/>
  <c r="K28" i="74"/>
  <c r="I28" i="74"/>
  <c r="P27" i="74"/>
  <c r="O27" i="74"/>
  <c r="N27" i="74"/>
  <c r="M27" i="74"/>
  <c r="L27" i="74"/>
  <c r="K27" i="74"/>
  <c r="I27" i="74"/>
  <c r="H27" i="74"/>
  <c r="H28" i="74" s="1"/>
  <c r="H29" i="74" s="1"/>
  <c r="P26" i="74"/>
  <c r="O26" i="74"/>
  <c r="N26" i="74"/>
  <c r="M26" i="74"/>
  <c r="L26" i="74"/>
  <c r="K26" i="74"/>
  <c r="I26" i="74"/>
  <c r="F11" i="74"/>
  <c r="F13" i="74"/>
  <c r="F12" i="74"/>
  <c r="F10" i="74"/>
  <c r="F9" i="74"/>
  <c r="F14" i="74"/>
  <c r="J28" i="74" l="1"/>
  <c r="J27" i="74"/>
  <c r="I34" i="74"/>
  <c r="N34" i="74"/>
  <c r="L34" i="74"/>
  <c r="M34" i="74"/>
  <c r="K34" i="74"/>
  <c r="O34" i="74"/>
  <c r="J26" i="74"/>
  <c r="P34" i="74"/>
  <c r="J29" i="74"/>
  <c r="J400" i="27"/>
  <c r="L400" i="27" s="1"/>
  <c r="J34" i="74" l="1"/>
  <c r="G34" i="74" s="1"/>
  <c r="L458" i="27" s="1"/>
  <c r="E10" i="5"/>
  <c r="H10" i="5" s="1"/>
  <c r="E8" i="5"/>
  <c r="E9" i="5"/>
  <c r="H9" i="5" s="1"/>
  <c r="J234" i="27"/>
  <c r="L234" i="27" s="1"/>
  <c r="L46" i="27"/>
  <c r="J130" i="27"/>
  <c r="L130" i="27" s="1"/>
  <c r="H16" i="49"/>
  <c r="J233" i="27" l="1"/>
  <c r="L177" i="27"/>
  <c r="H129" i="27"/>
  <c r="J129" i="27"/>
  <c r="J128" i="27"/>
  <c r="J44" i="27"/>
  <c r="J45" i="27"/>
  <c r="L45" i="27" s="1"/>
  <c r="E14" i="75"/>
  <c r="E13" i="75"/>
  <c r="E12" i="75"/>
  <c r="E11" i="75"/>
  <c r="E10" i="75"/>
  <c r="L157" i="27"/>
  <c r="L158" i="27"/>
  <c r="L159" i="27"/>
  <c r="L160" i="27"/>
  <c r="L161" i="27"/>
  <c r="L162" i="27"/>
  <c r="L163" i="27"/>
  <c r="J71" i="27"/>
  <c r="H10" i="74"/>
  <c r="J10" i="74" s="1"/>
  <c r="I8" i="5"/>
  <c r="L496" i="27"/>
  <c r="L384" i="27"/>
  <c r="L356" i="27"/>
  <c r="L262" i="27"/>
  <c r="L188" i="27"/>
  <c r="L111" i="27"/>
  <c r="L83" i="27"/>
  <c r="F484" i="27" l="1"/>
  <c r="L484" i="27" s="1"/>
  <c r="J204" i="27"/>
  <c r="J288" i="27"/>
  <c r="J232" i="27"/>
  <c r="J43" i="27"/>
  <c r="F316" i="27"/>
  <c r="L316" i="27" s="1"/>
  <c r="L244" i="27"/>
  <c r="L216" i="27"/>
  <c r="A4" i="5"/>
  <c r="J372" i="27" l="1"/>
  <c r="L372" i="27" s="1"/>
  <c r="L328" i="27"/>
  <c r="L300" i="27"/>
  <c r="B4" i="5"/>
  <c r="C4" i="5"/>
  <c r="B3" i="75"/>
  <c r="I12" i="74"/>
  <c r="H11" i="74"/>
  <c r="E3" i="74"/>
  <c r="E20" i="74" s="1"/>
  <c r="E6" i="74"/>
  <c r="E23" i="74" s="1"/>
  <c r="D6" i="74"/>
  <c r="D23" i="74" s="1"/>
  <c r="C6" i="74"/>
  <c r="C23" i="74" s="1"/>
  <c r="C17" i="74"/>
  <c r="P15" i="74"/>
  <c r="O15" i="74"/>
  <c r="N15" i="74"/>
  <c r="M15" i="74"/>
  <c r="L15" i="74"/>
  <c r="J15" i="74"/>
  <c r="I15" i="74"/>
  <c r="P14" i="74"/>
  <c r="O14" i="74"/>
  <c r="N14" i="74"/>
  <c r="M14" i="74"/>
  <c r="L14" i="74"/>
  <c r="K14" i="74"/>
  <c r="I14" i="74"/>
  <c r="P13" i="74"/>
  <c r="O13" i="74"/>
  <c r="N13" i="74"/>
  <c r="M13" i="74"/>
  <c r="L13" i="74"/>
  <c r="K13" i="74"/>
  <c r="I13" i="74"/>
  <c r="P12" i="74"/>
  <c r="O12" i="74"/>
  <c r="N12" i="74"/>
  <c r="M12" i="74"/>
  <c r="L12" i="74"/>
  <c r="K12" i="74"/>
  <c r="P11" i="74"/>
  <c r="O11" i="74"/>
  <c r="N11" i="74"/>
  <c r="M11" i="74"/>
  <c r="L11" i="74"/>
  <c r="K11" i="74"/>
  <c r="I11" i="74"/>
  <c r="P10" i="74"/>
  <c r="O10" i="74"/>
  <c r="N10" i="74"/>
  <c r="M10" i="74"/>
  <c r="L10" i="74"/>
  <c r="K10" i="74"/>
  <c r="I10" i="74"/>
  <c r="O9" i="74"/>
  <c r="N9" i="74"/>
  <c r="M9" i="74"/>
  <c r="L9" i="74"/>
  <c r="K9" i="74"/>
  <c r="I9" i="74"/>
  <c r="K17" i="74" l="1"/>
  <c r="M17" i="74"/>
  <c r="L17" i="74"/>
  <c r="I17" i="74"/>
  <c r="O17" i="74"/>
  <c r="N17" i="74"/>
  <c r="P17" i="74"/>
  <c r="J11" i="74"/>
  <c r="H12" i="74"/>
  <c r="E15" i="75"/>
  <c r="D10" i="75" s="1"/>
  <c r="D11" i="75" l="1"/>
  <c r="J12" i="74"/>
  <c r="H13" i="74"/>
  <c r="D14" i="75"/>
  <c r="D13" i="75"/>
  <c r="D12" i="75"/>
  <c r="H14" i="74" l="1"/>
  <c r="J14" i="74" s="1"/>
  <c r="J13" i="74"/>
  <c r="J17" i="74" l="1"/>
  <c r="G17" i="74" s="1"/>
  <c r="L456" i="27" l="1"/>
  <c r="L540" i="27"/>
  <c r="G536" i="27"/>
  <c r="E536" i="27"/>
  <c r="C536" i="27"/>
  <c r="L551" i="27"/>
  <c r="L550" i="27"/>
  <c r="L549" i="27"/>
  <c r="L548" i="27"/>
  <c r="L547" i="27"/>
  <c r="L546" i="27"/>
  <c r="L545" i="27"/>
  <c r="L544" i="27"/>
  <c r="L543" i="27"/>
  <c r="L542" i="27"/>
  <c r="L541" i="27"/>
  <c r="H536" i="27"/>
  <c r="D532" i="27"/>
  <c r="E530" i="27"/>
  <c r="A1" i="70"/>
  <c r="A1" i="69"/>
  <c r="A3" i="61"/>
  <c r="B3" i="73"/>
  <c r="B6" i="69"/>
  <c r="F11" i="69" s="1"/>
  <c r="E9" i="73"/>
  <c r="E19" i="73" s="1"/>
  <c r="G19" i="73" s="1"/>
  <c r="B22" i="73"/>
  <c r="D17" i="73"/>
  <c r="C17" i="73"/>
  <c r="H36" i="72"/>
  <c r="F30" i="72"/>
  <c r="G30" i="72" s="1"/>
  <c r="D30" i="72"/>
  <c r="B30" i="72"/>
  <c r="B26" i="72"/>
  <c r="B25" i="72"/>
  <c r="B24" i="72"/>
  <c r="F20" i="72"/>
  <c r="G20" i="72" s="1"/>
  <c r="D20" i="72"/>
  <c r="B20" i="72"/>
  <c r="F19" i="72"/>
  <c r="G19" i="72" s="1"/>
  <c r="D19" i="72"/>
  <c r="B19" i="72"/>
  <c r="H16" i="72"/>
  <c r="D16" i="72"/>
  <c r="B13" i="72"/>
  <c r="B2" i="71"/>
  <c r="E44" i="71"/>
  <c r="E43" i="71"/>
  <c r="E42" i="71"/>
  <c r="E41" i="71"/>
  <c r="E40" i="71"/>
  <c r="E39" i="71"/>
  <c r="E38" i="71"/>
  <c r="E37" i="71"/>
  <c r="E36" i="71"/>
  <c r="E35" i="71"/>
  <c r="E34" i="71"/>
  <c r="E33" i="71"/>
  <c r="E32" i="71"/>
  <c r="C31" i="71"/>
  <c r="E31" i="71" s="1"/>
  <c r="E30" i="71"/>
  <c r="E29" i="71"/>
  <c r="E28" i="71"/>
  <c r="E27" i="71"/>
  <c r="E26" i="71"/>
  <c r="E25" i="71"/>
  <c r="E24" i="71"/>
  <c r="E23" i="71"/>
  <c r="E22" i="71"/>
  <c r="E21" i="71"/>
  <c r="E20" i="71"/>
  <c r="E19" i="71"/>
  <c r="E18" i="71"/>
  <c r="E17" i="71"/>
  <c r="E16" i="71"/>
  <c r="E15" i="71"/>
  <c r="E14" i="71"/>
  <c r="E13" i="71"/>
  <c r="E12" i="71"/>
  <c r="E11" i="71"/>
  <c r="E10" i="71"/>
  <c r="E9" i="71"/>
  <c r="E8" i="71"/>
  <c r="D7" i="71"/>
  <c r="E7" i="71" s="1"/>
  <c r="H68" i="60"/>
  <c r="H64" i="60"/>
  <c r="H52" i="60"/>
  <c r="H47" i="60"/>
  <c r="H43" i="60"/>
  <c r="H42" i="60"/>
  <c r="H41" i="60"/>
  <c r="H40" i="60"/>
  <c r="H31" i="60"/>
  <c r="C30" i="60"/>
  <c r="C29" i="60"/>
  <c r="H24" i="60"/>
  <c r="H22" i="60"/>
  <c r="H21" i="60"/>
  <c r="G89" i="61"/>
  <c r="G82" i="61"/>
  <c r="G81" i="61"/>
  <c r="G80" i="61"/>
  <c r="G79" i="61"/>
  <c r="D79" i="61"/>
  <c r="G78" i="61"/>
  <c r="G77" i="61"/>
  <c r="G76" i="61"/>
  <c r="G75" i="61"/>
  <c r="D75" i="61"/>
  <c r="G74" i="61"/>
  <c r="G73" i="61"/>
  <c r="G72" i="61"/>
  <c r="G71" i="61"/>
  <c r="G70" i="61"/>
  <c r="G69" i="61"/>
  <c r="G68" i="61"/>
  <c r="G67" i="61"/>
  <c r="G66" i="61"/>
  <c r="G65" i="61"/>
  <c r="D65" i="61"/>
  <c r="D81" i="61" s="1"/>
  <c r="G64" i="61"/>
  <c r="F54" i="61"/>
  <c r="H36" i="61" s="1"/>
  <c r="F51" i="61"/>
  <c r="F50" i="61"/>
  <c r="B36" i="61"/>
  <c r="B35" i="61"/>
  <c r="B34" i="61"/>
  <c r="B33" i="61"/>
  <c r="B32" i="61"/>
  <c r="H96" i="61"/>
  <c r="I96" i="61" s="1"/>
  <c r="D8" i="61"/>
  <c r="L523" i="27"/>
  <c r="L522" i="27"/>
  <c r="L521" i="27"/>
  <c r="L520" i="27"/>
  <c r="L519" i="27"/>
  <c r="L518" i="27"/>
  <c r="L517" i="27"/>
  <c r="L516" i="27"/>
  <c r="L515" i="27"/>
  <c r="L514" i="27"/>
  <c r="L513" i="27"/>
  <c r="L512" i="27"/>
  <c r="H508" i="27"/>
  <c r="G508" i="27"/>
  <c r="E508" i="27"/>
  <c r="C508" i="27"/>
  <c r="D504" i="27"/>
  <c r="E502" i="27"/>
  <c r="L495" i="27"/>
  <c r="L494" i="27"/>
  <c r="L493" i="27"/>
  <c r="L492" i="27"/>
  <c r="L491" i="27"/>
  <c r="L490" i="27"/>
  <c r="L489" i="27"/>
  <c r="L488" i="27"/>
  <c r="L487" i="27"/>
  <c r="L486" i="27"/>
  <c r="L485" i="27"/>
  <c r="H480" i="27"/>
  <c r="G480" i="27"/>
  <c r="E480" i="27"/>
  <c r="C480" i="27"/>
  <c r="D476" i="27"/>
  <c r="E474" i="27"/>
  <c r="L467" i="27"/>
  <c r="L466" i="27"/>
  <c r="L465" i="27"/>
  <c r="L464" i="27"/>
  <c r="L463" i="27"/>
  <c r="L462" i="27"/>
  <c r="L461" i="27"/>
  <c r="L460" i="27"/>
  <c r="L459" i="27"/>
  <c r="H452" i="27"/>
  <c r="G452" i="27"/>
  <c r="E452" i="27"/>
  <c r="C452" i="27"/>
  <c r="D448" i="27"/>
  <c r="E446" i="27"/>
  <c r="L439" i="27"/>
  <c r="L438" i="27"/>
  <c r="L437" i="27"/>
  <c r="L436" i="27"/>
  <c r="L435" i="27"/>
  <c r="L434" i="27"/>
  <c r="L433" i="27"/>
  <c r="L432" i="27"/>
  <c r="L431" i="27"/>
  <c r="L430" i="27"/>
  <c r="H424" i="27"/>
  <c r="G424" i="27"/>
  <c r="E424" i="27"/>
  <c r="E428" i="27" s="1"/>
  <c r="C424" i="27"/>
  <c r="D420" i="27"/>
  <c r="E418" i="27"/>
  <c r="L411" i="27"/>
  <c r="L410" i="27"/>
  <c r="L409" i="27"/>
  <c r="L408" i="27"/>
  <c r="L407" i="27"/>
  <c r="L406" i="27"/>
  <c r="L405" i="27"/>
  <c r="L404" i="27"/>
  <c r="L403" i="27"/>
  <c r="L402" i="27"/>
  <c r="L401" i="27"/>
  <c r="H396" i="27"/>
  <c r="G396" i="27"/>
  <c r="E396" i="27"/>
  <c r="C396" i="27"/>
  <c r="D392" i="27"/>
  <c r="E390" i="27"/>
  <c r="L383" i="27"/>
  <c r="L382" i="27"/>
  <c r="L381" i="27"/>
  <c r="L380" i="27"/>
  <c r="L379" i="27"/>
  <c r="L378" i="27"/>
  <c r="L377" i="27"/>
  <c r="L376" i="27"/>
  <c r="L375" i="27"/>
  <c r="L374" i="27"/>
  <c r="L373" i="27"/>
  <c r="H368" i="27"/>
  <c r="G368" i="27"/>
  <c r="E368" i="27"/>
  <c r="C368" i="27"/>
  <c r="D364" i="27"/>
  <c r="E362" i="27"/>
  <c r="L355" i="27"/>
  <c r="L354" i="27"/>
  <c r="L353" i="27"/>
  <c r="L352" i="27"/>
  <c r="L351" i="27"/>
  <c r="L350" i="27"/>
  <c r="L349" i="27"/>
  <c r="L348" i="27"/>
  <c r="L347" i="27"/>
  <c r="L346" i="27"/>
  <c r="L345" i="27"/>
  <c r="L344" i="27"/>
  <c r="H340" i="27"/>
  <c r="G340" i="27"/>
  <c r="E340" i="27"/>
  <c r="D336" i="27"/>
  <c r="E334" i="27"/>
  <c r="L327" i="27"/>
  <c r="L326" i="27"/>
  <c r="L325" i="27"/>
  <c r="L324" i="27"/>
  <c r="L323" i="27"/>
  <c r="L322" i="27"/>
  <c r="L321" i="27"/>
  <c r="L320" i="27"/>
  <c r="L319" i="27"/>
  <c r="L318" i="27"/>
  <c r="L317" i="27"/>
  <c r="H312" i="27"/>
  <c r="G312" i="27"/>
  <c r="E312" i="27"/>
  <c r="D308" i="27"/>
  <c r="E306" i="27"/>
  <c r="L299" i="27"/>
  <c r="L298" i="27"/>
  <c r="L297" i="27"/>
  <c r="L296" i="27"/>
  <c r="L295" i="27"/>
  <c r="L294" i="27"/>
  <c r="L293" i="27"/>
  <c r="L292" i="27"/>
  <c r="L291" i="27"/>
  <c r="L290" i="27"/>
  <c r="L289" i="27"/>
  <c r="L288" i="27"/>
  <c r="H284" i="27"/>
  <c r="G284" i="27"/>
  <c r="E284" i="27"/>
  <c r="D280" i="27"/>
  <c r="E278" i="27"/>
  <c r="L261" i="27"/>
  <c r="H256" i="27"/>
  <c r="G256" i="27"/>
  <c r="E256" i="27"/>
  <c r="D252" i="27"/>
  <c r="E250" i="27"/>
  <c r="L243" i="27"/>
  <c r="L242" i="27"/>
  <c r="L241" i="27"/>
  <c r="L240" i="27"/>
  <c r="L239" i="27"/>
  <c r="L238" i="27"/>
  <c r="L237" i="27"/>
  <c r="L236" i="27"/>
  <c r="L235" i="27"/>
  <c r="L233" i="27"/>
  <c r="L232" i="27"/>
  <c r="H228" i="27"/>
  <c r="G228" i="27"/>
  <c r="E228" i="27"/>
  <c r="D224" i="27"/>
  <c r="E222" i="27"/>
  <c r="L215" i="27"/>
  <c r="L214" i="27"/>
  <c r="L213" i="27"/>
  <c r="L212" i="27"/>
  <c r="L211" i="27"/>
  <c r="L210" i="27"/>
  <c r="L209" i="27"/>
  <c r="L208" i="27"/>
  <c r="L207" i="27"/>
  <c r="L206" i="27"/>
  <c r="L205" i="27"/>
  <c r="L204" i="27"/>
  <c r="H200" i="27"/>
  <c r="G200" i="27"/>
  <c r="E200" i="27"/>
  <c r="D196" i="27"/>
  <c r="E194" i="27"/>
  <c r="L187" i="27"/>
  <c r="L186" i="27"/>
  <c r="L185" i="27"/>
  <c r="L184" i="27"/>
  <c r="L183" i="27"/>
  <c r="L182" i="27"/>
  <c r="L181" i="27"/>
  <c r="L180" i="27"/>
  <c r="L179" i="27"/>
  <c r="L178" i="27"/>
  <c r="H172" i="27"/>
  <c r="G172" i="27"/>
  <c r="E172" i="27"/>
  <c r="D168" i="27"/>
  <c r="E166" i="27"/>
  <c r="L156" i="27"/>
  <c r="L155" i="27"/>
  <c r="L154" i="27"/>
  <c r="L153" i="27"/>
  <c r="L152" i="27"/>
  <c r="L151" i="27"/>
  <c r="L150" i="27"/>
  <c r="L149" i="27"/>
  <c r="L148" i="27"/>
  <c r="L147" i="27"/>
  <c r="L146" i="27"/>
  <c r="L145" i="27"/>
  <c r="L144" i="27"/>
  <c r="L143" i="27"/>
  <c r="L142" i="27"/>
  <c r="L141" i="27"/>
  <c r="L140" i="27"/>
  <c r="L139" i="27"/>
  <c r="L138" i="27"/>
  <c r="L137" i="27"/>
  <c r="L136" i="27"/>
  <c r="L135" i="27"/>
  <c r="L134" i="27"/>
  <c r="L133" i="27"/>
  <c r="L132" i="27"/>
  <c r="L128" i="27"/>
  <c r="L127" i="27"/>
  <c r="H123" i="27"/>
  <c r="G123" i="27"/>
  <c r="E123" i="27"/>
  <c r="D119" i="27"/>
  <c r="E117" i="27"/>
  <c r="L110" i="27"/>
  <c r="L109" i="27"/>
  <c r="L108" i="27"/>
  <c r="L107" i="27"/>
  <c r="L106" i="27"/>
  <c r="L105" i="27"/>
  <c r="L104" i="27"/>
  <c r="L103" i="27"/>
  <c r="L102" i="27"/>
  <c r="L101" i="27"/>
  <c r="L100" i="27"/>
  <c r="H95" i="27"/>
  <c r="G95" i="27"/>
  <c r="D91" i="27"/>
  <c r="E89" i="27"/>
  <c r="L82" i="27"/>
  <c r="L81" i="27"/>
  <c r="L80" i="27"/>
  <c r="L79" i="27"/>
  <c r="L78" i="27"/>
  <c r="L77" i="27"/>
  <c r="L76" i="27"/>
  <c r="L75" i="27"/>
  <c r="L74" i="27"/>
  <c r="L73" i="27"/>
  <c r="L72" i="27"/>
  <c r="L71" i="27"/>
  <c r="H67" i="27"/>
  <c r="G67" i="27"/>
  <c r="E67" i="27"/>
  <c r="D63" i="27"/>
  <c r="E61" i="27"/>
  <c r="L43" i="27"/>
  <c r="L39" i="27" s="1"/>
  <c r="H39" i="27"/>
  <c r="G39" i="27"/>
  <c r="E39" i="27"/>
  <c r="D35" i="27"/>
  <c r="E33" i="27"/>
  <c r="L13" i="27"/>
  <c r="L9" i="27" s="1"/>
  <c r="D6" i="33" s="1"/>
  <c r="H9" i="27"/>
  <c r="C9" i="27"/>
  <c r="G9" i="27" s="1"/>
  <c r="D5" i="27"/>
  <c r="E3" i="27"/>
  <c r="H21" i="72" l="1"/>
  <c r="E14" i="73"/>
  <c r="G14" i="73" s="1"/>
  <c r="E46" i="71"/>
  <c r="H66" i="60" s="1"/>
  <c r="L424" i="27"/>
  <c r="L256" i="27"/>
  <c r="L536" i="27"/>
  <c r="L480" i="27"/>
  <c r="E9" i="27"/>
  <c r="E13" i="27" s="1"/>
  <c r="L172" i="27"/>
  <c r="D10" i="33" s="1"/>
  <c r="L508" i="27"/>
  <c r="L312" i="27"/>
  <c r="D14" i="33" s="1"/>
  <c r="E14" i="69"/>
  <c r="E10" i="73"/>
  <c r="G10" i="73" s="1"/>
  <c r="E21" i="73"/>
  <c r="G21" i="73" s="1"/>
  <c r="L368" i="27"/>
  <c r="L95" i="27"/>
  <c r="D8" i="33"/>
  <c r="L284" i="27"/>
  <c r="D13" i="33" s="1"/>
  <c r="E20" i="73"/>
  <c r="G20" i="73" s="1"/>
  <c r="G9" i="73"/>
  <c r="E12" i="73"/>
  <c r="G12" i="73" s="1"/>
  <c r="E17" i="73"/>
  <c r="G17" i="73" s="1"/>
  <c r="E16" i="73"/>
  <c r="G16" i="73" s="1"/>
  <c r="E11" i="73"/>
  <c r="G11" i="73" s="1"/>
  <c r="E13" i="73"/>
  <c r="G13" i="73" s="1"/>
  <c r="E15" i="73"/>
  <c r="G15" i="73" s="1"/>
  <c r="E18" i="73"/>
  <c r="G18" i="73" s="1"/>
  <c r="H25" i="60"/>
  <c r="H45" i="60"/>
  <c r="H46" i="60"/>
  <c r="G49" i="60"/>
  <c r="B51" i="60"/>
  <c r="H27" i="60"/>
  <c r="D29" i="61"/>
  <c r="H33" i="61"/>
  <c r="I33" i="61" s="1"/>
  <c r="D36" i="61"/>
  <c r="I36" i="61"/>
  <c r="H32" i="61"/>
  <c r="H66" i="61"/>
  <c r="I66" i="61" s="1"/>
  <c r="H70" i="61"/>
  <c r="I70" i="61" s="1"/>
  <c r="H74" i="61"/>
  <c r="I74" i="61" s="1"/>
  <c r="H75" i="61"/>
  <c r="I75" i="61" s="1"/>
  <c r="H80" i="61"/>
  <c r="I80" i="61" s="1"/>
  <c r="H81" i="61"/>
  <c r="I81" i="61" s="1"/>
  <c r="H64" i="61"/>
  <c r="I64" i="61" s="1"/>
  <c r="H65" i="61"/>
  <c r="I65" i="61" s="1"/>
  <c r="H69" i="61"/>
  <c r="I69" i="61" s="1"/>
  <c r="H73" i="61"/>
  <c r="I73" i="61" s="1"/>
  <c r="H78" i="61"/>
  <c r="I78" i="61" s="1"/>
  <c r="H79" i="61"/>
  <c r="I79" i="61" s="1"/>
  <c r="H89" i="61"/>
  <c r="I89" i="61" s="1"/>
  <c r="H91" i="61"/>
  <c r="I91" i="61" s="1"/>
  <c r="H93" i="61"/>
  <c r="I93" i="61" s="1"/>
  <c r="H95" i="61"/>
  <c r="I95" i="61" s="1"/>
  <c r="H97" i="61"/>
  <c r="I97" i="61" s="1"/>
  <c r="H68" i="61"/>
  <c r="I68" i="61" s="1"/>
  <c r="H72" i="61"/>
  <c r="I72" i="61" s="1"/>
  <c r="H77" i="61"/>
  <c r="I77" i="61" s="1"/>
  <c r="H88" i="61"/>
  <c r="I88" i="61" s="1"/>
  <c r="G61" i="61"/>
  <c r="H67" i="61"/>
  <c r="I67" i="61" s="1"/>
  <c r="H71" i="61"/>
  <c r="I71" i="61" s="1"/>
  <c r="H76" i="61"/>
  <c r="I76" i="61" s="1"/>
  <c r="H82" i="61"/>
  <c r="I82" i="61" s="1"/>
  <c r="H90" i="61"/>
  <c r="I90" i="61" s="1"/>
  <c r="H92" i="61"/>
  <c r="I92" i="61" s="1"/>
  <c r="H94" i="61"/>
  <c r="I94" i="61" s="1"/>
  <c r="L228" i="27"/>
  <c r="D11" i="33" s="1"/>
  <c r="L67" i="27"/>
  <c r="L200" i="27"/>
  <c r="L396" i="27"/>
  <c r="D16" i="33" s="1"/>
  <c r="L340" i="27"/>
  <c r="D17" i="33" l="1"/>
  <c r="F17" i="33" s="1"/>
  <c r="K129" i="27"/>
  <c r="L129" i="27" s="1"/>
  <c r="L131" i="27"/>
  <c r="G23" i="73"/>
  <c r="H65" i="60" s="1"/>
  <c r="G50" i="60"/>
  <c r="H50" i="60" s="1"/>
  <c r="G51" i="60"/>
  <c r="H51" i="60" s="1"/>
  <c r="H49" i="60"/>
  <c r="D33" i="61"/>
  <c r="J33" i="61" s="1"/>
  <c r="F36" i="61"/>
  <c r="J36" i="61"/>
  <c r="I83" i="61"/>
  <c r="D52" i="61" s="1"/>
  <c r="F52" i="61" s="1"/>
  <c r="H34" i="61" s="1"/>
  <c r="D34" i="61" s="1"/>
  <c r="I98" i="61"/>
  <c r="D53" i="61" s="1"/>
  <c r="F53" i="61" s="1"/>
  <c r="H35" i="61" s="1"/>
  <c r="D32" i="61"/>
  <c r="F32" i="61" s="1"/>
  <c r="I32" i="61"/>
  <c r="L123" i="27" l="1"/>
  <c r="D9" i="33" s="1"/>
  <c r="F33" i="61"/>
  <c r="J32" i="61"/>
  <c r="I34" i="61"/>
  <c r="I35" i="61"/>
  <c r="D35" i="61"/>
  <c r="F34" i="61" l="1"/>
  <c r="J34" i="61"/>
  <c r="F35" i="61"/>
  <c r="J35" i="61"/>
  <c r="D37" i="61"/>
  <c r="G18" i="62" l="1"/>
  <c r="G17" i="62"/>
  <c r="G15" i="62"/>
  <c r="G14" i="62"/>
  <c r="G13" i="62"/>
  <c r="G12" i="62"/>
  <c r="G9" i="62"/>
  <c r="G7" i="62"/>
  <c r="B2" i="62"/>
  <c r="B2" i="65"/>
  <c r="A1" i="68"/>
  <c r="E21" i="65" l="1"/>
  <c r="E22" i="65"/>
  <c r="E23" i="65"/>
  <c r="E24" i="65"/>
  <c r="E20" i="65"/>
  <c r="B1" i="66"/>
  <c r="C18" i="66"/>
  <c r="I31" i="65"/>
  <c r="F22" i="65"/>
  <c r="I22" i="65" s="1"/>
  <c r="F23" i="65"/>
  <c r="I23" i="65" s="1"/>
  <c r="F24" i="65"/>
  <c r="I24" i="65" s="1"/>
  <c r="F21" i="65"/>
  <c r="I21" i="65" s="1"/>
  <c r="F20" i="65"/>
  <c r="I20" i="65" s="1"/>
  <c r="I41" i="65"/>
  <c r="I38" i="65"/>
  <c r="B36" i="65"/>
  <c r="I30" i="65"/>
  <c r="E18" i="65"/>
  <c r="F17" i="65"/>
  <c r="E17" i="65"/>
  <c r="H16" i="65"/>
  <c r="F16" i="65"/>
  <c r="E16" i="65"/>
  <c r="H15" i="65"/>
  <c r="E14" i="65"/>
  <c r="H12" i="65"/>
  <c r="E12" i="65"/>
  <c r="L11" i="65"/>
  <c r="E6" i="66" s="1"/>
  <c r="E9" i="65"/>
  <c r="E8" i="65"/>
  <c r="L30" i="66"/>
  <c r="L31" i="66" s="1"/>
  <c r="L32" i="66" s="1"/>
  <c r="L33" i="66" s="1"/>
  <c r="C22" i="62"/>
  <c r="C21" i="62"/>
  <c r="C20" i="62"/>
  <c r="C19" i="62"/>
  <c r="C18" i="62"/>
  <c r="C17" i="62"/>
  <c r="C16" i="62"/>
  <c r="C15" i="62"/>
  <c r="C14" i="62"/>
  <c r="C13" i="62"/>
  <c r="C12" i="62"/>
  <c r="C11" i="62"/>
  <c r="C10" i="62"/>
  <c r="C9" i="62"/>
  <c r="C8" i="62"/>
  <c r="C7" i="62"/>
  <c r="C6" i="62"/>
  <c r="L62" i="67"/>
  <c r="L61" i="67"/>
  <c r="L60" i="67"/>
  <c r="L59" i="67"/>
  <c r="L58" i="67"/>
  <c r="K57" i="67"/>
  <c r="L57" i="67" s="1"/>
  <c r="K56" i="67"/>
  <c r="L56" i="67" s="1"/>
  <c r="K55" i="67"/>
  <c r="L55" i="67" s="1"/>
  <c r="K54" i="67"/>
  <c r="L54" i="67" s="1"/>
  <c r="K53" i="67"/>
  <c r="L53" i="67" s="1"/>
  <c r="K52" i="67"/>
  <c r="L52" i="67" s="1"/>
  <c r="Q51" i="67"/>
  <c r="R52" i="67" s="1"/>
  <c r="K51" i="67"/>
  <c r="L51" i="67" s="1"/>
  <c r="R50" i="67"/>
  <c r="K50" i="67"/>
  <c r="L50" i="67" s="1"/>
  <c r="R49" i="67"/>
  <c r="K49" i="67"/>
  <c r="L49" i="67" s="1"/>
  <c r="E49" i="67"/>
  <c r="E48" i="67"/>
  <c r="AH13" i="67"/>
  <c r="AF13" i="67"/>
  <c r="AF18" i="67" s="1"/>
  <c r="AD13" i="67"/>
  <c r="AD18" i="67" s="1"/>
  <c r="AB13" i="67"/>
  <c r="AB18" i="67" s="1"/>
  <c r="Z13" i="67"/>
  <c r="X13" i="67"/>
  <c r="X18" i="67" s="1"/>
  <c r="V13" i="67"/>
  <c r="V18" i="67" s="1"/>
  <c r="T13" i="67"/>
  <c r="T18" i="67" s="1"/>
  <c r="R13" i="67"/>
  <c r="P13" i="67"/>
  <c r="P18" i="67" s="1"/>
  <c r="N13" i="67"/>
  <c r="N18" i="67" s="1"/>
  <c r="AH12" i="67"/>
  <c r="AF12" i="67"/>
  <c r="AD12" i="67"/>
  <c r="AB12" i="67"/>
  <c r="Z12" i="67"/>
  <c r="X12" i="67"/>
  <c r="V12" i="67"/>
  <c r="T12" i="67"/>
  <c r="R12" i="67"/>
  <c r="P12" i="67"/>
  <c r="N12" i="67"/>
  <c r="D9" i="67"/>
  <c r="J9" i="67" s="1"/>
  <c r="J12" i="67" s="1"/>
  <c r="AH8" i="67"/>
  <c r="AH23" i="67" s="1"/>
  <c r="AB8" i="67"/>
  <c r="Z8" i="67"/>
  <c r="Z23" i="67" s="1"/>
  <c r="R8" i="67"/>
  <c r="R23" i="67" s="1"/>
  <c r="L8" i="67"/>
  <c r="J8" i="67"/>
  <c r="J23" i="67" s="1"/>
  <c r="D37" i="63"/>
  <c r="D38" i="63"/>
  <c r="D39" i="63"/>
  <c r="D40" i="63"/>
  <c r="D41" i="63"/>
  <c r="D42" i="63"/>
  <c r="D43" i="63"/>
  <c r="D44" i="63"/>
  <c r="D36" i="63"/>
  <c r="A2" i="64"/>
  <c r="B2" i="63" s="1"/>
  <c r="C23" i="64"/>
  <c r="E23" i="64" s="1"/>
  <c r="B7" i="64"/>
  <c r="C26" i="64" s="1"/>
  <c r="E26" i="64" s="1"/>
  <c r="E48" i="64"/>
  <c r="E47" i="64"/>
  <c r="E46" i="64"/>
  <c r="E45" i="64"/>
  <c r="E44" i="64"/>
  <c r="E43" i="64"/>
  <c r="E42" i="64"/>
  <c r="C41" i="64"/>
  <c r="E41" i="64" s="1"/>
  <c r="E40" i="64"/>
  <c r="E39" i="64"/>
  <c r="E38" i="64"/>
  <c r="E37" i="64"/>
  <c r="E36" i="64"/>
  <c r="C35" i="64"/>
  <c r="E35" i="64" s="1"/>
  <c r="C34" i="64"/>
  <c r="E34" i="64" s="1"/>
  <c r="E33" i="64"/>
  <c r="C32" i="64"/>
  <c r="E32" i="64" s="1"/>
  <c r="E31" i="64"/>
  <c r="E30" i="64"/>
  <c r="E29" i="64"/>
  <c r="E28" i="64"/>
  <c r="E27" i="64"/>
  <c r="E25" i="64"/>
  <c r="E24" i="64"/>
  <c r="E20" i="64"/>
  <c r="E18" i="64"/>
  <c r="H12" i="63"/>
  <c r="H11" i="63"/>
  <c r="H10" i="63"/>
  <c r="H23" i="63"/>
  <c r="D21" i="63" s="1"/>
  <c r="F19" i="59"/>
  <c r="F18" i="59"/>
  <c r="F16" i="59"/>
  <c r="F15" i="59"/>
  <c r="F14" i="59"/>
  <c r="F13" i="59"/>
  <c r="F12" i="59"/>
  <c r="F11" i="59"/>
  <c r="F10" i="59"/>
  <c r="F8" i="59"/>
  <c r="F31" i="58"/>
  <c r="F32" i="58"/>
  <c r="F33" i="58"/>
  <c r="F34" i="58"/>
  <c r="F35" i="58"/>
  <c r="F53" i="58"/>
  <c r="F110" i="58"/>
  <c r="F109" i="58"/>
  <c r="F108" i="58"/>
  <c r="F107" i="58"/>
  <c r="F106" i="58"/>
  <c r="F105" i="58"/>
  <c r="F104" i="58"/>
  <c r="F102" i="58"/>
  <c r="F101" i="58"/>
  <c r="F100" i="58"/>
  <c r="F98" i="58"/>
  <c r="F97" i="58"/>
  <c r="F96" i="58"/>
  <c r="F91" i="58"/>
  <c r="F90" i="58"/>
  <c r="F89" i="58"/>
  <c r="F88" i="58"/>
  <c r="F87" i="58"/>
  <c r="F85" i="58"/>
  <c r="F84" i="58"/>
  <c r="F83" i="58"/>
  <c r="F82" i="58"/>
  <c r="F81" i="58"/>
  <c r="F80" i="58"/>
  <c r="F79" i="58"/>
  <c r="F76" i="58"/>
  <c r="F74" i="58"/>
  <c r="F73" i="58"/>
  <c r="F71" i="58"/>
  <c r="F68" i="58"/>
  <c r="F67" i="58"/>
  <c r="F65" i="58"/>
  <c r="F64" i="58"/>
  <c r="F63" i="58"/>
  <c r="D62" i="58"/>
  <c r="F62" i="58" s="1"/>
  <c r="E61" i="58"/>
  <c r="F61" i="58" s="1"/>
  <c r="F58" i="58"/>
  <c r="F57" i="58"/>
  <c r="F56" i="58"/>
  <c r="F55" i="58"/>
  <c r="F54" i="58"/>
  <c r="F52" i="58"/>
  <c r="F49" i="58"/>
  <c r="F48" i="58"/>
  <c r="F47" i="58"/>
  <c r="F46" i="58"/>
  <c r="F45" i="58"/>
  <c r="F44" i="58"/>
  <c r="F43" i="58"/>
  <c r="F42" i="58"/>
  <c r="F40" i="58"/>
  <c r="F39" i="58"/>
  <c r="F38" i="58"/>
  <c r="F29" i="58"/>
  <c r="E27" i="58"/>
  <c r="F22" i="58"/>
  <c r="F21" i="58"/>
  <c r="F20" i="58"/>
  <c r="F19" i="58"/>
  <c r="F17" i="58"/>
  <c r="F16" i="58"/>
  <c r="F15" i="58"/>
  <c r="F14" i="58"/>
  <c r="F13" i="58"/>
  <c r="F11" i="58"/>
  <c r="F9" i="58"/>
  <c r="F8" i="58"/>
  <c r="I19" i="65" l="1"/>
  <c r="C15" i="64"/>
  <c r="E15" i="64" s="1"/>
  <c r="R11" i="67"/>
  <c r="R17" i="67" s="1"/>
  <c r="L9" i="67"/>
  <c r="L12" i="67" s="1"/>
  <c r="R10" i="67"/>
  <c r="D15" i="62" s="1"/>
  <c r="AH10" i="67"/>
  <c r="D6" i="62" s="1"/>
  <c r="AH11" i="67"/>
  <c r="AH25" i="67" s="1"/>
  <c r="AI25" i="67" s="1"/>
  <c r="I16" i="65"/>
  <c r="C6" i="66"/>
  <c r="E18" i="66"/>
  <c r="F8" i="65"/>
  <c r="I8" i="65" s="1"/>
  <c r="F9" i="65"/>
  <c r="I9" i="65" s="1"/>
  <c r="H18" i="65"/>
  <c r="I18" i="65" s="1"/>
  <c r="H14" i="65"/>
  <c r="H17" i="65"/>
  <c r="I17" i="65" s="1"/>
  <c r="E50" i="67"/>
  <c r="E51" i="67" s="1"/>
  <c r="E52" i="67" s="1"/>
  <c r="N34" i="67" s="1"/>
  <c r="AB23" i="67"/>
  <c r="AB11" i="67"/>
  <c r="AB10" i="67"/>
  <c r="D9" i="62" s="1"/>
  <c r="J13" i="67"/>
  <c r="L23" i="67"/>
  <c r="L11" i="67"/>
  <c r="L10" i="67"/>
  <c r="D18" i="62" s="1"/>
  <c r="R31" i="67"/>
  <c r="S31" i="67" s="1"/>
  <c r="S34" i="67"/>
  <c r="D23" i="67"/>
  <c r="AF8" i="67"/>
  <c r="X8" i="67"/>
  <c r="P8" i="67"/>
  <c r="H8" i="67"/>
  <c r="D11" i="67"/>
  <c r="AA18" i="67" s="1"/>
  <c r="D10" i="67"/>
  <c r="D22" i="62" s="1"/>
  <c r="AD8" i="67"/>
  <c r="V8" i="67"/>
  <c r="N8" i="67"/>
  <c r="F8" i="67"/>
  <c r="T8" i="67"/>
  <c r="H9" i="67"/>
  <c r="D13" i="67"/>
  <c r="D12" i="67"/>
  <c r="F9" i="67"/>
  <c r="J10" i="67"/>
  <c r="D19" i="62" s="1"/>
  <c r="Z10" i="67"/>
  <c r="D10" i="62" s="1"/>
  <c r="J11" i="67"/>
  <c r="Z11" i="67"/>
  <c r="AA23" i="67" s="1"/>
  <c r="R14" i="67"/>
  <c r="R42" i="67" s="1"/>
  <c r="R18" i="67"/>
  <c r="Z18" i="67"/>
  <c r="AH18" i="67"/>
  <c r="L63" i="67"/>
  <c r="L64" i="67" s="1"/>
  <c r="L65" i="67" s="1"/>
  <c r="C19" i="64"/>
  <c r="E19" i="64" s="1"/>
  <c r="C13" i="64"/>
  <c r="E13" i="64" s="1"/>
  <c r="C17" i="64"/>
  <c r="E17" i="64" s="1"/>
  <c r="C22" i="64"/>
  <c r="E22" i="64" s="1"/>
  <c r="C12" i="64"/>
  <c r="E12" i="64" s="1"/>
  <c r="C14" i="64"/>
  <c r="E14" i="64" s="1"/>
  <c r="C16" i="64"/>
  <c r="E16" i="64" s="1"/>
  <c r="C21" i="64"/>
  <c r="E21" i="64" s="1"/>
  <c r="H13" i="63"/>
  <c r="D9" i="63" s="1"/>
  <c r="F23" i="58"/>
  <c r="F111" i="58"/>
  <c r="R20" i="67" l="1"/>
  <c r="R25" i="67"/>
  <c r="S25" i="67" s="1"/>
  <c r="F34" i="67"/>
  <c r="E14" i="66"/>
  <c r="E15" i="66"/>
  <c r="J34" i="67"/>
  <c r="K34" i="67" s="1"/>
  <c r="S23" i="67"/>
  <c r="L13" i="67"/>
  <c r="M18" i="67" s="1"/>
  <c r="AH27" i="67"/>
  <c r="AI27" i="67" s="1"/>
  <c r="AH17" i="67"/>
  <c r="AI34" i="67"/>
  <c r="AH14" i="67"/>
  <c r="AH42" i="67" s="1"/>
  <c r="R27" i="67"/>
  <c r="S27" i="67" s="1"/>
  <c r="AI23" i="67"/>
  <c r="AH43" i="67"/>
  <c r="AH44" i="67" s="1"/>
  <c r="AH22" i="67"/>
  <c r="AI22" i="67" s="1"/>
  <c r="AH20" i="67"/>
  <c r="E13" i="66"/>
  <c r="E12" i="66"/>
  <c r="R22" i="67"/>
  <c r="S22" i="67" s="1"/>
  <c r="R43" i="67"/>
  <c r="R44" i="67" s="1"/>
  <c r="AH31" i="67"/>
  <c r="AI31" i="67" s="1"/>
  <c r="I7" i="65"/>
  <c r="E16" i="66"/>
  <c r="L34" i="67"/>
  <c r="M34" i="67" s="1"/>
  <c r="H34" i="67"/>
  <c r="D34" i="67"/>
  <c r="E34" i="67" s="1"/>
  <c r="N11" i="67"/>
  <c r="N10" i="67"/>
  <c r="D17" i="62" s="1"/>
  <c r="N23" i="67"/>
  <c r="D27" i="67"/>
  <c r="E27" i="67" s="1"/>
  <c r="D32" i="67"/>
  <c r="E32" i="67" s="1"/>
  <c r="D31" i="67"/>
  <c r="E31" i="67" s="1"/>
  <c r="D25" i="67"/>
  <c r="E25" i="67" s="1"/>
  <c r="D17" i="67"/>
  <c r="D14" i="67"/>
  <c r="D42" i="67" s="1"/>
  <c r="AC18" i="67"/>
  <c r="U18" i="67"/>
  <c r="AB43" i="67"/>
  <c r="AB44" i="67" s="1"/>
  <c r="AB22" i="67"/>
  <c r="AB20" i="67"/>
  <c r="S20" i="67"/>
  <c r="R21" i="67"/>
  <c r="J43" i="67"/>
  <c r="J44" i="67" s="1"/>
  <c r="J22" i="67"/>
  <c r="J20" i="67"/>
  <c r="H13" i="67"/>
  <c r="H12" i="67"/>
  <c r="H23" i="67"/>
  <c r="H11" i="67"/>
  <c r="H10" i="67"/>
  <c r="D20" i="62" s="1"/>
  <c r="W18" i="67"/>
  <c r="L43" i="67"/>
  <c r="L44" i="67" s="1"/>
  <c r="L22" i="67"/>
  <c r="L20" i="67"/>
  <c r="AC34" i="67"/>
  <c r="AB27" i="67"/>
  <c r="AC27" i="67" s="1"/>
  <c r="AB31" i="67"/>
  <c r="AC31" i="67" s="1"/>
  <c r="AB25" i="67"/>
  <c r="AC25" i="67" s="1"/>
  <c r="AB17" i="67"/>
  <c r="AB14" i="67"/>
  <c r="AB42" i="67" s="1"/>
  <c r="Z31" i="67"/>
  <c r="AA31" i="67" s="1"/>
  <c r="Z17" i="67"/>
  <c r="Z27" i="67"/>
  <c r="AA27" i="67" s="1"/>
  <c r="Z25" i="67"/>
  <c r="AA25" i="67" s="1"/>
  <c r="AA34" i="67"/>
  <c r="Z14" i="67"/>
  <c r="Z42" i="67" s="1"/>
  <c r="F13" i="67"/>
  <c r="F12" i="67"/>
  <c r="T23" i="67"/>
  <c r="T11" i="67"/>
  <c r="T10" i="67"/>
  <c r="D14" i="62" s="1"/>
  <c r="AD11" i="67"/>
  <c r="AD10" i="67"/>
  <c r="D8" i="62" s="1"/>
  <c r="AD23" i="67"/>
  <c r="P23" i="67"/>
  <c r="P10" i="67"/>
  <c r="P11" i="67"/>
  <c r="AG18" i="67"/>
  <c r="L27" i="67"/>
  <c r="M27" i="67" s="1"/>
  <c r="L31" i="67"/>
  <c r="M31" i="67" s="1"/>
  <c r="L25" i="67"/>
  <c r="M25" i="67" s="1"/>
  <c r="L17" i="67"/>
  <c r="L14" i="67"/>
  <c r="L42" i="67" s="1"/>
  <c r="O18" i="67"/>
  <c r="AC23" i="67"/>
  <c r="Z43" i="67"/>
  <c r="Z44" i="67" s="1"/>
  <c r="Z22" i="67"/>
  <c r="Z20" i="67"/>
  <c r="D18" i="67"/>
  <c r="E18" i="67"/>
  <c r="AF23" i="67"/>
  <c r="AF11" i="67"/>
  <c r="AF10" i="67"/>
  <c r="D7" i="62" s="1"/>
  <c r="K18" i="67"/>
  <c r="J18" i="67"/>
  <c r="S18" i="67"/>
  <c r="V11" i="67"/>
  <c r="V10" i="67"/>
  <c r="D13" i="62" s="1"/>
  <c r="V23" i="67"/>
  <c r="E23" i="67"/>
  <c r="AE18" i="67"/>
  <c r="AF35" i="67"/>
  <c r="AB35" i="67"/>
  <c r="AC35" i="67" s="1"/>
  <c r="X35" i="67"/>
  <c r="T35" i="67"/>
  <c r="P35" i="67"/>
  <c r="L35" i="67"/>
  <c r="M35" i="67" s="1"/>
  <c r="H35" i="67"/>
  <c r="D35" i="67"/>
  <c r="E35" i="67" s="1"/>
  <c r="AD35" i="67"/>
  <c r="V35" i="67"/>
  <c r="N35" i="67"/>
  <c r="F35" i="67"/>
  <c r="AH35" i="67"/>
  <c r="AI35" i="67" s="1"/>
  <c r="Z35" i="67"/>
  <c r="AA35" i="67" s="1"/>
  <c r="R35" i="67"/>
  <c r="S35" i="67" s="1"/>
  <c r="J35" i="67"/>
  <c r="K35" i="67" s="1"/>
  <c r="AI18" i="67"/>
  <c r="J31" i="67"/>
  <c r="K31" i="67" s="1"/>
  <c r="J17" i="67"/>
  <c r="J27" i="67"/>
  <c r="K27" i="67" s="1"/>
  <c r="J25" i="67"/>
  <c r="K25" i="67" s="1"/>
  <c r="J14" i="67"/>
  <c r="J42" i="67" s="1"/>
  <c r="F11" i="67"/>
  <c r="F10" i="67"/>
  <c r="D21" i="62" s="1"/>
  <c r="F23" i="67"/>
  <c r="D43" i="67"/>
  <c r="D44" i="67" s="1"/>
  <c r="D30" i="67"/>
  <c r="D29" i="67"/>
  <c r="D22" i="67"/>
  <c r="D20" i="67"/>
  <c r="D26" i="67"/>
  <c r="X23" i="67"/>
  <c r="X11" i="67"/>
  <c r="X10" i="67"/>
  <c r="D11" i="62" s="1"/>
  <c r="Y18" i="67"/>
  <c r="M23" i="67"/>
  <c r="Q18" i="67"/>
  <c r="L18" i="67"/>
  <c r="K23" i="67"/>
  <c r="E50" i="64"/>
  <c r="D10" i="63"/>
  <c r="D15" i="63"/>
  <c r="D14" i="63"/>
  <c r="D8" i="63"/>
  <c r="D13" i="63"/>
  <c r="D12" i="63"/>
  <c r="D11" i="63"/>
  <c r="I32" i="63"/>
  <c r="D19" i="63" s="1"/>
  <c r="O35" i="67" l="1"/>
  <c r="AI20" i="67"/>
  <c r="H19" i="60"/>
  <c r="H16" i="60"/>
  <c r="AH21" i="67"/>
  <c r="AI21" i="67" s="1"/>
  <c r="W23" i="67"/>
  <c r="E22" i="67"/>
  <c r="AC22" i="67"/>
  <c r="W35" i="67"/>
  <c r="AE35" i="67"/>
  <c r="Y35" i="67"/>
  <c r="I35" i="67"/>
  <c r="D16" i="62"/>
  <c r="D12" i="62"/>
  <c r="AE23" i="67"/>
  <c r="F32" i="67"/>
  <c r="G32" i="67" s="1"/>
  <c r="H32" i="67" s="1"/>
  <c r="I32" i="67" s="1"/>
  <c r="J32" i="67" s="1"/>
  <c r="K32" i="67" s="1"/>
  <c r="L32" i="67" s="1"/>
  <c r="M32" i="67" s="1"/>
  <c r="N32" i="67" s="1"/>
  <c r="O32" i="67" s="1"/>
  <c r="P32" i="67" s="1"/>
  <c r="Q32" i="67" s="1"/>
  <c r="R32" i="67" s="1"/>
  <c r="S32" i="67" s="1"/>
  <c r="T32" i="67" s="1"/>
  <c r="U32" i="67" s="1"/>
  <c r="V32" i="67" s="1"/>
  <c r="W32" i="67" s="1"/>
  <c r="X32" i="67" s="1"/>
  <c r="Y32" i="67" s="1"/>
  <c r="Z32" i="67" s="1"/>
  <c r="F31" i="67"/>
  <c r="G31" i="67" s="1"/>
  <c r="F27" i="67"/>
  <c r="G27" i="67" s="1"/>
  <c r="F14" i="67"/>
  <c r="F42" i="67" s="1"/>
  <c r="F25" i="67"/>
  <c r="G25" i="67" s="1"/>
  <c r="F17" i="67"/>
  <c r="AF27" i="67"/>
  <c r="AG27" i="67" s="1"/>
  <c r="AF25" i="67"/>
  <c r="AG25" i="67" s="1"/>
  <c r="AG34" i="67"/>
  <c r="AF31" i="67"/>
  <c r="AG31" i="67" s="1"/>
  <c r="AF17" i="67"/>
  <c r="AF14" i="67"/>
  <c r="AF42" i="67" s="1"/>
  <c r="AA20" i="67"/>
  <c r="Z21" i="67"/>
  <c r="AA21" i="67" s="1"/>
  <c r="U34" i="67"/>
  <c r="T27" i="67"/>
  <c r="U27" i="67" s="1"/>
  <c r="T31" i="67"/>
  <c r="U31" i="67" s="1"/>
  <c r="T25" i="67"/>
  <c r="U25" i="67" s="1"/>
  <c r="T17" i="67"/>
  <c r="T14" i="67"/>
  <c r="T42" i="67" s="1"/>
  <c r="N43" i="67"/>
  <c r="N44" i="67" s="1"/>
  <c r="N46" i="67" s="1"/>
  <c r="N22" i="67"/>
  <c r="N20" i="67"/>
  <c r="AA22" i="67"/>
  <c r="AD43" i="67"/>
  <c r="AD44" i="67" s="1"/>
  <c r="AD22" i="67"/>
  <c r="AD20" i="67"/>
  <c r="H22" i="67"/>
  <c r="H20" i="67"/>
  <c r="H43" i="67"/>
  <c r="H44" i="67" s="1"/>
  <c r="N31" i="67"/>
  <c r="O31" i="67" s="1"/>
  <c r="N27" i="67"/>
  <c r="O27" i="67" s="1"/>
  <c r="N14" i="67"/>
  <c r="N42" i="67" s="1"/>
  <c r="N25" i="67"/>
  <c r="O25" i="67" s="1"/>
  <c r="N17" i="67"/>
  <c r="X27" i="67"/>
  <c r="Y27" i="67" s="1"/>
  <c r="Y34" i="67"/>
  <c r="X25" i="67"/>
  <c r="Y25" i="67" s="1"/>
  <c r="X31" i="67"/>
  <c r="Y31" i="67" s="1"/>
  <c r="X14" i="67"/>
  <c r="X42" i="67" s="1"/>
  <c r="X17" i="67"/>
  <c r="G23" i="67"/>
  <c r="Q35" i="67"/>
  <c r="AG35" i="67"/>
  <c r="V43" i="67"/>
  <c r="V44" i="67" s="1"/>
  <c r="V22" i="67"/>
  <c r="V20" i="67"/>
  <c r="P22" i="67"/>
  <c r="P20" i="67"/>
  <c r="P43" i="67"/>
  <c r="P44" i="67" s="1"/>
  <c r="AE34" i="67"/>
  <c r="AD31" i="67"/>
  <c r="AE31" i="67" s="1"/>
  <c r="AD27" i="67"/>
  <c r="AE27" i="67" s="1"/>
  <c r="AD14" i="67"/>
  <c r="AD42" i="67" s="1"/>
  <c r="AD25" i="67"/>
  <c r="AE25" i="67" s="1"/>
  <c r="AD17" i="67"/>
  <c r="O34" i="67"/>
  <c r="M22" i="67"/>
  <c r="H27" i="67"/>
  <c r="I27" i="67" s="1"/>
  <c r="H25" i="67"/>
  <c r="I25" i="67" s="1"/>
  <c r="H31" i="67"/>
  <c r="I31" i="67" s="1"/>
  <c r="H17" i="67"/>
  <c r="H14" i="67"/>
  <c r="H42" i="67" s="1"/>
  <c r="I34" i="67"/>
  <c r="K20" i="67"/>
  <c r="J21" i="67"/>
  <c r="X22" i="67"/>
  <c r="X20" i="67"/>
  <c r="X43" i="67"/>
  <c r="X44" i="67" s="1"/>
  <c r="D21" i="67"/>
  <c r="E20" i="67"/>
  <c r="AG23" i="67"/>
  <c r="P27" i="67"/>
  <c r="Q27" i="67" s="1"/>
  <c r="P25" i="67"/>
  <c r="Q25" i="67" s="1"/>
  <c r="Q34" i="67"/>
  <c r="P31" i="67"/>
  <c r="Q31" i="67" s="1"/>
  <c r="P17" i="67"/>
  <c r="P14" i="67"/>
  <c r="P42" i="67" s="1"/>
  <c r="U23" i="67"/>
  <c r="L21" i="67"/>
  <c r="M20" i="67"/>
  <c r="H18" i="67"/>
  <c r="I18" i="67"/>
  <c r="S21" i="67"/>
  <c r="Y23" i="67"/>
  <c r="F43" i="67"/>
  <c r="F44" i="67" s="1"/>
  <c r="F22" i="67"/>
  <c r="F20" i="67"/>
  <c r="G35" i="67"/>
  <c r="U35" i="67"/>
  <c r="W34" i="67"/>
  <c r="V31" i="67"/>
  <c r="W31" i="67" s="1"/>
  <c r="V27" i="67"/>
  <c r="W27" i="67" s="1"/>
  <c r="V14" i="67"/>
  <c r="V42" i="67" s="1"/>
  <c r="V25" i="67"/>
  <c r="W25" i="67" s="1"/>
  <c r="V17" i="67"/>
  <c r="AF22" i="67"/>
  <c r="AG22" i="67" s="1"/>
  <c r="AF20" i="67"/>
  <c r="AF43" i="67"/>
  <c r="AF44" i="67" s="1"/>
  <c r="G34" i="67"/>
  <c r="Q23" i="67"/>
  <c r="T43" i="67"/>
  <c r="T44" i="67" s="1"/>
  <c r="T22" i="67"/>
  <c r="T20" i="67"/>
  <c r="G18" i="67"/>
  <c r="F18" i="67"/>
  <c r="I23" i="67"/>
  <c r="K22" i="67"/>
  <c r="AB21" i="67"/>
  <c r="AC20" i="67"/>
  <c r="O23" i="67"/>
  <c r="D30" i="60" l="1"/>
  <c r="H30" i="60" s="1"/>
  <c r="H15" i="60"/>
  <c r="D29" i="60"/>
  <c r="H29" i="60" s="1"/>
  <c r="G22" i="67"/>
  <c r="U22" i="67"/>
  <c r="Y22" i="67"/>
  <c r="AA32" i="67"/>
  <c r="AB32" i="67" s="1"/>
  <c r="AC32" i="67" s="1"/>
  <c r="AD32" i="67" s="1"/>
  <c r="AE32" i="67" s="1"/>
  <c r="AF32" i="67" s="1"/>
  <c r="AG32" i="67" s="1"/>
  <c r="AH32" i="67" s="1"/>
  <c r="Z37" i="67"/>
  <c r="AA37" i="67" s="1"/>
  <c r="Z40" i="67" s="1"/>
  <c r="E10" i="62" s="1"/>
  <c r="AF21" i="67"/>
  <c r="AG21" i="67" s="1"/>
  <c r="AG20" i="67"/>
  <c r="E21" i="67"/>
  <c r="E16" i="67" s="1"/>
  <c r="D37" i="67"/>
  <c r="K21" i="67"/>
  <c r="J37" i="67"/>
  <c r="K37" i="67" s="1"/>
  <c r="W20" i="67"/>
  <c r="V21" i="67"/>
  <c r="W21" i="67" s="1"/>
  <c r="AE20" i="67"/>
  <c r="AD21" i="67"/>
  <c r="AE21" i="67" s="1"/>
  <c r="O20" i="67"/>
  <c r="N21" i="67"/>
  <c r="T21" i="67"/>
  <c r="U20" i="67"/>
  <c r="G20" i="67"/>
  <c r="F21" i="67"/>
  <c r="G21" i="67" s="1"/>
  <c r="R37" i="67"/>
  <c r="S37" i="67" s="1"/>
  <c r="R40" i="67" s="1"/>
  <c r="E15" i="62" s="1"/>
  <c r="P21" i="67"/>
  <c r="Q20" i="67"/>
  <c r="W22" i="67"/>
  <c r="AE22" i="67"/>
  <c r="O22" i="67"/>
  <c r="I22" i="67"/>
  <c r="AC21" i="67"/>
  <c r="M21" i="67"/>
  <c r="L37" i="67"/>
  <c r="M37" i="67" s="1"/>
  <c r="L40" i="67" s="1"/>
  <c r="E18" i="62" s="1"/>
  <c r="X21" i="67"/>
  <c r="Y21" i="67" s="1"/>
  <c r="Y20" i="67"/>
  <c r="Q22" i="67"/>
  <c r="H21" i="67"/>
  <c r="I20" i="67"/>
  <c r="H32" i="60" l="1"/>
  <c r="F37" i="67"/>
  <c r="G37" i="67" s="1"/>
  <c r="F40" i="67" s="1"/>
  <c r="E21" i="62" s="1"/>
  <c r="F14" i="65"/>
  <c r="I14" i="65" s="1"/>
  <c r="AB37" i="67"/>
  <c r="AC37" i="67" s="1"/>
  <c r="AB40" i="67" s="1"/>
  <c r="E9" i="62" s="1"/>
  <c r="AF37" i="67"/>
  <c r="AG37" i="67" s="1"/>
  <c r="AF40" i="67" s="1"/>
  <c r="E7" i="62" s="1"/>
  <c r="AD37" i="67"/>
  <c r="AE37" i="67" s="1"/>
  <c r="AD40" i="67" s="1"/>
  <c r="E8" i="62" s="1"/>
  <c r="F12" i="65" s="1"/>
  <c r="I12" i="65" s="1"/>
  <c r="V37" i="67"/>
  <c r="W37" i="67" s="1"/>
  <c r="V40" i="67" s="1"/>
  <c r="E13" i="62" s="1"/>
  <c r="Q21" i="67"/>
  <c r="P37" i="67"/>
  <c r="Q37" i="67" s="1"/>
  <c r="I21" i="67"/>
  <c r="H37" i="67"/>
  <c r="I37" i="67" s="1"/>
  <c r="U21" i="67"/>
  <c r="T37" i="67"/>
  <c r="U37" i="67" s="1"/>
  <c r="T40" i="67" s="1"/>
  <c r="E14" i="62" s="1"/>
  <c r="AI32" i="67"/>
  <c r="AH37" i="67"/>
  <c r="AI37" i="67" s="1"/>
  <c r="AH40" i="67" s="1"/>
  <c r="E6" i="62" s="1"/>
  <c r="O21" i="67"/>
  <c r="N37" i="67"/>
  <c r="O37" i="67" s="1"/>
  <c r="E37" i="67"/>
  <c r="R48" i="67"/>
  <c r="X37" i="67"/>
  <c r="Y37" i="67" s="1"/>
  <c r="X40" i="67" s="1"/>
  <c r="E11" i="62" s="1"/>
  <c r="I13" i="65" s="1"/>
  <c r="I11" i="65" l="1"/>
  <c r="I15" i="65"/>
  <c r="R55" i="67"/>
  <c r="R54" i="67"/>
  <c r="R53" i="67"/>
  <c r="I10" i="65" l="1"/>
  <c r="I6" i="65" s="1"/>
  <c r="S54" i="67"/>
  <c r="T55" i="67"/>
  <c r="T56" i="67" s="1"/>
  <c r="S55" i="67"/>
  <c r="S56" i="67" s="1"/>
  <c r="AH39" i="67" l="1"/>
  <c r="AI39" i="67" s="1"/>
  <c r="R39" i="67"/>
  <c r="S39" i="67" s="1"/>
  <c r="Z39" i="67"/>
  <c r="AA39" i="67" s="1"/>
  <c r="L39" i="67"/>
  <c r="M39" i="67" s="1"/>
  <c r="D39" i="67"/>
  <c r="E39" i="67" s="1"/>
  <c r="D40" i="67" s="1"/>
  <c r="E22" i="62" s="1"/>
  <c r="J39" i="67"/>
  <c r="K39" i="67" s="1"/>
  <c r="J40" i="67" s="1"/>
  <c r="E19" i="62" s="1"/>
  <c r="AB39" i="67"/>
  <c r="AC39" i="67" s="1"/>
  <c r="N39" i="67"/>
  <c r="O39" i="67" s="1"/>
  <c r="N40" i="67" s="1"/>
  <c r="E17" i="62" s="1"/>
  <c r="H39" i="67"/>
  <c r="I39" i="67" s="1"/>
  <c r="H40" i="67" s="1"/>
  <c r="E20" i="62" s="1"/>
  <c r="AF39" i="67"/>
  <c r="AG39" i="67" s="1"/>
  <c r="T39" i="67"/>
  <c r="U39" i="67" s="1"/>
  <c r="P39" i="67"/>
  <c r="Q39" i="67" s="1"/>
  <c r="P40" i="67" s="1"/>
  <c r="F39" i="67"/>
  <c r="G39" i="67" s="1"/>
  <c r="AD39" i="67"/>
  <c r="AE39" i="67" s="1"/>
  <c r="X39" i="67"/>
  <c r="Y39" i="67" s="1"/>
  <c r="V39" i="67"/>
  <c r="W39" i="67" s="1"/>
  <c r="R38" i="67"/>
  <c r="S38" i="67" s="1"/>
  <c r="AH38" i="67"/>
  <c r="AI38" i="67" s="1"/>
  <c r="AB38" i="67"/>
  <c r="AC38" i="67" s="1"/>
  <c r="D38" i="67"/>
  <c r="E38" i="67" s="1"/>
  <c r="Z38" i="67"/>
  <c r="AA38" i="67" s="1"/>
  <c r="L38" i="67"/>
  <c r="M38" i="67" s="1"/>
  <c r="J38" i="67"/>
  <c r="K38" i="67" s="1"/>
  <c r="X38" i="67"/>
  <c r="Y38" i="67" s="1"/>
  <c r="H38" i="67"/>
  <c r="I38" i="67" s="1"/>
  <c r="V38" i="67"/>
  <c r="W38" i="67" s="1"/>
  <c r="P38" i="67"/>
  <c r="Q38" i="67" s="1"/>
  <c r="N38" i="67"/>
  <c r="O38" i="67" s="1"/>
  <c r="AF38" i="67"/>
  <c r="AG38" i="67" s="1"/>
  <c r="T38" i="67"/>
  <c r="U38" i="67" s="1"/>
  <c r="F38" i="67"/>
  <c r="G38" i="67" s="1"/>
  <c r="AD38" i="67"/>
  <c r="AE38" i="67" s="1"/>
  <c r="E12" i="62" l="1"/>
  <c r="E16" i="62"/>
  <c r="M17" i="69"/>
  <c r="M18" i="69" s="1"/>
  <c r="M19" i="69" s="1"/>
  <c r="E27" i="57" l="1"/>
  <c r="F20" i="57"/>
  <c r="G20" i="57" s="1"/>
  <c r="F21" i="57"/>
  <c r="G21" i="57" s="1"/>
  <c r="F22" i="57"/>
  <c r="G22" i="57" s="1"/>
  <c r="F23" i="57"/>
  <c r="G23" i="57" s="1"/>
  <c r="F19" i="57"/>
  <c r="G19" i="57" s="1"/>
  <c r="D20" i="57"/>
  <c r="D21" i="57"/>
  <c r="D22" i="57"/>
  <c r="D23" i="57"/>
  <c r="D19" i="57"/>
  <c r="B23" i="57"/>
  <c r="B22" i="57"/>
  <c r="B21" i="57"/>
  <c r="B20" i="57"/>
  <c r="B19" i="57"/>
  <c r="C16" i="57"/>
  <c r="H16" i="57"/>
  <c r="D31" i="56"/>
  <c r="B31" i="56"/>
  <c r="J21" i="56"/>
  <c r="K21" i="56" s="1"/>
  <c r="D21" i="56"/>
  <c r="B21" i="56"/>
  <c r="F20" i="56"/>
  <c r="G20" i="56" s="1"/>
  <c r="D20" i="56"/>
  <c r="B20" i="56"/>
  <c r="D19" i="56"/>
  <c r="B19" i="56"/>
  <c r="F23" i="51"/>
  <c r="G23" i="51" s="1"/>
  <c r="D23" i="51"/>
  <c r="B23" i="51"/>
  <c r="H16" i="56"/>
  <c r="C16" i="56"/>
  <c r="H38" i="57"/>
  <c r="B13" i="57"/>
  <c r="H37" i="56"/>
  <c r="B13" i="56"/>
  <c r="D19" i="55"/>
  <c r="B19" i="55"/>
  <c r="H16" i="54"/>
  <c r="C16" i="54"/>
  <c r="H36" i="55"/>
  <c r="F30" i="55"/>
  <c r="G30" i="55" s="1"/>
  <c r="D30" i="55"/>
  <c r="B30" i="55"/>
  <c r="F20" i="55"/>
  <c r="G20" i="55" s="1"/>
  <c r="D20" i="55"/>
  <c r="B20" i="55"/>
  <c r="B13" i="55"/>
  <c r="F30" i="54"/>
  <c r="G30" i="54" s="1"/>
  <c r="D30" i="54"/>
  <c r="B30" i="54"/>
  <c r="E24" i="54"/>
  <c r="F20" i="54"/>
  <c r="G20" i="54" s="1"/>
  <c r="D20" i="54"/>
  <c r="B20" i="54"/>
  <c r="F19" i="54"/>
  <c r="G19" i="54" s="1"/>
  <c r="D19" i="54"/>
  <c r="B19" i="54"/>
  <c r="H36" i="54"/>
  <c r="B13" i="54"/>
  <c r="E28" i="51"/>
  <c r="I28" i="51" s="1"/>
  <c r="G34" i="53"/>
  <c r="H35" i="53" s="1"/>
  <c r="D29" i="53"/>
  <c r="F19" i="53"/>
  <c r="G19" i="53" s="1"/>
  <c r="D19" i="53"/>
  <c r="B19" i="53"/>
  <c r="B13" i="53"/>
  <c r="G39" i="52"/>
  <c r="H40" i="52" s="1"/>
  <c r="G21" i="52"/>
  <c r="B13" i="52"/>
  <c r="F24" i="51"/>
  <c r="G24" i="51" s="1"/>
  <c r="D24" i="51"/>
  <c r="B24" i="51"/>
  <c r="F22" i="51"/>
  <c r="G22" i="51" s="1"/>
  <c r="D22" i="51"/>
  <c r="B22" i="51"/>
  <c r="F21" i="51"/>
  <c r="G21" i="51" s="1"/>
  <c r="D21" i="51"/>
  <c r="B21" i="51"/>
  <c r="D20" i="51"/>
  <c r="B20" i="51"/>
  <c r="D19" i="51"/>
  <c r="B19" i="51"/>
  <c r="D34" i="51"/>
  <c r="B34" i="51"/>
  <c r="F31" i="49"/>
  <c r="G31" i="49" s="1"/>
  <c r="D31" i="49"/>
  <c r="B31" i="49"/>
  <c r="E26" i="49"/>
  <c r="F19" i="49"/>
  <c r="D19" i="49"/>
  <c r="B19" i="49"/>
  <c r="F30" i="49"/>
  <c r="B30" i="49"/>
  <c r="G39" i="51"/>
  <c r="H40" i="51" s="1"/>
  <c r="B13" i="51"/>
  <c r="H24" i="57" l="1"/>
  <c r="H21" i="54"/>
  <c r="C16" i="49" l="1"/>
  <c r="D30" i="49"/>
  <c r="G19" i="49"/>
  <c r="H23" i="49" s="1"/>
  <c r="B13" i="49"/>
  <c r="F39" i="48"/>
  <c r="G39" i="48" s="1"/>
  <c r="C39" i="48"/>
  <c r="B39" i="48"/>
  <c r="E28" i="48"/>
  <c r="E27" i="48"/>
  <c r="E26" i="48"/>
  <c r="E32" i="48"/>
  <c r="E33" i="48"/>
  <c r="E34" i="48"/>
  <c r="F41" i="48"/>
  <c r="G41" i="48" s="1"/>
  <c r="F42" i="48"/>
  <c r="G42" i="48" s="1"/>
  <c r="F40" i="48"/>
  <c r="G40" i="48" s="1"/>
  <c r="C41" i="48"/>
  <c r="C40" i="48"/>
  <c r="B41" i="48"/>
  <c r="B42" i="48"/>
  <c r="B40" i="48"/>
  <c r="D19" i="48"/>
  <c r="B19" i="48"/>
  <c r="F19" i="48"/>
  <c r="G19" i="48" s="1"/>
  <c r="H23" i="48" s="1"/>
  <c r="F34" i="48"/>
  <c r="D34" i="48"/>
  <c r="B34" i="48"/>
  <c r="F33" i="48"/>
  <c r="D33" i="48"/>
  <c r="B33" i="48"/>
  <c r="F32" i="48"/>
  <c r="D32" i="48"/>
  <c r="B32" i="48"/>
  <c r="H16" i="48"/>
  <c r="C16" i="48"/>
  <c r="B13" i="48"/>
  <c r="B37" i="46"/>
  <c r="G20" i="46"/>
  <c r="E32" i="46"/>
  <c r="E30" i="46"/>
  <c r="E31" i="46"/>
  <c r="H16" i="46"/>
  <c r="C16" i="46"/>
  <c r="F32" i="46"/>
  <c r="D32" i="46"/>
  <c r="B32" i="46"/>
  <c r="F31" i="46"/>
  <c r="D31" i="46"/>
  <c r="B31" i="46"/>
  <c r="F30" i="46"/>
  <c r="D30" i="46"/>
  <c r="B30" i="46"/>
  <c r="D20" i="46"/>
  <c r="F19" i="46"/>
  <c r="G19" i="46" s="1"/>
  <c r="D19" i="46"/>
  <c r="B19" i="46"/>
  <c r="B13" i="46"/>
  <c r="D7" i="45"/>
  <c r="D8" i="45" s="1"/>
  <c r="E32" i="43"/>
  <c r="E31" i="43"/>
  <c r="E30" i="43"/>
  <c r="E19" i="43"/>
  <c r="F19" i="43" s="1"/>
  <c r="G23" i="43" s="1"/>
  <c r="C19" i="43"/>
  <c r="B19" i="43"/>
  <c r="C32" i="43"/>
  <c r="C31" i="43"/>
  <c r="C30" i="43"/>
  <c r="B32" i="43"/>
  <c r="B31" i="43"/>
  <c r="B30" i="43"/>
  <c r="G16" i="43"/>
  <c r="C16" i="43"/>
  <c r="G38" i="43"/>
  <c r="B13" i="43"/>
  <c r="D35" i="42"/>
  <c r="F35" i="42" s="1"/>
  <c r="G36" i="42" s="1"/>
  <c r="E30" i="42"/>
  <c r="F30" i="42" s="1"/>
  <c r="C30" i="42"/>
  <c r="B30" i="42"/>
  <c r="G16" i="42"/>
  <c r="C16" i="42"/>
  <c r="G23" i="42"/>
  <c r="B13" i="42"/>
  <c r="C16" i="39"/>
  <c r="E31" i="39"/>
  <c r="E30" i="39"/>
  <c r="C31" i="39"/>
  <c r="C30" i="39"/>
  <c r="B31" i="39"/>
  <c r="B30" i="39"/>
  <c r="G16" i="39"/>
  <c r="G37" i="39"/>
  <c r="B13" i="39"/>
  <c r="F30" i="38"/>
  <c r="G30" i="38" s="1"/>
  <c r="D30" i="38"/>
  <c r="B30" i="38"/>
  <c r="B25" i="38"/>
  <c r="B26" i="38"/>
  <c r="B24" i="38"/>
  <c r="F20" i="38"/>
  <c r="G20" i="38" s="1"/>
  <c r="D20" i="38"/>
  <c r="B20" i="38"/>
  <c r="F19" i="38"/>
  <c r="G19" i="38" s="1"/>
  <c r="D19" i="38"/>
  <c r="B19" i="38"/>
  <c r="D16" i="38"/>
  <c r="H36" i="38"/>
  <c r="H16" i="38"/>
  <c r="B13" i="38"/>
  <c r="F2418" i="37"/>
  <c r="E2417" i="37"/>
  <c r="F2417" i="37" s="1"/>
  <c r="F2413" i="37"/>
  <c r="E2412" i="37"/>
  <c r="F2412" i="37" s="1"/>
  <c r="E2411" i="37"/>
  <c r="F2411" i="37" s="1"/>
  <c r="E2410" i="37"/>
  <c r="F2410" i="37" s="1"/>
  <c r="E2396" i="37"/>
  <c r="F2396" i="37" s="1"/>
  <c r="E2395" i="37"/>
  <c r="F2395" i="37" s="1"/>
  <c r="E2394" i="37"/>
  <c r="F2394" i="37" s="1"/>
  <c r="E2393" i="37"/>
  <c r="F2393" i="37" s="1"/>
  <c r="E2391" i="37"/>
  <c r="F2391" i="37" s="1"/>
  <c r="E2390" i="37"/>
  <c r="F2390" i="37" s="1"/>
  <c r="E2388" i="37"/>
  <c r="F2388" i="37" s="1"/>
  <c r="G2384" i="37"/>
  <c r="C2384" i="37"/>
  <c r="B2384" i="37"/>
  <c r="B2381" i="37"/>
  <c r="E2360" i="37"/>
  <c r="F2360" i="37" s="1"/>
  <c r="E2359" i="37"/>
  <c r="F2359" i="37" s="1"/>
  <c r="E2358" i="37"/>
  <c r="F2358" i="37" s="1"/>
  <c r="F2346" i="37"/>
  <c r="G2347" i="37" s="1"/>
  <c r="G2343" i="37"/>
  <c r="C2343" i="37"/>
  <c r="B2343" i="37"/>
  <c r="B2340" i="37"/>
  <c r="E2320" i="37"/>
  <c r="F2320" i="37" s="1"/>
  <c r="E2319" i="37"/>
  <c r="F2319" i="37" s="1"/>
  <c r="E2318" i="37"/>
  <c r="F2318" i="37" s="1"/>
  <c r="G2307" i="37"/>
  <c r="C2307" i="37"/>
  <c r="B2307" i="37"/>
  <c r="B2304" i="37"/>
  <c r="E2287" i="37"/>
  <c r="F2287" i="37" s="1"/>
  <c r="F2286" i="37"/>
  <c r="E2282" i="37"/>
  <c r="F2282" i="37" s="1"/>
  <c r="E2281" i="37"/>
  <c r="F2281" i="37" s="1"/>
  <c r="E2280" i="37"/>
  <c r="F2280" i="37" s="1"/>
  <c r="E2267" i="37"/>
  <c r="F2267" i="37" s="1"/>
  <c r="G2264" i="37"/>
  <c r="C2264" i="37"/>
  <c r="B2264" i="37"/>
  <c r="B2261" i="37"/>
  <c r="F2245" i="37"/>
  <c r="E2244" i="37"/>
  <c r="F2244" i="37" s="1"/>
  <c r="E2240" i="37"/>
  <c r="F2240" i="37" s="1"/>
  <c r="E2239" i="37"/>
  <c r="F2239" i="37" s="1"/>
  <c r="E2238" i="37"/>
  <c r="F2238" i="37" s="1"/>
  <c r="E2225" i="37"/>
  <c r="F2225" i="37" s="1"/>
  <c r="G2222" i="37"/>
  <c r="C2222" i="37"/>
  <c r="B2222" i="37"/>
  <c r="B2220" i="37"/>
  <c r="E2203" i="37"/>
  <c r="F2203" i="37" s="1"/>
  <c r="E2202" i="37"/>
  <c r="F2202" i="37" s="1"/>
  <c r="E2190" i="37"/>
  <c r="F2190" i="37" s="1"/>
  <c r="G2186" i="37"/>
  <c r="C2186" i="37"/>
  <c r="B2186" i="37"/>
  <c r="B2183" i="37"/>
  <c r="E2167" i="37"/>
  <c r="F2167" i="37" s="1"/>
  <c r="G2168" i="37" s="1"/>
  <c r="E2162" i="37"/>
  <c r="F2162" i="37" s="1"/>
  <c r="G2163" i="37" s="1"/>
  <c r="E2149" i="37"/>
  <c r="F2149" i="37" s="1"/>
  <c r="E2148" i="37"/>
  <c r="F2148" i="37" s="1"/>
  <c r="E2147" i="37"/>
  <c r="F2147" i="37" s="1"/>
  <c r="E2146" i="37"/>
  <c r="F2146" i="37" s="1"/>
  <c r="E2145" i="37"/>
  <c r="F2145" i="37" s="1"/>
  <c r="G2142" i="37"/>
  <c r="C2142" i="37"/>
  <c r="B2142" i="37"/>
  <c r="B2139" i="37"/>
  <c r="E2123" i="37"/>
  <c r="F2123" i="37" s="1"/>
  <c r="G2124" i="37" s="1"/>
  <c r="E2111" i="37"/>
  <c r="F2111" i="37" s="1"/>
  <c r="E2110" i="37"/>
  <c r="F2110" i="37" s="1"/>
  <c r="E2109" i="37"/>
  <c r="F2109" i="37" s="1"/>
  <c r="E2108" i="37"/>
  <c r="F2108" i="37" s="1"/>
  <c r="E2107" i="37"/>
  <c r="F2107" i="37" s="1"/>
  <c r="E2106" i="37"/>
  <c r="F2106" i="37" s="1"/>
  <c r="G2103" i="37"/>
  <c r="C2103" i="37"/>
  <c r="B2103" i="37"/>
  <c r="B2100" i="37"/>
  <c r="F2083" i="37"/>
  <c r="G2084" i="37" s="1"/>
  <c r="E2079" i="37"/>
  <c r="F2079" i="37" s="1"/>
  <c r="G2080" i="37" s="1"/>
  <c r="E2075" i="37"/>
  <c r="F2075" i="37" s="1"/>
  <c r="G2076" i="37" s="1"/>
  <c r="G2072" i="37"/>
  <c r="C2072" i="37"/>
  <c r="B2072" i="37"/>
  <c r="B2069" i="37"/>
  <c r="E2053" i="37"/>
  <c r="F2053" i="37" s="1"/>
  <c r="G2054" i="37" s="1"/>
  <c r="E2041" i="37"/>
  <c r="F2041" i="37" s="1"/>
  <c r="G2042" i="37" s="1"/>
  <c r="G2038" i="37"/>
  <c r="C2038" i="37"/>
  <c r="B2038" i="37"/>
  <c r="B2035" i="37"/>
  <c r="F2018" i="37"/>
  <c r="E2017" i="37"/>
  <c r="F2017" i="37" s="1"/>
  <c r="E2013" i="37"/>
  <c r="F2013" i="37" s="1"/>
  <c r="E2012" i="37"/>
  <c r="F2012" i="37" s="1"/>
  <c r="E2000" i="37"/>
  <c r="F2000" i="37" s="1"/>
  <c r="E1999" i="37"/>
  <c r="F1999" i="37" s="1"/>
  <c r="G1996" i="37"/>
  <c r="C1996" i="37"/>
  <c r="B1996" i="37"/>
  <c r="B1993" i="37"/>
  <c r="F1977" i="37"/>
  <c r="E1976" i="37"/>
  <c r="F1976" i="37" s="1"/>
  <c r="E1972" i="37"/>
  <c r="F1972" i="37" s="1"/>
  <c r="E1971" i="37"/>
  <c r="F1971" i="37" s="1"/>
  <c r="E1959" i="37"/>
  <c r="F1959" i="37" s="1"/>
  <c r="E1958" i="37"/>
  <c r="F1958" i="37" s="1"/>
  <c r="G1955" i="37"/>
  <c r="C1955" i="37"/>
  <c r="B1955" i="37"/>
  <c r="B1952" i="37"/>
  <c r="F1936" i="37"/>
  <c r="E1935" i="37"/>
  <c r="F1935" i="37" s="1"/>
  <c r="E1931" i="37"/>
  <c r="F1931" i="37" s="1"/>
  <c r="E1930" i="37"/>
  <c r="F1930" i="37" s="1"/>
  <c r="E1929" i="37"/>
  <c r="F1929" i="37" s="1"/>
  <c r="E1928" i="37"/>
  <c r="F1928" i="37" s="1"/>
  <c r="E1916" i="37"/>
  <c r="F1916" i="37" s="1"/>
  <c r="E1915" i="37"/>
  <c r="F1915" i="37" s="1"/>
  <c r="E1914" i="37"/>
  <c r="F1914" i="37" s="1"/>
  <c r="E1913" i="37"/>
  <c r="F1913" i="37" s="1"/>
  <c r="F1912" i="37"/>
  <c r="F1911" i="37"/>
  <c r="G1908" i="37"/>
  <c r="C1908" i="37"/>
  <c r="B1908" i="37"/>
  <c r="B1905" i="37"/>
  <c r="F1888" i="37"/>
  <c r="E1887" i="37"/>
  <c r="F1887" i="37" s="1"/>
  <c r="F1886" i="37"/>
  <c r="E1882" i="37"/>
  <c r="F1882" i="37" s="1"/>
  <c r="G1883" i="37" s="1"/>
  <c r="E1870" i="37"/>
  <c r="F1870" i="37" s="1"/>
  <c r="E1869" i="37"/>
  <c r="F1869" i="37" s="1"/>
  <c r="E1868" i="37"/>
  <c r="F1868" i="37" s="1"/>
  <c r="E1867" i="37"/>
  <c r="F1867" i="37" s="1"/>
  <c r="E1865" i="37"/>
  <c r="F1865" i="37" s="1"/>
  <c r="G1862" i="37"/>
  <c r="C1862" i="37"/>
  <c r="B1862" i="37"/>
  <c r="B1859" i="37"/>
  <c r="E1843" i="37"/>
  <c r="F1843" i="37" s="1"/>
  <c r="G1844" i="37" s="1"/>
  <c r="E1831" i="37"/>
  <c r="F1831" i="37" s="1"/>
  <c r="E1830" i="37"/>
  <c r="F1830" i="37" s="1"/>
  <c r="E1829" i="37"/>
  <c r="F1829" i="37" s="1"/>
  <c r="E1827" i="37"/>
  <c r="F1827" i="37" s="1"/>
  <c r="G1824" i="37"/>
  <c r="C1824" i="37"/>
  <c r="B1824" i="37"/>
  <c r="B1821" i="37"/>
  <c r="E1805" i="37"/>
  <c r="F1805" i="37" s="1"/>
  <c r="G1806" i="37" s="1"/>
  <c r="E1801" i="37"/>
  <c r="F1801" i="37" s="1"/>
  <c r="E1800" i="37"/>
  <c r="F1800" i="37" s="1"/>
  <c r="E1788" i="37"/>
  <c r="F1788" i="37" s="1"/>
  <c r="E1787" i="37"/>
  <c r="F1787" i="37" s="1"/>
  <c r="E1786" i="37"/>
  <c r="F1786" i="37" s="1"/>
  <c r="E1784" i="37"/>
  <c r="F1784" i="37" s="1"/>
  <c r="G1781" i="37"/>
  <c r="B1781" i="37"/>
  <c r="B1778" i="37"/>
  <c r="E1762" i="37"/>
  <c r="F1762" i="37" s="1"/>
  <c r="G1763" i="37" s="1"/>
  <c r="E1758" i="37"/>
  <c r="F1758" i="37" s="1"/>
  <c r="E1757" i="37"/>
  <c r="F1757" i="37" s="1"/>
  <c r="E1745" i="37"/>
  <c r="F1745" i="37" s="1"/>
  <c r="E1744" i="37"/>
  <c r="F1744" i="37" s="1"/>
  <c r="E1743" i="37"/>
  <c r="F1743" i="37" s="1"/>
  <c r="E1741" i="37"/>
  <c r="F1741" i="37" s="1"/>
  <c r="G1738" i="37"/>
  <c r="B1738" i="37"/>
  <c r="B1735" i="37"/>
  <c r="F1718" i="37"/>
  <c r="E1717" i="37"/>
  <c r="F1717" i="37" s="1"/>
  <c r="E1713" i="37"/>
  <c r="F1713" i="37" s="1"/>
  <c r="G1714" i="37" s="1"/>
  <c r="E1712" i="37"/>
  <c r="F1712" i="37" s="1"/>
  <c r="F1700" i="37"/>
  <c r="E1699" i="37"/>
  <c r="F1699" i="37" s="1"/>
  <c r="E1698" i="37"/>
  <c r="F1698" i="37" s="1"/>
  <c r="E1697" i="37"/>
  <c r="F1697" i="37" s="1"/>
  <c r="E1695" i="37"/>
  <c r="F1695" i="37" s="1"/>
  <c r="E1694" i="37"/>
  <c r="F1694" i="37" s="1"/>
  <c r="E1693" i="37"/>
  <c r="F1693" i="37" s="1"/>
  <c r="E1692" i="37"/>
  <c r="F1692" i="37" s="1"/>
  <c r="G1689" i="37"/>
  <c r="C1689" i="37"/>
  <c r="B1689" i="37"/>
  <c r="B1686" i="37"/>
  <c r="F1669" i="37"/>
  <c r="E1668" i="37"/>
  <c r="F1668" i="37" s="1"/>
  <c r="E1656" i="37"/>
  <c r="F1656" i="37" s="1"/>
  <c r="E1655" i="37"/>
  <c r="F1655" i="37" s="1"/>
  <c r="E1654" i="37"/>
  <c r="F1654" i="37" s="1"/>
  <c r="E1653" i="37"/>
  <c r="F1653" i="37" s="1"/>
  <c r="G1650" i="37"/>
  <c r="C1650" i="37"/>
  <c r="B1650" i="37"/>
  <c r="B1647" i="37"/>
  <c r="F1630" i="37"/>
  <c r="E1629" i="37"/>
  <c r="F1629" i="37" s="1"/>
  <c r="G1631" i="37" s="1"/>
  <c r="F1617" i="37"/>
  <c r="E1616" i="37"/>
  <c r="F1616" i="37" s="1"/>
  <c r="G1613" i="37"/>
  <c r="C1613" i="37"/>
  <c r="B1613" i="37"/>
  <c r="B1610" i="37"/>
  <c r="F1594" i="37"/>
  <c r="E1593" i="37"/>
  <c r="F1593" i="37" s="1"/>
  <c r="F1581" i="37"/>
  <c r="E1580" i="37"/>
  <c r="F1580" i="37" s="1"/>
  <c r="G1577" i="37"/>
  <c r="C1577" i="37"/>
  <c r="B1577" i="37"/>
  <c r="B1574" i="37"/>
  <c r="F1558" i="37"/>
  <c r="E1557" i="37"/>
  <c r="F1557" i="37" s="1"/>
  <c r="F1545" i="37"/>
  <c r="E1544" i="37"/>
  <c r="F1544" i="37" s="1"/>
  <c r="G1541" i="37"/>
  <c r="C1541" i="37"/>
  <c r="B1541" i="37"/>
  <c r="B1538" i="37"/>
  <c r="F1522" i="37"/>
  <c r="E1521" i="37"/>
  <c r="F1521" i="37" s="1"/>
  <c r="F1509" i="37"/>
  <c r="E1508" i="37"/>
  <c r="F1508" i="37" s="1"/>
  <c r="G1505" i="37"/>
  <c r="C1505" i="37"/>
  <c r="B1505" i="37"/>
  <c r="B1502" i="37"/>
  <c r="F1486" i="37"/>
  <c r="E1485" i="37"/>
  <c r="F1485" i="37" s="1"/>
  <c r="E1473" i="37"/>
  <c r="F1473" i="37" s="1"/>
  <c r="E1472" i="37"/>
  <c r="F1472" i="37" s="1"/>
  <c r="E1471" i="37"/>
  <c r="F1471" i="37" s="1"/>
  <c r="F1470" i="37"/>
  <c r="F1469" i="37"/>
  <c r="E1468" i="37"/>
  <c r="F1468" i="37" s="1"/>
  <c r="E1467" i="37"/>
  <c r="F1467" i="37" s="1"/>
  <c r="E1465" i="37"/>
  <c r="F1465" i="37" s="1"/>
  <c r="G1462" i="37"/>
  <c r="C1462" i="37"/>
  <c r="B1462" i="37"/>
  <c r="B1459" i="37"/>
  <c r="F1443" i="37"/>
  <c r="E1442" i="37"/>
  <c r="F1442" i="37" s="1"/>
  <c r="E1430" i="37"/>
  <c r="F1430" i="37" s="1"/>
  <c r="E1429" i="37"/>
  <c r="F1429" i="37" s="1"/>
  <c r="F1428" i="37"/>
  <c r="E1427" i="37"/>
  <c r="F1427" i="37" s="1"/>
  <c r="E1426" i="37"/>
  <c r="F1426" i="37" s="1"/>
  <c r="E1425" i="37"/>
  <c r="F1425" i="37" s="1"/>
  <c r="E1423" i="37"/>
  <c r="F1423" i="37" s="1"/>
  <c r="E1422" i="37"/>
  <c r="F1422" i="37" s="1"/>
  <c r="G1419" i="37"/>
  <c r="C1419" i="37"/>
  <c r="B1419" i="37"/>
  <c r="B1416" i="37"/>
  <c r="F1400" i="37"/>
  <c r="E1399" i="37"/>
  <c r="F1399" i="37" s="1"/>
  <c r="E1386" i="37"/>
  <c r="F1386" i="37" s="1"/>
  <c r="E1385" i="37"/>
  <c r="F1385" i="37" s="1"/>
  <c r="E1384" i="37"/>
  <c r="F1384" i="37" s="1"/>
  <c r="E1383" i="37"/>
  <c r="F1383" i="37" s="1"/>
  <c r="E1382" i="37"/>
  <c r="F1382" i="37" s="1"/>
  <c r="G1379" i="37"/>
  <c r="C1379" i="37"/>
  <c r="B1379" i="37"/>
  <c r="B1376" i="37"/>
  <c r="F1360" i="37"/>
  <c r="E1359" i="37"/>
  <c r="F1359" i="37" s="1"/>
  <c r="E1346" i="37"/>
  <c r="F1346" i="37" s="1"/>
  <c r="E1345" i="37"/>
  <c r="F1345" i="37" s="1"/>
  <c r="E1344" i="37"/>
  <c r="F1344" i="37" s="1"/>
  <c r="E1343" i="37"/>
  <c r="F1343" i="37" s="1"/>
  <c r="E1342" i="37"/>
  <c r="F1342" i="37" s="1"/>
  <c r="G1339" i="37"/>
  <c r="C1339" i="37"/>
  <c r="B1339" i="37"/>
  <c r="B1336" i="37"/>
  <c r="E1319" i="37"/>
  <c r="F1319" i="37" s="1"/>
  <c r="G1320" i="37" s="1"/>
  <c r="E1306" i="37"/>
  <c r="F1306" i="37" s="1"/>
  <c r="G1302" i="37"/>
  <c r="C1302" i="37"/>
  <c r="B1302" i="37"/>
  <c r="B1299" i="37"/>
  <c r="E1283" i="37"/>
  <c r="F1283" i="37" s="1"/>
  <c r="G1284" i="37" s="1"/>
  <c r="E1271" i="37"/>
  <c r="F1271" i="37" s="1"/>
  <c r="E1270" i="37"/>
  <c r="F1270" i="37" s="1"/>
  <c r="G1267" i="37"/>
  <c r="C1267" i="37"/>
  <c r="B1267" i="37"/>
  <c r="B1264" i="37"/>
  <c r="E1248" i="37"/>
  <c r="F1248" i="37" s="1"/>
  <c r="G1249" i="37" s="1"/>
  <c r="E1236" i="37"/>
  <c r="F1236" i="37" s="1"/>
  <c r="E1235" i="37"/>
  <c r="F1235" i="37" s="1"/>
  <c r="G1232" i="37"/>
  <c r="C1232" i="37"/>
  <c r="B1232" i="37"/>
  <c r="B1229" i="37"/>
  <c r="E1212" i="37"/>
  <c r="F1212" i="37" s="1"/>
  <c r="G1213" i="37" s="1"/>
  <c r="E1200" i="37"/>
  <c r="F1200" i="37" s="1"/>
  <c r="G1196" i="37"/>
  <c r="C1196" i="37"/>
  <c r="B1196" i="37"/>
  <c r="B1193" i="37"/>
  <c r="F1176" i="37"/>
  <c r="G1177" i="37" s="1"/>
  <c r="F1172" i="37"/>
  <c r="G1173" i="37" s="1"/>
  <c r="E1168" i="37"/>
  <c r="F1168" i="37" s="1"/>
  <c r="E1167" i="37"/>
  <c r="F1167" i="37" s="1"/>
  <c r="E1166" i="37"/>
  <c r="F1166" i="37" s="1"/>
  <c r="G1163" i="37"/>
  <c r="C1163" i="37"/>
  <c r="B1163" i="37"/>
  <c r="B1160" i="37"/>
  <c r="E1144" i="37"/>
  <c r="F1144" i="37" s="1"/>
  <c r="G1145" i="37" s="1"/>
  <c r="E1132" i="37"/>
  <c r="F1132" i="37" s="1"/>
  <c r="E1131" i="37"/>
  <c r="F1131" i="37" s="1"/>
  <c r="E1130" i="37"/>
  <c r="F1130" i="37" s="1"/>
  <c r="E1129" i="37"/>
  <c r="F1129" i="37" s="1"/>
  <c r="G1126" i="37"/>
  <c r="C1126" i="37"/>
  <c r="B1126" i="37"/>
  <c r="B1123" i="37"/>
  <c r="E1107" i="37"/>
  <c r="F1107" i="37" s="1"/>
  <c r="G1108" i="37" s="1"/>
  <c r="D1099" i="37"/>
  <c r="E1095" i="37"/>
  <c r="F1095" i="37" s="1"/>
  <c r="E1094" i="37"/>
  <c r="F1094" i="37" s="1"/>
  <c r="E1093" i="37"/>
  <c r="F1093" i="37" s="1"/>
  <c r="E1092" i="37"/>
  <c r="F1092" i="37" s="1"/>
  <c r="E1091" i="37"/>
  <c r="F1091" i="37" s="1"/>
  <c r="E1090" i="37"/>
  <c r="F1090" i="37" s="1"/>
  <c r="E1089" i="37"/>
  <c r="F1089" i="37" s="1"/>
  <c r="E1088" i="37"/>
  <c r="F1088" i="37" s="1"/>
  <c r="G1085" i="37"/>
  <c r="C1085" i="37"/>
  <c r="B1085" i="37"/>
  <c r="B1082" i="37"/>
  <c r="E1065" i="37"/>
  <c r="F1065" i="37" s="1"/>
  <c r="G1066" i="37" s="1"/>
  <c r="E1053" i="37"/>
  <c r="F1053" i="37" s="1"/>
  <c r="E1052" i="37"/>
  <c r="F1052" i="37" s="1"/>
  <c r="E1051" i="37"/>
  <c r="F1051" i="37" s="1"/>
  <c r="E1050" i="37"/>
  <c r="F1050" i="37" s="1"/>
  <c r="G1047" i="37"/>
  <c r="C1047" i="37"/>
  <c r="B1047" i="37"/>
  <c r="B1044" i="37"/>
  <c r="E1028" i="37"/>
  <c r="F1028" i="37" s="1"/>
  <c r="G1029" i="37" s="1"/>
  <c r="E1016" i="37"/>
  <c r="F1016" i="37" s="1"/>
  <c r="E1015" i="37"/>
  <c r="F1015" i="37" s="1"/>
  <c r="E1014" i="37"/>
  <c r="F1014" i="37" s="1"/>
  <c r="E1013" i="37"/>
  <c r="F1013" i="37" s="1"/>
  <c r="G1010" i="37"/>
  <c r="C1010" i="37"/>
  <c r="B1010" i="37"/>
  <c r="B1007" i="37"/>
  <c r="E991" i="37"/>
  <c r="F991" i="37" s="1"/>
  <c r="G992" i="37" s="1"/>
  <c r="D983" i="37"/>
  <c r="E979" i="37"/>
  <c r="F979" i="37" s="1"/>
  <c r="E978" i="37"/>
  <c r="F978" i="37" s="1"/>
  <c r="E977" i="37"/>
  <c r="F977" i="37" s="1"/>
  <c r="E976" i="37"/>
  <c r="F976" i="37" s="1"/>
  <c r="G973" i="37"/>
  <c r="C973" i="37"/>
  <c r="B973" i="37"/>
  <c r="B970" i="37"/>
  <c r="E953" i="37"/>
  <c r="F953" i="37" s="1"/>
  <c r="G954" i="37" s="1"/>
  <c r="E949" i="37"/>
  <c r="F949" i="37" s="1"/>
  <c r="E948" i="37"/>
  <c r="F948" i="37" s="1"/>
  <c r="E936" i="37"/>
  <c r="F936" i="37" s="1"/>
  <c r="E935" i="37"/>
  <c r="F935" i="37" s="1"/>
  <c r="E933" i="37"/>
  <c r="F933" i="37" s="1"/>
  <c r="G930" i="37"/>
  <c r="C930" i="37"/>
  <c r="B930" i="37"/>
  <c r="B927" i="37"/>
  <c r="E911" i="37"/>
  <c r="F911" i="37" s="1"/>
  <c r="G912" i="37" s="1"/>
  <c r="E907" i="37"/>
  <c r="F907" i="37" s="1"/>
  <c r="E906" i="37"/>
  <c r="F906" i="37" s="1"/>
  <c r="E905" i="37"/>
  <c r="F905" i="37" s="1"/>
  <c r="E892" i="37"/>
  <c r="F892" i="37" s="1"/>
  <c r="E890" i="37"/>
  <c r="F890" i="37" s="1"/>
  <c r="E889" i="37"/>
  <c r="F889" i="37" s="1"/>
  <c r="E888" i="37"/>
  <c r="F888" i="37" s="1"/>
  <c r="G885" i="37"/>
  <c r="C885" i="37"/>
  <c r="B885" i="37"/>
  <c r="B882" i="37"/>
  <c r="F865" i="37"/>
  <c r="E864" i="37"/>
  <c r="F864" i="37" s="1"/>
  <c r="E852" i="37"/>
  <c r="F852" i="37" s="1"/>
  <c r="G848" i="37"/>
  <c r="C848" i="37"/>
  <c r="B848" i="37"/>
  <c r="B845" i="37"/>
  <c r="F828" i="37"/>
  <c r="E827" i="37"/>
  <c r="F827" i="37" s="1"/>
  <c r="G829" i="37" s="1"/>
  <c r="E815" i="37"/>
  <c r="F815" i="37" s="1"/>
  <c r="E814" i="37"/>
  <c r="F814" i="37" s="1"/>
  <c r="G811" i="37"/>
  <c r="C811" i="37"/>
  <c r="B811" i="37"/>
  <c r="B808" i="37"/>
  <c r="F791" i="37"/>
  <c r="G792" i="37" s="1"/>
  <c r="E779" i="37"/>
  <c r="F779" i="37" s="1"/>
  <c r="E778" i="37"/>
  <c r="F778" i="37" s="1"/>
  <c r="E777" i="37"/>
  <c r="F777" i="37" s="1"/>
  <c r="G773" i="37"/>
  <c r="C773" i="37"/>
  <c r="B773" i="37"/>
  <c r="B770" i="37"/>
  <c r="E754" i="37"/>
  <c r="F754" i="37" s="1"/>
  <c r="E753" i="37"/>
  <c r="F753" i="37" s="1"/>
  <c r="E752" i="37"/>
  <c r="F752" i="37" s="1"/>
  <c r="E740" i="37"/>
  <c r="F740" i="37" s="1"/>
  <c r="G736" i="37"/>
  <c r="C736" i="37"/>
  <c r="B736" i="37"/>
  <c r="B733" i="37"/>
  <c r="F717" i="37"/>
  <c r="G718" i="37" s="1"/>
  <c r="D705" i="37"/>
  <c r="G702" i="37"/>
  <c r="C702" i="37"/>
  <c r="B702" i="37"/>
  <c r="B699" i="37"/>
  <c r="E683" i="37"/>
  <c r="F683" i="37" s="1"/>
  <c r="E682" i="37"/>
  <c r="F682" i="37" s="1"/>
  <c r="G667" i="37"/>
  <c r="C667" i="37"/>
  <c r="B667" i="37"/>
  <c r="B664" i="37"/>
  <c r="F648" i="37"/>
  <c r="G649" i="37" s="1"/>
  <c r="E644" i="37"/>
  <c r="F644" i="37" s="1"/>
  <c r="F643" i="37"/>
  <c r="E641" i="37"/>
  <c r="F641" i="37" s="1"/>
  <c r="E640" i="37"/>
  <c r="F640" i="37" s="1"/>
  <c r="E639" i="37"/>
  <c r="F639" i="37" s="1"/>
  <c r="E627" i="37"/>
  <c r="F627" i="37" s="1"/>
  <c r="E626" i="37"/>
  <c r="F626" i="37" s="1"/>
  <c r="E625" i="37"/>
  <c r="F625" i="37" s="1"/>
  <c r="E623" i="37"/>
  <c r="F623" i="37" s="1"/>
  <c r="E622" i="37"/>
  <c r="F622" i="37" s="1"/>
  <c r="E620" i="37"/>
  <c r="F620" i="37" s="1"/>
  <c r="G616" i="37"/>
  <c r="C616" i="37"/>
  <c r="B616" i="37"/>
  <c r="B613" i="37"/>
  <c r="F597" i="37"/>
  <c r="G598" i="37" s="1"/>
  <c r="E581" i="37"/>
  <c r="F581" i="37" s="1"/>
  <c r="E580" i="37"/>
  <c r="F580" i="37" s="1"/>
  <c r="E578" i="37"/>
  <c r="F578" i="37" s="1"/>
  <c r="E577" i="37"/>
  <c r="F577" i="37" s="1"/>
  <c r="D576" i="37"/>
  <c r="G573" i="37"/>
  <c r="C573" i="37"/>
  <c r="B573" i="37"/>
  <c r="B571" i="37"/>
  <c r="F555" i="37"/>
  <c r="G556" i="37" s="1"/>
  <c r="E551" i="37"/>
  <c r="F551" i="37" s="1"/>
  <c r="E538" i="37"/>
  <c r="F538" i="37" s="1"/>
  <c r="E537" i="37"/>
  <c r="F537" i="37" s="1"/>
  <c r="E535" i="37"/>
  <c r="F535" i="37" s="1"/>
  <c r="G531" i="37"/>
  <c r="C531" i="37"/>
  <c r="B531" i="37"/>
  <c r="B528" i="37"/>
  <c r="F511" i="37"/>
  <c r="D510" i="37"/>
  <c r="E506" i="37"/>
  <c r="F506" i="37" s="1"/>
  <c r="E505" i="37"/>
  <c r="F505" i="37" s="1"/>
  <c r="G494" i="37"/>
  <c r="C494" i="37"/>
  <c r="B494" i="37"/>
  <c r="B491" i="37"/>
  <c r="F475" i="37"/>
  <c r="G463" i="37"/>
  <c r="C463" i="37"/>
  <c r="B463" i="37"/>
  <c r="B460" i="37"/>
  <c r="F444" i="37"/>
  <c r="E439" i="37"/>
  <c r="F439" i="37" s="1"/>
  <c r="E438" i="37"/>
  <c r="F438" i="37" s="1"/>
  <c r="E437" i="37"/>
  <c r="F437" i="37" s="1"/>
  <c r="E436" i="37"/>
  <c r="F436" i="37" s="1"/>
  <c r="G425" i="37"/>
  <c r="C425" i="37"/>
  <c r="B425" i="37"/>
  <c r="B422" i="37"/>
  <c r="E401" i="37"/>
  <c r="F401" i="37" s="1"/>
  <c r="G402" i="37" s="1"/>
  <c r="G390" i="37"/>
  <c r="C390" i="37"/>
  <c r="B390" i="37"/>
  <c r="B387" i="37"/>
  <c r="E365" i="37"/>
  <c r="F365" i="37" s="1"/>
  <c r="G366" i="37" s="1"/>
  <c r="G354" i="37"/>
  <c r="C354" i="37"/>
  <c r="B354" i="37"/>
  <c r="B351" i="37"/>
  <c r="F333" i="37"/>
  <c r="G322" i="37"/>
  <c r="C322" i="37"/>
  <c r="B322" i="37"/>
  <c r="B319" i="37"/>
  <c r="E299" i="37"/>
  <c r="F299" i="37" s="1"/>
  <c r="E298" i="37"/>
  <c r="F298" i="37" s="1"/>
  <c r="D294" i="37"/>
  <c r="G287" i="37"/>
  <c r="C287" i="37"/>
  <c r="B287" i="37"/>
  <c r="B284" i="37"/>
  <c r="E264" i="37"/>
  <c r="F264" i="37" s="1"/>
  <c r="G265" i="37" s="1"/>
  <c r="G253" i="37"/>
  <c r="C253" i="37"/>
  <c r="B253" i="37"/>
  <c r="B250" i="37"/>
  <c r="E230" i="37"/>
  <c r="F230" i="37" s="1"/>
  <c r="E229" i="37"/>
  <c r="F229" i="37" s="1"/>
  <c r="G218" i="37"/>
  <c r="C218" i="37"/>
  <c r="B218" i="37"/>
  <c r="B215" i="37"/>
  <c r="F199" i="37"/>
  <c r="G187" i="37"/>
  <c r="C187" i="37"/>
  <c r="B187" i="37"/>
  <c r="B184" i="37"/>
  <c r="E167" i="37"/>
  <c r="F167" i="37" s="1"/>
  <c r="G168" i="37" s="1"/>
  <c r="E163" i="37"/>
  <c r="F163" i="37" s="1"/>
  <c r="G164" i="37" s="1"/>
  <c r="G156" i="37"/>
  <c r="C156" i="37"/>
  <c r="B156" i="37"/>
  <c r="B153" i="37"/>
  <c r="F135" i="37"/>
  <c r="G123" i="37"/>
  <c r="C123" i="37"/>
  <c r="B123" i="37"/>
  <c r="B120" i="37"/>
  <c r="E91" i="37"/>
  <c r="F91" i="37" s="1"/>
  <c r="G92" i="37" s="1"/>
  <c r="G88" i="37"/>
  <c r="C88" i="37"/>
  <c r="B88" i="37"/>
  <c r="B85" i="37"/>
  <c r="E65" i="37"/>
  <c r="F65" i="37" s="1"/>
  <c r="G66" i="37" s="1"/>
  <c r="G54" i="37"/>
  <c r="C54" i="37"/>
  <c r="B54" i="37"/>
  <c r="B51" i="37"/>
  <c r="E21" i="37"/>
  <c r="F21" i="37" s="1"/>
  <c r="E20" i="37"/>
  <c r="F20" i="37" s="1"/>
  <c r="G16" i="37"/>
  <c r="C16" i="37"/>
  <c r="B13" i="37"/>
  <c r="H43" i="48" l="1"/>
  <c r="D9" i="45"/>
  <c r="D10" i="45" s="1"/>
  <c r="D11" i="45" s="1"/>
  <c r="D13" i="45" s="1"/>
  <c r="G1401" i="37"/>
  <c r="G1937" i="37"/>
  <c r="G1582" i="37"/>
  <c r="G1618" i="37"/>
  <c r="G33" i="48"/>
  <c r="G1523" i="37"/>
  <c r="G866" i="37"/>
  <c r="G1444" i="37"/>
  <c r="G1719" i="37"/>
  <c r="G1361" i="37"/>
  <c r="G1510" i="37"/>
  <c r="G1559" i="37"/>
  <c r="G2019" i="37"/>
  <c r="G2246" i="37"/>
  <c r="G2419" i="37"/>
  <c r="F32" i="43"/>
  <c r="G1546" i="37"/>
  <c r="G1595" i="37"/>
  <c r="G1670" i="37"/>
  <c r="G1978" i="37"/>
  <c r="F30" i="39"/>
  <c r="F31" i="43"/>
  <c r="G1272" i="37"/>
  <c r="G2001" i="37"/>
  <c r="H21" i="38"/>
  <c r="G30" i="46"/>
  <c r="G2414" i="37"/>
  <c r="G30" i="49"/>
  <c r="G1017" i="37"/>
  <c r="H40" i="49"/>
  <c r="G34" i="48"/>
  <c r="G32" i="48"/>
  <c r="G980" i="37"/>
  <c r="G1133" i="37"/>
  <c r="G1169" i="37"/>
  <c r="G1179" i="37" s="1"/>
  <c r="C1177" i="37" s="1"/>
  <c r="G1917" i="37"/>
  <c r="G2361" i="37"/>
  <c r="F31" i="39"/>
  <c r="G31" i="46"/>
  <c r="G1802" i="37"/>
  <c r="G32" i="46"/>
  <c r="G2283" i="37"/>
  <c r="F30" i="43"/>
  <c r="G231" i="37"/>
  <c r="G755" i="37"/>
  <c r="G908" i="37"/>
  <c r="G1973" i="37"/>
  <c r="G2014" i="37"/>
  <c r="G300" i="37"/>
  <c r="G684" i="37"/>
  <c r="G1932" i="37"/>
  <c r="G1889" i="37"/>
  <c r="G2288" i="37"/>
  <c r="G2321" i="37"/>
  <c r="H23" i="46"/>
  <c r="G23" i="39"/>
  <c r="G1096" i="37"/>
  <c r="G1237" i="37"/>
  <c r="G1657" i="37"/>
  <c r="G1960" i="37"/>
  <c r="G816" i="37"/>
  <c r="G440" i="37"/>
  <c r="G507" i="37"/>
  <c r="G950" i="37"/>
  <c r="G1054" i="37"/>
  <c r="G1487" i="37"/>
  <c r="G1759" i="37"/>
  <c r="G2086" i="37"/>
  <c r="C2080" i="37" s="1"/>
  <c r="G2112" i="37"/>
  <c r="G2204" i="37"/>
  <c r="G2241" i="37"/>
  <c r="F37" i="46" l="1"/>
  <c r="G37" i="46" s="1"/>
  <c r="H38" i="46" s="1"/>
  <c r="C2076" i="37"/>
  <c r="C2084" i="37"/>
  <c r="C1173" i="37"/>
  <c r="C1169" i="37"/>
  <c r="E9" i="14" l="1"/>
  <c r="A1" i="14" l="1"/>
  <c r="B2" i="45" s="1"/>
  <c r="A1" i="1"/>
  <c r="A1" i="9"/>
  <c r="A1" i="12"/>
  <c r="E27" i="9"/>
  <c r="E25" i="9"/>
  <c r="E24" i="9"/>
  <c r="D46" i="1"/>
  <c r="E77" i="1"/>
  <c r="F77" i="1" s="1"/>
  <c r="B73" i="10"/>
  <c r="B72" i="10"/>
  <c r="A2" i="59" l="1"/>
  <c r="A2" i="58"/>
  <c r="F19" i="55"/>
  <c r="G19" i="55" s="1"/>
  <c r="H21" i="55" s="1"/>
  <c r="E851" i="37"/>
  <c r="F851" i="37" s="1"/>
  <c r="G853" i="37" s="1"/>
  <c r="C1781" i="37"/>
  <c r="C1738" i="37"/>
  <c r="D135" i="1" l="1"/>
  <c r="E1696" i="37" s="1"/>
  <c r="F1696" i="37" s="1"/>
  <c r="G1701" i="37" s="1"/>
  <c r="D128" i="1"/>
  <c r="E1307" i="37" s="1"/>
  <c r="F1307" i="37" s="1"/>
  <c r="D126" i="1"/>
  <c r="E1305" i="37" s="1"/>
  <c r="F1305" i="37" s="1"/>
  <c r="G1308" i="37" l="1"/>
  <c r="D125" i="1"/>
  <c r="E2150" i="37" s="1"/>
  <c r="F2150" i="37" s="1"/>
  <c r="G2151" i="37" s="1"/>
  <c r="E9" i="10" l="1"/>
  <c r="F9" i="10" s="1"/>
  <c r="D40" i="1"/>
  <c r="F21" i="56" l="1"/>
  <c r="G21" i="56" s="1"/>
  <c r="G20" i="52"/>
  <c r="F20" i="51"/>
  <c r="E621" i="37"/>
  <c r="F621" i="37" s="1"/>
  <c r="E536" i="37"/>
  <c r="F536" i="37" s="1"/>
  <c r="D103" i="1"/>
  <c r="E1742" i="37" l="1"/>
  <c r="F1742" i="37" s="1"/>
  <c r="G1746" i="37" s="1"/>
  <c r="E1785" i="37"/>
  <c r="F1785" i="37" s="1"/>
  <c r="G1789" i="37" s="1"/>
  <c r="D89" i="1"/>
  <c r="E1466" i="37" l="1"/>
  <c r="F1466" i="37" s="1"/>
  <c r="G1474" i="37" s="1"/>
  <c r="E1424" i="37"/>
  <c r="F1424" i="37" s="1"/>
  <c r="G1431" i="37" s="1"/>
  <c r="D62" i="1"/>
  <c r="E934" i="37" s="1"/>
  <c r="F934" i="37" s="1"/>
  <c r="G937" i="37" s="1"/>
  <c r="E46" i="10" l="1"/>
  <c r="F46" i="10" s="1"/>
  <c r="D49" i="1" l="1"/>
  <c r="E891" i="37" s="1"/>
  <c r="F891" i="37" s="1"/>
  <c r="G893" i="37" s="1"/>
  <c r="C18" i="14" l="1"/>
  <c r="F34" i="51" l="1"/>
  <c r="G34" i="51" s="1"/>
  <c r="G29" i="53"/>
  <c r="F31" i="56"/>
  <c r="G31" i="56" s="1"/>
  <c r="E550" i="37"/>
  <c r="F550" i="37" s="1"/>
  <c r="G552" i="37" s="1"/>
  <c r="E642" i="37"/>
  <c r="F642" i="37" s="1"/>
  <c r="G645" i="37" s="1"/>
  <c r="E593" i="37"/>
  <c r="F593" i="37" s="1"/>
  <c r="G594" i="37" s="1"/>
  <c r="E579" i="37"/>
  <c r="F579" i="37" s="1"/>
  <c r="D19" i="1"/>
  <c r="D6" i="12"/>
  <c r="E19" i="37" l="1"/>
  <c r="F19" i="37" s="1"/>
  <c r="G10" i="5" l="1"/>
  <c r="N8" i="5"/>
  <c r="N9" i="5"/>
  <c r="N10" i="5"/>
  <c r="M8" i="5"/>
  <c r="M9" i="5"/>
  <c r="M10" i="5"/>
  <c r="L8" i="5"/>
  <c r="L9" i="5"/>
  <c r="L10" i="5"/>
  <c r="K8" i="5"/>
  <c r="K9" i="5"/>
  <c r="K10" i="5"/>
  <c r="J8" i="5"/>
  <c r="J9" i="5"/>
  <c r="J10" i="5"/>
  <c r="H8" i="5"/>
  <c r="G8" i="5"/>
  <c r="N7" i="5"/>
  <c r="M7" i="5"/>
  <c r="L7" i="5"/>
  <c r="K7" i="5"/>
  <c r="J7" i="5"/>
  <c r="H7" i="5"/>
  <c r="G7" i="5"/>
  <c r="G9" i="5"/>
  <c r="I7" i="15"/>
  <c r="M7" i="15" s="1"/>
  <c r="I8" i="15"/>
  <c r="I9" i="15"/>
  <c r="I10" i="15"/>
  <c r="I11" i="15"/>
  <c r="M11" i="15" s="1"/>
  <c r="I12" i="15"/>
  <c r="M12" i="15" s="1"/>
  <c r="I13" i="15"/>
  <c r="M13" i="15" s="1"/>
  <c r="I14" i="15"/>
  <c r="M14" i="15" s="1"/>
  <c r="I15" i="15"/>
  <c r="M15" i="15" s="1"/>
  <c r="I16" i="15"/>
  <c r="M16" i="15" s="1"/>
  <c r="I17" i="15"/>
  <c r="M17" i="15" s="1"/>
  <c r="I18" i="15"/>
  <c r="M18" i="15" s="1"/>
  <c r="I19" i="15"/>
  <c r="M19" i="15" s="1"/>
  <c r="I20" i="15"/>
  <c r="M20" i="15" s="1"/>
  <c r="I21" i="15"/>
  <c r="M21" i="15" s="1"/>
  <c r="I22" i="15"/>
  <c r="M22" i="15" s="1"/>
  <c r="I23" i="15"/>
  <c r="M23" i="15" s="1"/>
  <c r="I24" i="15"/>
  <c r="I25" i="15"/>
  <c r="I26" i="15"/>
  <c r="O26" i="15" s="1"/>
  <c r="I27" i="15"/>
  <c r="O27" i="15" s="1"/>
  <c r="I28" i="15"/>
  <c r="M28" i="15" s="1"/>
  <c r="I29" i="15"/>
  <c r="M29" i="15" s="1"/>
  <c r="I30" i="15"/>
  <c r="M30" i="15" s="1"/>
  <c r="I31" i="15"/>
  <c r="M31" i="15" s="1"/>
  <c r="I32" i="15"/>
  <c r="M32" i="15" s="1"/>
  <c r="I33" i="15"/>
  <c r="M33" i="15" s="1"/>
  <c r="I34" i="15"/>
  <c r="M34" i="15" s="1"/>
  <c r="I35" i="15"/>
  <c r="M35" i="15" s="1"/>
  <c r="I36" i="15"/>
  <c r="M36" i="15" s="1"/>
  <c r="I37" i="15"/>
  <c r="M37" i="15" s="1"/>
  <c r="I38" i="15"/>
  <c r="M38" i="15" s="1"/>
  <c r="I39" i="15"/>
  <c r="M39" i="15" s="1"/>
  <c r="I40" i="15"/>
  <c r="I41" i="15"/>
  <c r="I42" i="15"/>
  <c r="I43" i="15"/>
  <c r="M43" i="15" s="1"/>
  <c r="I44" i="15"/>
  <c r="M44" i="15" s="1"/>
  <c r="I45" i="15"/>
  <c r="M45" i="15" s="1"/>
  <c r="I46" i="15"/>
  <c r="M46" i="15" s="1"/>
  <c r="I47" i="15"/>
  <c r="M47" i="15" s="1"/>
  <c r="I48" i="15"/>
  <c r="M48" i="15" s="1"/>
  <c r="I49" i="15"/>
  <c r="M49" i="15" s="1"/>
  <c r="I50" i="15"/>
  <c r="M50" i="15" s="1"/>
  <c r="I51" i="15"/>
  <c r="M51" i="15" s="1"/>
  <c r="I52" i="15"/>
  <c r="M52" i="15" s="1"/>
  <c r="I53" i="15"/>
  <c r="M53" i="15" s="1"/>
  <c r="I54" i="15"/>
  <c r="M54" i="15" s="1"/>
  <c r="I55" i="15"/>
  <c r="M55" i="15" s="1"/>
  <c r="I56" i="15"/>
  <c r="I57" i="15"/>
  <c r="I58" i="15"/>
  <c r="O58" i="15" s="1"/>
  <c r="I59" i="15"/>
  <c r="O59" i="15" s="1"/>
  <c r="I60" i="15"/>
  <c r="M60" i="15" s="1"/>
  <c r="I61" i="15"/>
  <c r="M61" i="15" s="1"/>
  <c r="I62" i="15"/>
  <c r="M62" i="15" s="1"/>
  <c r="I63" i="15"/>
  <c r="M63" i="15" s="1"/>
  <c r="I64" i="15"/>
  <c r="M64" i="15" s="1"/>
  <c r="I65" i="15"/>
  <c r="M65" i="15" s="1"/>
  <c r="I66" i="15"/>
  <c r="M66" i="15" s="1"/>
  <c r="I67" i="15"/>
  <c r="M67" i="15" s="1"/>
  <c r="I68" i="15"/>
  <c r="M68" i="15" s="1"/>
  <c r="I69" i="15"/>
  <c r="M69" i="15" s="1"/>
  <c r="I70" i="15"/>
  <c r="M70" i="15" s="1"/>
  <c r="I71" i="15"/>
  <c r="M71" i="15" s="1"/>
  <c r="I72" i="15"/>
  <c r="I73" i="15"/>
  <c r="I74" i="15"/>
  <c r="I75" i="15"/>
  <c r="O75" i="15" s="1"/>
  <c r="I76" i="15"/>
  <c r="M76" i="15" s="1"/>
  <c r="I77" i="15"/>
  <c r="M77" i="15" s="1"/>
  <c r="I78" i="15"/>
  <c r="M78" i="15" s="1"/>
  <c r="I79" i="15"/>
  <c r="M79" i="15" s="1"/>
  <c r="I80" i="15"/>
  <c r="M80" i="15" s="1"/>
  <c r="I81" i="15"/>
  <c r="M81" i="15" s="1"/>
  <c r="I82" i="15"/>
  <c r="M82" i="15" s="1"/>
  <c r="I83" i="15"/>
  <c r="M83" i="15" s="1"/>
  <c r="I84" i="15"/>
  <c r="M84" i="15" s="1"/>
  <c r="I85" i="15"/>
  <c r="M85" i="15" s="1"/>
  <c r="I86" i="15"/>
  <c r="M86" i="15" s="1"/>
  <c r="I87" i="15"/>
  <c r="M87" i="15" s="1"/>
  <c r="I88" i="15"/>
  <c r="I89" i="15"/>
  <c r="I90" i="15"/>
  <c r="O90" i="15" s="1"/>
  <c r="I91" i="15"/>
  <c r="M91" i="15" s="1"/>
  <c r="I92" i="15"/>
  <c r="M92" i="15" s="1"/>
  <c r="I93" i="15"/>
  <c r="M93" i="15" s="1"/>
  <c r="I94" i="15"/>
  <c r="M94" i="15" s="1"/>
  <c r="I95" i="15"/>
  <c r="M95" i="15" s="1"/>
  <c r="I96" i="15"/>
  <c r="M96" i="15" s="1"/>
  <c r="I97" i="15"/>
  <c r="M97" i="15" s="1"/>
  <c r="I98" i="15"/>
  <c r="M98" i="15" s="1"/>
  <c r="I99" i="15"/>
  <c r="M99" i="15" s="1"/>
  <c r="I100" i="15"/>
  <c r="M100" i="15" s="1"/>
  <c r="I101" i="15"/>
  <c r="M101" i="15" s="1"/>
  <c r="I102" i="15"/>
  <c r="M102" i="15" s="1"/>
  <c r="I103" i="15"/>
  <c r="M103" i="15" s="1"/>
  <c r="I6" i="15"/>
  <c r="G7" i="15"/>
  <c r="H7" i="15" s="1"/>
  <c r="G8" i="15"/>
  <c r="H8" i="15" s="1"/>
  <c r="G9" i="15"/>
  <c r="H9" i="15" s="1"/>
  <c r="G10" i="15"/>
  <c r="H10" i="15" s="1"/>
  <c r="L10" i="15" s="1"/>
  <c r="G11" i="15"/>
  <c r="H11" i="15" s="1"/>
  <c r="L11" i="15" s="1"/>
  <c r="G12" i="15"/>
  <c r="H12" i="15" s="1"/>
  <c r="N12" i="15" s="1"/>
  <c r="G13" i="15"/>
  <c r="H13" i="15" s="1"/>
  <c r="L13" i="15" s="1"/>
  <c r="G14" i="15"/>
  <c r="H14" i="15" s="1"/>
  <c r="L14" i="15" s="1"/>
  <c r="G15" i="15"/>
  <c r="H15" i="15" s="1"/>
  <c r="L15" i="15" s="1"/>
  <c r="G16" i="15"/>
  <c r="H16" i="15" s="1"/>
  <c r="N16" i="15" s="1"/>
  <c r="G17" i="15"/>
  <c r="H17" i="15" s="1"/>
  <c r="N17" i="15" s="1"/>
  <c r="G18" i="15"/>
  <c r="H18" i="15" s="1"/>
  <c r="N18" i="15" s="1"/>
  <c r="G19" i="15"/>
  <c r="H19" i="15" s="1"/>
  <c r="L19" i="15" s="1"/>
  <c r="G20" i="15"/>
  <c r="H20" i="15" s="1"/>
  <c r="L20" i="15" s="1"/>
  <c r="G21" i="15"/>
  <c r="H21" i="15" s="1"/>
  <c r="L21" i="15" s="1"/>
  <c r="G22" i="15"/>
  <c r="H22" i="15" s="1"/>
  <c r="L22" i="15" s="1"/>
  <c r="G23" i="15"/>
  <c r="H23" i="15" s="1"/>
  <c r="N23" i="15" s="1"/>
  <c r="G24" i="15"/>
  <c r="H24" i="15" s="1"/>
  <c r="G25" i="15"/>
  <c r="H25" i="15" s="1"/>
  <c r="G26" i="15"/>
  <c r="H26" i="15" s="1"/>
  <c r="L26" i="15" s="1"/>
  <c r="G27" i="15"/>
  <c r="H27" i="15" s="1"/>
  <c r="L27" i="15" s="1"/>
  <c r="G28" i="15"/>
  <c r="H28" i="15" s="1"/>
  <c r="L28" i="15" s="1"/>
  <c r="G29" i="15"/>
  <c r="H29" i="15" s="1"/>
  <c r="N29" i="15" s="1"/>
  <c r="G30" i="15"/>
  <c r="H30" i="15" s="1"/>
  <c r="L30" i="15" s="1"/>
  <c r="G31" i="15"/>
  <c r="H31" i="15" s="1"/>
  <c r="L31" i="15" s="1"/>
  <c r="G32" i="15"/>
  <c r="H32" i="15" s="1"/>
  <c r="L32" i="15" s="1"/>
  <c r="G33" i="15"/>
  <c r="H33" i="15" s="1"/>
  <c r="L33" i="15" s="1"/>
  <c r="G34" i="15"/>
  <c r="H34" i="15" s="1"/>
  <c r="L34" i="15" s="1"/>
  <c r="G35" i="15"/>
  <c r="H35" i="15" s="1"/>
  <c r="L35" i="15" s="1"/>
  <c r="G36" i="15"/>
  <c r="H36" i="15" s="1"/>
  <c r="G37" i="15"/>
  <c r="H37" i="15" s="1"/>
  <c r="L37" i="15" s="1"/>
  <c r="G38" i="15"/>
  <c r="H38" i="15" s="1"/>
  <c r="L38" i="15" s="1"/>
  <c r="G39" i="15"/>
  <c r="H39" i="15" s="1"/>
  <c r="G40" i="15"/>
  <c r="H40" i="15" s="1"/>
  <c r="G41" i="15"/>
  <c r="H41" i="15" s="1"/>
  <c r="G42" i="15"/>
  <c r="H42" i="15" s="1"/>
  <c r="L42" i="15" s="1"/>
  <c r="G43" i="15"/>
  <c r="H43" i="15" s="1"/>
  <c r="L43" i="15" s="1"/>
  <c r="G44" i="15"/>
  <c r="H44" i="15" s="1"/>
  <c r="N44" i="15" s="1"/>
  <c r="G45" i="15"/>
  <c r="H45" i="15" s="1"/>
  <c r="N45" i="15" s="1"/>
  <c r="G46" i="15"/>
  <c r="H46" i="15" s="1"/>
  <c r="N46" i="15" s="1"/>
  <c r="G47" i="15"/>
  <c r="H47" i="15" s="1"/>
  <c r="L47" i="15" s="1"/>
  <c r="G48" i="15"/>
  <c r="H48" i="15" s="1"/>
  <c r="L48" i="15" s="1"/>
  <c r="G49" i="15"/>
  <c r="H49" i="15" s="1"/>
  <c r="N49" i="15" s="1"/>
  <c r="G50" i="15"/>
  <c r="H50" i="15" s="1"/>
  <c r="N50" i="15" s="1"/>
  <c r="G51" i="15"/>
  <c r="H51" i="15" s="1"/>
  <c r="L51" i="15" s="1"/>
  <c r="G52" i="15"/>
  <c r="H52" i="15" s="1"/>
  <c r="L52" i="15" s="1"/>
  <c r="G53" i="15"/>
  <c r="H53" i="15" s="1"/>
  <c r="L53" i="15" s="1"/>
  <c r="G54" i="15"/>
  <c r="H54" i="15" s="1"/>
  <c r="L54" i="15" s="1"/>
  <c r="G55" i="15"/>
  <c r="H55" i="15" s="1"/>
  <c r="N55" i="15" s="1"/>
  <c r="G56" i="15"/>
  <c r="H56" i="15" s="1"/>
  <c r="G57" i="15"/>
  <c r="H57" i="15" s="1"/>
  <c r="G58" i="15"/>
  <c r="H58" i="15" s="1"/>
  <c r="L58" i="15" s="1"/>
  <c r="G59" i="15"/>
  <c r="H59" i="15" s="1"/>
  <c r="L59" i="15" s="1"/>
  <c r="G60" i="15"/>
  <c r="H60" i="15" s="1"/>
  <c r="L60" i="15" s="1"/>
  <c r="G61" i="15"/>
  <c r="H61" i="15" s="1"/>
  <c r="L61" i="15" s="1"/>
  <c r="G62" i="15"/>
  <c r="H62" i="15" s="1"/>
  <c r="L62" i="15" s="1"/>
  <c r="G63" i="15"/>
  <c r="H63" i="15" s="1"/>
  <c r="L63" i="15" s="1"/>
  <c r="G64" i="15"/>
  <c r="H64" i="15" s="1"/>
  <c r="L64" i="15" s="1"/>
  <c r="G65" i="15"/>
  <c r="H65" i="15" s="1"/>
  <c r="L65" i="15" s="1"/>
  <c r="G66" i="15"/>
  <c r="H66" i="15" s="1"/>
  <c r="L66" i="15" s="1"/>
  <c r="G67" i="15"/>
  <c r="H67" i="15" s="1"/>
  <c r="L67" i="15" s="1"/>
  <c r="G68" i="15"/>
  <c r="H68" i="15" s="1"/>
  <c r="L68" i="15" s="1"/>
  <c r="G69" i="15"/>
  <c r="H69" i="15" s="1"/>
  <c r="L69" i="15" s="1"/>
  <c r="G70" i="15"/>
  <c r="H70" i="15" s="1"/>
  <c r="L70" i="15" s="1"/>
  <c r="G71" i="15"/>
  <c r="H71" i="15" s="1"/>
  <c r="G72" i="15"/>
  <c r="H72" i="15" s="1"/>
  <c r="G73" i="15"/>
  <c r="H73" i="15" s="1"/>
  <c r="G74" i="15"/>
  <c r="H74" i="15" s="1"/>
  <c r="L74" i="15" s="1"/>
  <c r="G75" i="15"/>
  <c r="H75" i="15" s="1"/>
  <c r="L75" i="15" s="1"/>
  <c r="G76" i="15"/>
  <c r="H76" i="15" s="1"/>
  <c r="L76" i="15" s="1"/>
  <c r="G77" i="15"/>
  <c r="H77" i="15" s="1"/>
  <c r="L77" i="15" s="1"/>
  <c r="G78" i="15"/>
  <c r="H78" i="15" s="1"/>
  <c r="L78" i="15" s="1"/>
  <c r="G79" i="15"/>
  <c r="H79" i="15" s="1"/>
  <c r="L79" i="15" s="1"/>
  <c r="G80" i="15"/>
  <c r="H80" i="15" s="1"/>
  <c r="L80" i="15" s="1"/>
  <c r="G81" i="15"/>
  <c r="H81" i="15" s="1"/>
  <c r="N81" i="15" s="1"/>
  <c r="G82" i="15"/>
  <c r="H82" i="15" s="1"/>
  <c r="L82" i="15" s="1"/>
  <c r="G83" i="15"/>
  <c r="H83" i="15" s="1"/>
  <c r="L83" i="15" s="1"/>
  <c r="G84" i="15"/>
  <c r="H84" i="15" s="1"/>
  <c r="L84" i="15" s="1"/>
  <c r="G85" i="15"/>
  <c r="H85" i="15" s="1"/>
  <c r="L85" i="15" s="1"/>
  <c r="G86" i="15"/>
  <c r="H86" i="15" s="1"/>
  <c r="L86" i="15" s="1"/>
  <c r="G87" i="15"/>
  <c r="H87" i="15" s="1"/>
  <c r="G88" i="15"/>
  <c r="H88" i="15" s="1"/>
  <c r="G89" i="15"/>
  <c r="H89" i="15" s="1"/>
  <c r="G90" i="15"/>
  <c r="H90" i="15" s="1"/>
  <c r="L90" i="15" s="1"/>
  <c r="G91" i="15"/>
  <c r="H91" i="15" s="1"/>
  <c r="L91" i="15" s="1"/>
  <c r="G92" i="15"/>
  <c r="H92" i="15" s="1"/>
  <c r="L92" i="15" s="1"/>
  <c r="G93" i="15"/>
  <c r="H93" i="15" s="1"/>
  <c r="L93" i="15" s="1"/>
  <c r="G94" i="15"/>
  <c r="H94" i="15" s="1"/>
  <c r="L94" i="15" s="1"/>
  <c r="G95" i="15"/>
  <c r="H95" i="15" s="1"/>
  <c r="L95" i="15" s="1"/>
  <c r="G96" i="15"/>
  <c r="H96" i="15" s="1"/>
  <c r="L96" i="15" s="1"/>
  <c r="G97" i="15"/>
  <c r="H97" i="15" s="1"/>
  <c r="L97" i="15" s="1"/>
  <c r="G98" i="15"/>
  <c r="H98" i="15" s="1"/>
  <c r="L98" i="15" s="1"/>
  <c r="G99" i="15"/>
  <c r="H99" i="15" s="1"/>
  <c r="L99" i="15" s="1"/>
  <c r="G100" i="15"/>
  <c r="H100" i="15" s="1"/>
  <c r="N100" i="15" s="1"/>
  <c r="G101" i="15"/>
  <c r="H101" i="15" s="1"/>
  <c r="L101" i="15" s="1"/>
  <c r="G102" i="15"/>
  <c r="H102" i="15" s="1"/>
  <c r="L102" i="15" s="1"/>
  <c r="G103" i="15"/>
  <c r="H103" i="15" s="1"/>
  <c r="G6" i="15"/>
  <c r="H6" i="15" s="1"/>
  <c r="A1" i="15"/>
  <c r="C1" i="5"/>
  <c r="A11" i="5"/>
  <c r="L81" i="15" l="1"/>
  <c r="N79" i="15"/>
  <c r="N31" i="15"/>
  <c r="H11" i="5"/>
  <c r="O63" i="15"/>
  <c r="O17" i="15"/>
  <c r="N80" i="15"/>
  <c r="N32" i="15"/>
  <c r="O67" i="15"/>
  <c r="O19" i="15"/>
  <c r="N76" i="15"/>
  <c r="N28" i="15"/>
  <c r="O51" i="15"/>
  <c r="O16" i="15"/>
  <c r="N75" i="15"/>
  <c r="N27" i="15"/>
  <c r="O47" i="15"/>
  <c r="O15" i="15"/>
  <c r="N59" i="15"/>
  <c r="O84" i="15"/>
  <c r="O43" i="15"/>
  <c r="M75" i="15"/>
  <c r="N51" i="15"/>
  <c r="O83" i="15"/>
  <c r="O35" i="15"/>
  <c r="N92" i="15"/>
  <c r="N48" i="15"/>
  <c r="O80" i="15"/>
  <c r="O31" i="15"/>
  <c r="N83" i="15"/>
  <c r="N47" i="15"/>
  <c r="O79" i="15"/>
  <c r="O20" i="15"/>
  <c r="L50" i="15"/>
  <c r="L46" i="15"/>
  <c r="N98" i="15"/>
  <c r="O102" i="15"/>
  <c r="O98" i="15"/>
  <c r="L49" i="15"/>
  <c r="L45" i="15"/>
  <c r="M90" i="15"/>
  <c r="N97" i="15"/>
  <c r="O101" i="15"/>
  <c r="O97" i="15"/>
  <c r="O54" i="15"/>
  <c r="O50" i="15"/>
  <c r="O38" i="15"/>
  <c r="O34" i="15"/>
  <c r="K11" i="5"/>
  <c r="L44" i="15"/>
  <c r="N96" i="15"/>
  <c r="N82" i="15"/>
  <c r="N78" i="15"/>
  <c r="N61" i="15"/>
  <c r="N30" i="15"/>
  <c r="N14" i="15"/>
  <c r="O100" i="15"/>
  <c r="O96" i="15"/>
  <c r="O82" i="15"/>
  <c r="O53" i="15"/>
  <c r="O37" i="15"/>
  <c r="O33" i="15"/>
  <c r="L29" i="15"/>
  <c r="M59" i="15"/>
  <c r="N95" i="15"/>
  <c r="N77" i="15"/>
  <c r="N60" i="15"/>
  <c r="N33" i="15"/>
  <c r="N11" i="15"/>
  <c r="O99" i="15"/>
  <c r="O95" i="15"/>
  <c r="O81" i="15"/>
  <c r="O64" i="15"/>
  <c r="O52" i="15"/>
  <c r="O44" i="15"/>
  <c r="O36" i="15"/>
  <c r="O32" i="15"/>
  <c r="O18" i="15"/>
  <c r="N58" i="15"/>
  <c r="O60" i="15"/>
  <c r="O77" i="15"/>
  <c r="O13" i="15"/>
  <c r="N19" i="15"/>
  <c r="O12" i="15"/>
  <c r="L18" i="15"/>
  <c r="O11" i="15"/>
  <c r="L17" i="15"/>
  <c r="N67" i="15"/>
  <c r="O94" i="15"/>
  <c r="O70" i="15"/>
  <c r="O30" i="15"/>
  <c r="L16" i="15"/>
  <c r="N94" i="15"/>
  <c r="N66" i="15"/>
  <c r="O93" i="15"/>
  <c r="O69" i="15"/>
  <c r="O49" i="15"/>
  <c r="O29" i="15"/>
  <c r="N93" i="15"/>
  <c r="N65" i="15"/>
  <c r="N43" i="15"/>
  <c r="N15" i="15"/>
  <c r="O92" i="15"/>
  <c r="O68" i="15"/>
  <c r="O48" i="15"/>
  <c r="O28" i="15"/>
  <c r="O61" i="15"/>
  <c r="N10" i="15"/>
  <c r="N99" i="15"/>
  <c r="O78" i="15"/>
  <c r="O14" i="15"/>
  <c r="N74" i="15"/>
  <c r="N64" i="15"/>
  <c r="O91" i="15"/>
  <c r="L12" i="15"/>
  <c r="N91" i="15"/>
  <c r="N63" i="15"/>
  <c r="N35" i="15"/>
  <c r="N13" i="15"/>
  <c r="O86" i="15"/>
  <c r="O66" i="15"/>
  <c r="O46" i="15"/>
  <c r="O22" i="15"/>
  <c r="O62" i="15"/>
  <c r="N11" i="5"/>
  <c r="M27" i="15"/>
  <c r="N26" i="15"/>
  <c r="O76" i="15"/>
  <c r="N42" i="15"/>
  <c r="L55" i="15"/>
  <c r="N90" i="15"/>
  <c r="N62" i="15"/>
  <c r="N34" i="15"/>
  <c r="O85" i="15"/>
  <c r="O65" i="15"/>
  <c r="O45" i="15"/>
  <c r="O21" i="15"/>
  <c r="N9" i="15"/>
  <c r="L9" i="15"/>
  <c r="L24" i="15"/>
  <c r="N24" i="15"/>
  <c r="L73" i="15"/>
  <c r="N73" i="15"/>
  <c r="L25" i="15"/>
  <c r="N25" i="15"/>
  <c r="L88" i="15"/>
  <c r="N88" i="15"/>
  <c r="L56" i="15"/>
  <c r="N56" i="15"/>
  <c r="L103" i="15"/>
  <c r="N103" i="15"/>
  <c r="N71" i="15"/>
  <c r="L71" i="15"/>
  <c r="O10" i="15"/>
  <c r="M10" i="15"/>
  <c r="O73" i="15"/>
  <c r="M73" i="15"/>
  <c r="M41" i="15"/>
  <c r="O41" i="15"/>
  <c r="O9" i="15"/>
  <c r="M9" i="15"/>
  <c r="M72" i="15"/>
  <c r="O72" i="15"/>
  <c r="O40" i="15"/>
  <c r="M40" i="15"/>
  <c r="O8" i="15"/>
  <c r="M8" i="15"/>
  <c r="L89" i="15"/>
  <c r="N89" i="15"/>
  <c r="L57" i="15"/>
  <c r="N57" i="15"/>
  <c r="L41" i="15"/>
  <c r="N41" i="15"/>
  <c r="L6" i="15"/>
  <c r="N6" i="15"/>
  <c r="N72" i="15"/>
  <c r="L72" i="15"/>
  <c r="L40" i="15"/>
  <c r="N40" i="15"/>
  <c r="L8" i="15"/>
  <c r="N8" i="15"/>
  <c r="L87" i="15"/>
  <c r="N87" i="15"/>
  <c r="N39" i="15"/>
  <c r="L39" i="15"/>
  <c r="N7" i="15"/>
  <c r="L7" i="15"/>
  <c r="N36" i="15"/>
  <c r="L36" i="15"/>
  <c r="O74" i="15"/>
  <c r="M74" i="15"/>
  <c r="O42" i="15"/>
  <c r="M42" i="15"/>
  <c r="M58" i="15"/>
  <c r="O89" i="15"/>
  <c r="M89" i="15"/>
  <c r="O57" i="15"/>
  <c r="M57" i="15"/>
  <c r="O25" i="15"/>
  <c r="M25" i="15"/>
  <c r="O6" i="15"/>
  <c r="M6" i="15"/>
  <c r="M88" i="15"/>
  <c r="O88" i="15"/>
  <c r="M56" i="15"/>
  <c r="O56" i="15"/>
  <c r="O24" i="15"/>
  <c r="M24" i="15"/>
  <c r="M26" i="15"/>
  <c r="L23" i="15"/>
  <c r="L100" i="15"/>
  <c r="N102" i="15"/>
  <c r="N86" i="15"/>
  <c r="N70" i="15"/>
  <c r="N54" i="15"/>
  <c r="N38" i="15"/>
  <c r="N22" i="15"/>
  <c r="N101" i="15"/>
  <c r="N85" i="15"/>
  <c r="N69" i="15"/>
  <c r="N53" i="15"/>
  <c r="N37" i="15"/>
  <c r="N21" i="15"/>
  <c r="N84" i="15"/>
  <c r="N68" i="15"/>
  <c r="N52" i="15"/>
  <c r="N20" i="15"/>
  <c r="O103" i="15"/>
  <c r="O87" i="15"/>
  <c r="O71" i="15"/>
  <c r="O55" i="15"/>
  <c r="O39" i="15"/>
  <c r="O23" i="15"/>
  <c r="O7" i="15"/>
  <c r="G11" i="5"/>
  <c r="M11" i="5"/>
  <c r="L11" i="5"/>
  <c r="J11" i="5"/>
  <c r="I11" i="5"/>
  <c r="E11" i="5" l="1"/>
  <c r="L104" i="15"/>
  <c r="M104" i="15"/>
  <c r="L457" i="27" a="1"/>
  <c r="L457" i="27" l="1"/>
  <c r="L452" i="27" s="1"/>
  <c r="F11" i="7"/>
  <c r="D35" i="1" l="1"/>
  <c r="D29" i="1"/>
  <c r="F119" i="7" s="1"/>
  <c r="D120" i="7"/>
  <c r="D119" i="7"/>
  <c r="D103" i="7"/>
  <c r="D102" i="7"/>
  <c r="D86" i="7"/>
  <c r="D85" i="7"/>
  <c r="D69" i="7"/>
  <c r="D68" i="7"/>
  <c r="D52" i="7"/>
  <c r="D51" i="7"/>
  <c r="D36" i="7"/>
  <c r="D35" i="7"/>
  <c r="F123" i="7"/>
  <c r="G123" i="7" s="1"/>
  <c r="F122" i="7"/>
  <c r="G122" i="7" s="1"/>
  <c r="F121" i="7"/>
  <c r="G121" i="7" s="1"/>
  <c r="F118" i="7"/>
  <c r="G118" i="7" s="1"/>
  <c r="F116" i="7"/>
  <c r="G116" i="7" s="1"/>
  <c r="F115" i="7"/>
  <c r="G115" i="7" s="1"/>
  <c r="F106" i="7"/>
  <c r="G106" i="7" s="1"/>
  <c r="F105" i="7"/>
  <c r="G105" i="7" s="1"/>
  <c r="F104" i="7"/>
  <c r="G104" i="7" s="1"/>
  <c r="F101" i="7"/>
  <c r="G101" i="7" s="1"/>
  <c r="F99" i="7"/>
  <c r="G99" i="7" s="1"/>
  <c r="F98" i="7"/>
  <c r="G98" i="7" s="1"/>
  <c r="F89" i="7"/>
  <c r="G89" i="7" s="1"/>
  <c r="F88" i="7"/>
  <c r="G88" i="7" s="1"/>
  <c r="F87" i="7"/>
  <c r="G87" i="7" s="1"/>
  <c r="F84" i="7"/>
  <c r="G84" i="7" s="1"/>
  <c r="F82" i="7"/>
  <c r="G82" i="7" s="1"/>
  <c r="F81" i="7"/>
  <c r="G81" i="7" s="1"/>
  <c r="F72" i="7"/>
  <c r="G72" i="7" s="1"/>
  <c r="F71" i="7"/>
  <c r="G71" i="7" s="1"/>
  <c r="F70" i="7"/>
  <c r="G70" i="7" s="1"/>
  <c r="F67" i="7"/>
  <c r="G67" i="7" s="1"/>
  <c r="F55" i="7"/>
  <c r="G55" i="7" s="1"/>
  <c r="F54" i="7"/>
  <c r="G54" i="7" s="1"/>
  <c r="F53" i="7"/>
  <c r="G53" i="7" s="1"/>
  <c r="F50" i="7"/>
  <c r="G50" i="7" s="1"/>
  <c r="F48" i="7"/>
  <c r="G48" i="7" s="1"/>
  <c r="F47" i="7"/>
  <c r="G47" i="7" s="1"/>
  <c r="F39" i="7"/>
  <c r="G39" i="7" s="1"/>
  <c r="F38" i="7"/>
  <c r="G38" i="7" s="1"/>
  <c r="F37" i="7"/>
  <c r="G37" i="7" s="1"/>
  <c r="F34" i="7"/>
  <c r="G34" i="7" s="1"/>
  <c r="F32" i="7"/>
  <c r="G32" i="7" s="1"/>
  <c r="F31" i="7"/>
  <c r="G31" i="7" s="1"/>
  <c r="F22" i="7"/>
  <c r="G22" i="7" s="1"/>
  <c r="F21" i="7"/>
  <c r="G21" i="7" s="1"/>
  <c r="F20" i="7"/>
  <c r="G20" i="7" s="1"/>
  <c r="F19" i="7"/>
  <c r="G19" i="7" s="1"/>
  <c r="F17" i="7"/>
  <c r="G17" i="7" s="1"/>
  <c r="F10" i="7"/>
  <c r="F65" i="7" s="1"/>
  <c r="G65" i="7" s="1"/>
  <c r="F9" i="7"/>
  <c r="F8" i="7"/>
  <c r="G64" i="7" s="1"/>
  <c r="D124" i="7"/>
  <c r="D107" i="7"/>
  <c r="D90" i="7"/>
  <c r="D73" i="7"/>
  <c r="D56" i="7"/>
  <c r="D40" i="7"/>
  <c r="D23" i="7"/>
  <c r="G119" i="7" l="1"/>
  <c r="F102" i="7"/>
  <c r="G102" i="7" s="1"/>
  <c r="F52" i="7"/>
  <c r="G52" i="7" s="1"/>
  <c r="F69" i="7"/>
  <c r="G69" i="7" s="1"/>
  <c r="F86" i="7"/>
  <c r="G86" i="7" s="1"/>
  <c r="F120" i="7"/>
  <c r="G120" i="7" s="1"/>
  <c r="F68" i="7"/>
  <c r="G68" i="7" s="1"/>
  <c r="F85" i="7"/>
  <c r="G85" i="7" s="1"/>
  <c r="F35" i="7"/>
  <c r="G35" i="7" s="1"/>
  <c r="F36" i="7"/>
  <c r="G36" i="7" s="1"/>
  <c r="F103" i="7"/>
  <c r="G103" i="7" s="1"/>
  <c r="F51" i="7"/>
  <c r="G51" i="7" s="1"/>
  <c r="F24" i="7"/>
  <c r="G24" i="7" s="1"/>
  <c r="V30" i="9" l="1"/>
  <c r="V29" i="9"/>
  <c r="V12" i="9"/>
  <c r="V11" i="9"/>
  <c r="V20" i="9" s="1"/>
  <c r="W20" i="9" s="1"/>
  <c r="AD30" i="9"/>
  <c r="AB30" i="9"/>
  <c r="Z30" i="9"/>
  <c r="X30" i="9"/>
  <c r="T30" i="9"/>
  <c r="R30" i="9"/>
  <c r="P30" i="9"/>
  <c r="N30" i="9"/>
  <c r="L30" i="9"/>
  <c r="J30" i="9"/>
  <c r="F30" i="9"/>
  <c r="E30" i="9"/>
  <c r="AD29" i="9"/>
  <c r="AB29" i="9"/>
  <c r="Z29" i="9"/>
  <c r="X29" i="9"/>
  <c r="T29" i="9"/>
  <c r="R29" i="9"/>
  <c r="P29" i="9"/>
  <c r="N29" i="9"/>
  <c r="L29" i="9"/>
  <c r="J29" i="9"/>
  <c r="H29" i="9"/>
  <c r="F29" i="9"/>
  <c r="E29" i="9"/>
  <c r="D26" i="9"/>
  <c r="E26" i="9" s="1"/>
  <c r="D21" i="9"/>
  <c r="E21" i="9" s="1"/>
  <c r="D20" i="9"/>
  <c r="E20" i="9" s="1"/>
  <c r="D18" i="9"/>
  <c r="E18" i="9" s="1"/>
  <c r="AD12" i="9"/>
  <c r="AB12" i="9"/>
  <c r="Z12" i="9"/>
  <c r="X12" i="9"/>
  <c r="T12" i="9"/>
  <c r="R12" i="9"/>
  <c r="P12" i="9"/>
  <c r="N12" i="9"/>
  <c r="L12" i="9"/>
  <c r="J12" i="9"/>
  <c r="H12" i="9"/>
  <c r="E12" i="9"/>
  <c r="AD11" i="9"/>
  <c r="AD21" i="9" s="1"/>
  <c r="AE21" i="9" s="1"/>
  <c r="AB11" i="9"/>
  <c r="AC24" i="9" s="1"/>
  <c r="Z11" i="9"/>
  <c r="Z26" i="9" s="1"/>
  <c r="AA26" i="9" s="1"/>
  <c r="X11" i="9"/>
  <c r="X21" i="9" s="1"/>
  <c r="Y21" i="9" s="1"/>
  <c r="T11" i="9"/>
  <c r="T21" i="9" s="1"/>
  <c r="U21" i="9" s="1"/>
  <c r="R11" i="9"/>
  <c r="P11" i="9"/>
  <c r="Q24" i="9" s="1"/>
  <c r="N11" i="9"/>
  <c r="L21" i="9"/>
  <c r="M21" i="9" s="1"/>
  <c r="J11" i="9"/>
  <c r="K24" i="9" s="1"/>
  <c r="H11" i="9"/>
  <c r="G25" i="9"/>
  <c r="U12" i="9" l="1"/>
  <c r="Y12" i="9"/>
  <c r="W27" i="9"/>
  <c r="W29" i="9"/>
  <c r="V21" i="9"/>
  <c r="W21" i="9" s="1"/>
  <c r="W30" i="9"/>
  <c r="W12" i="9"/>
  <c r="V22" i="9"/>
  <c r="W22" i="9" s="1"/>
  <c r="W24" i="9"/>
  <c r="V13" i="9"/>
  <c r="W25" i="9"/>
  <c r="V26" i="9"/>
  <c r="W26" i="9" s="1"/>
  <c r="V18" i="9"/>
  <c r="W18" i="9" s="1"/>
  <c r="I29" i="9"/>
  <c r="AA12" i="9"/>
  <c r="S29" i="9"/>
  <c r="AA29" i="9"/>
  <c r="G12" i="9"/>
  <c r="N13" i="9"/>
  <c r="N17" i="9" s="1"/>
  <c r="O17" i="9" s="1"/>
  <c r="S12" i="9"/>
  <c r="AB21" i="9"/>
  <c r="AC21" i="9" s="1"/>
  <c r="AA27" i="9"/>
  <c r="AC27" i="9"/>
  <c r="S25" i="9"/>
  <c r="U25" i="9"/>
  <c r="Q12" i="9"/>
  <c r="Y25" i="9"/>
  <c r="I25" i="9"/>
  <c r="AC25" i="9"/>
  <c r="H18" i="9"/>
  <c r="I18" i="9" s="1"/>
  <c r="T20" i="9"/>
  <c r="U20" i="9" s="1"/>
  <c r="I12" i="9"/>
  <c r="AB20" i="9"/>
  <c r="AC20" i="9" s="1"/>
  <c r="Z21" i="9"/>
  <c r="AA21" i="9" s="1"/>
  <c r="X22" i="9"/>
  <c r="Y22" i="9" s="1"/>
  <c r="Q27" i="9"/>
  <c r="AC12" i="9"/>
  <c r="N22" i="9"/>
  <c r="O22" i="9" s="1"/>
  <c r="AB26" i="9"/>
  <c r="AC26" i="9" s="1"/>
  <c r="P22" i="9"/>
  <c r="Q22" i="9" s="1"/>
  <c r="Z22" i="9"/>
  <c r="AA22" i="9" s="1"/>
  <c r="Y30" i="9"/>
  <c r="J18" i="9"/>
  <c r="K18" i="9" s="1"/>
  <c r="AB22" i="9"/>
  <c r="AC22" i="9" s="1"/>
  <c r="U29" i="9"/>
  <c r="L18" i="9"/>
  <c r="M18" i="9" s="1"/>
  <c r="Y29" i="9"/>
  <c r="AA30" i="9"/>
  <c r="N18" i="9"/>
  <c r="O18" i="9" s="1"/>
  <c r="K12" i="9"/>
  <c r="T18" i="9"/>
  <c r="U18" i="9" s="1"/>
  <c r="S27" i="9"/>
  <c r="AC30" i="9"/>
  <c r="M12" i="9"/>
  <c r="X18" i="9"/>
  <c r="Y18" i="9" s="1"/>
  <c r="K25" i="9"/>
  <c r="U27" i="9"/>
  <c r="AC29" i="9"/>
  <c r="O12" i="9"/>
  <c r="AB18" i="9"/>
  <c r="AC18" i="9" s="1"/>
  <c r="M25" i="9"/>
  <c r="Y27" i="9"/>
  <c r="AE27" i="9"/>
  <c r="AE29" i="9"/>
  <c r="G30" i="9"/>
  <c r="J20" i="9"/>
  <c r="K20" i="9" s="1"/>
  <c r="M24" i="9"/>
  <c r="H26" i="9"/>
  <c r="I26" i="9" s="1"/>
  <c r="L20" i="9"/>
  <c r="M20" i="9" s="1"/>
  <c r="O24" i="9"/>
  <c r="K30" i="9"/>
  <c r="N20" i="9"/>
  <c r="O20" i="9" s="1"/>
  <c r="K29" i="9"/>
  <c r="M30" i="9"/>
  <c r="S24" i="9"/>
  <c r="M29" i="9"/>
  <c r="O30" i="9"/>
  <c r="U24" i="9"/>
  <c r="G27" i="9"/>
  <c r="O29" i="9"/>
  <c r="Y24" i="9"/>
  <c r="Q29" i="9"/>
  <c r="AE12" i="9"/>
  <c r="S30" i="9"/>
  <c r="O27" i="9"/>
  <c r="U30" i="9"/>
  <c r="AE30" i="9"/>
  <c r="H20" i="9"/>
  <c r="I20" i="9" s="1"/>
  <c r="I24" i="9"/>
  <c r="H13" i="9"/>
  <c r="L26" i="9"/>
  <c r="M26" i="9" s="1"/>
  <c r="Q25" i="9"/>
  <c r="P18" i="9"/>
  <c r="Q18" i="9" s="1"/>
  <c r="J13" i="9"/>
  <c r="J21" i="9"/>
  <c r="K21" i="9" s="1"/>
  <c r="R18" i="9"/>
  <c r="S18" i="9" s="1"/>
  <c r="R22" i="9"/>
  <c r="S22" i="9" s="1"/>
  <c r="R13" i="9"/>
  <c r="L13" i="9"/>
  <c r="N26" i="9"/>
  <c r="O26" i="9" s="1"/>
  <c r="I27" i="9"/>
  <c r="T22" i="9"/>
  <c r="U22" i="9" s="1"/>
  <c r="T13" i="9"/>
  <c r="T26" i="9"/>
  <c r="U26" i="9" s="1"/>
  <c r="Z18" i="9"/>
  <c r="AA18" i="9" s="1"/>
  <c r="R20" i="9"/>
  <c r="S20" i="9" s="1"/>
  <c r="P21" i="9"/>
  <c r="Q21" i="9" s="1"/>
  <c r="J22" i="9"/>
  <c r="K22" i="9" s="1"/>
  <c r="AE24" i="9"/>
  <c r="K27" i="9"/>
  <c r="X26" i="9"/>
  <c r="Y26" i="9" s="1"/>
  <c r="X13" i="9"/>
  <c r="X20" i="9"/>
  <c r="Y20" i="9" s="1"/>
  <c r="P13" i="9"/>
  <c r="P26" i="9"/>
  <c r="Q26" i="9" s="1"/>
  <c r="AD13" i="9"/>
  <c r="AD18" i="9"/>
  <c r="AE18" i="9" s="1"/>
  <c r="AD20" i="9"/>
  <c r="AE20" i="9" s="1"/>
  <c r="AE25" i="9"/>
  <c r="F26" i="9"/>
  <c r="G26" i="9" s="1"/>
  <c r="F20" i="9"/>
  <c r="G20" i="9" s="1"/>
  <c r="AD26" i="9"/>
  <c r="AE26" i="9" s="1"/>
  <c r="F21" i="9"/>
  <c r="G21" i="9" s="1"/>
  <c r="D13" i="9"/>
  <c r="C13" i="12" s="1"/>
  <c r="J26" i="9"/>
  <c r="K26" i="9" s="1"/>
  <c r="H21" i="9"/>
  <c r="I21" i="9" s="1"/>
  <c r="P20" i="9"/>
  <c r="Q20" i="9" s="1"/>
  <c r="AD22" i="9"/>
  <c r="AE22" i="9" s="1"/>
  <c r="Z13" i="9"/>
  <c r="F18" i="9"/>
  <c r="G18" i="9" s="1"/>
  <c r="R21" i="9"/>
  <c r="S21" i="9" s="1"/>
  <c r="L22" i="9"/>
  <c r="M22" i="9" s="1"/>
  <c r="G24" i="9"/>
  <c r="AA25" i="9"/>
  <c r="G29" i="9"/>
  <c r="Q30" i="9"/>
  <c r="I30" i="9"/>
  <c r="F22" i="9"/>
  <c r="G22" i="9" s="1"/>
  <c r="N21" i="9"/>
  <c r="O21" i="9" s="1"/>
  <c r="O25" i="9"/>
  <c r="H22" i="9"/>
  <c r="I22" i="9" s="1"/>
  <c r="Z20" i="9"/>
  <c r="AA20" i="9" s="1"/>
  <c r="AA24" i="9"/>
  <c r="AB13" i="9"/>
  <c r="R26" i="9"/>
  <c r="S26" i="9" s="1"/>
  <c r="D22" i="9"/>
  <c r="E22" i="9" s="1"/>
  <c r="M27" i="9"/>
  <c r="C14" i="12" l="1"/>
  <c r="C15" i="12" s="1"/>
  <c r="N15" i="9"/>
  <c r="O15" i="9" s="1"/>
  <c r="V17" i="9"/>
  <c r="W17" i="9" s="1"/>
  <c r="V15" i="9"/>
  <c r="H17" i="9"/>
  <c r="I17" i="9" s="1"/>
  <c r="H15" i="9"/>
  <c r="F15" i="9"/>
  <c r="F17" i="9"/>
  <c r="G17" i="9" s="1"/>
  <c r="T15" i="9"/>
  <c r="T17" i="9"/>
  <c r="U17" i="9" s="1"/>
  <c r="AD17" i="9"/>
  <c r="AE17" i="9" s="1"/>
  <c r="AD15" i="9"/>
  <c r="AB17" i="9"/>
  <c r="AC17" i="9" s="1"/>
  <c r="AB15" i="9"/>
  <c r="L17" i="9"/>
  <c r="M17" i="9" s="1"/>
  <c r="L15" i="9"/>
  <c r="Z15" i="9"/>
  <c r="Z17" i="9"/>
  <c r="AA17" i="9" s="1"/>
  <c r="P15" i="9"/>
  <c r="P17" i="9"/>
  <c r="Q17" i="9" s="1"/>
  <c r="R17" i="9"/>
  <c r="S17" i="9" s="1"/>
  <c r="R15" i="9"/>
  <c r="X15" i="9"/>
  <c r="X17" i="9"/>
  <c r="Y17" i="9" s="1"/>
  <c r="J17" i="9"/>
  <c r="K17" i="9" s="1"/>
  <c r="J15" i="9"/>
  <c r="D17" i="9"/>
  <c r="E17" i="9" s="1"/>
  <c r="E15" i="9"/>
  <c r="B4" i="12" l="1"/>
  <c r="N16" i="9"/>
  <c r="O16" i="9" s="1"/>
  <c r="B9" i="12"/>
  <c r="C16" i="12"/>
  <c r="B8" i="12"/>
  <c r="B6" i="12"/>
  <c r="C6" i="12" s="1"/>
  <c r="V16" i="9"/>
  <c r="W16" i="9" s="1"/>
  <c r="W15" i="9"/>
  <c r="P16" i="9"/>
  <c r="Q16" i="9" s="1"/>
  <c r="Q15" i="9"/>
  <c r="AA15" i="9"/>
  <c r="Z16" i="9"/>
  <c r="AA16" i="9" s="1"/>
  <c r="L16" i="9"/>
  <c r="M16" i="9" s="1"/>
  <c r="M15" i="9"/>
  <c r="AB16" i="9"/>
  <c r="AC16" i="9" s="1"/>
  <c r="AC15" i="9"/>
  <c r="N32" i="9"/>
  <c r="E7" i="12" s="1"/>
  <c r="D16" i="9"/>
  <c r="E16" i="9" s="1"/>
  <c r="AE15" i="9"/>
  <c r="AD16" i="9"/>
  <c r="AE16" i="9" s="1"/>
  <c r="J16" i="9"/>
  <c r="K16" i="9" s="1"/>
  <c r="K15" i="9"/>
  <c r="T16" i="9"/>
  <c r="U16" i="9" s="1"/>
  <c r="U15" i="9"/>
  <c r="X16" i="9"/>
  <c r="Y16" i="9" s="1"/>
  <c r="Y15" i="9"/>
  <c r="F16" i="9"/>
  <c r="G15" i="9"/>
  <c r="R16" i="9"/>
  <c r="S16" i="9" s="1"/>
  <c r="S15" i="9"/>
  <c r="H16" i="9"/>
  <c r="I16" i="9" s="1"/>
  <c r="I15" i="9"/>
  <c r="G7" i="12" l="1"/>
  <c r="G24" i="38" s="1"/>
  <c r="C7" i="12"/>
  <c r="C24" i="72"/>
  <c r="G24" i="72" s="1"/>
  <c r="F28" i="48"/>
  <c r="G28" i="48" s="1"/>
  <c r="F26" i="49"/>
  <c r="G26" i="49" s="1"/>
  <c r="H27" i="49" s="1"/>
  <c r="AB32" i="9"/>
  <c r="G16" i="9"/>
  <c r="F32" i="9" s="1"/>
  <c r="E5" i="12" s="1"/>
  <c r="R32" i="9"/>
  <c r="X32" i="9"/>
  <c r="C8" i="12"/>
  <c r="C9" i="12"/>
  <c r="C4" i="12"/>
  <c r="B5" i="12"/>
  <c r="F7" i="12"/>
  <c r="H7" i="12"/>
  <c r="L32" i="9"/>
  <c r="H32" i="9"/>
  <c r="J32" i="9"/>
  <c r="V32" i="9"/>
  <c r="D32" i="9"/>
  <c r="Z32" i="9"/>
  <c r="P32" i="9"/>
  <c r="AD32" i="9"/>
  <c r="T32" i="9"/>
  <c r="E896" i="37" l="1"/>
  <c r="F896" i="37" s="1"/>
  <c r="G898" i="37" s="1"/>
  <c r="E1920" i="37"/>
  <c r="F1920" i="37" s="1"/>
  <c r="G1921" i="37" s="1"/>
  <c r="E1963" i="37"/>
  <c r="F1963" i="37" s="1"/>
  <c r="G1964" i="37" s="1"/>
  <c r="E26" i="39"/>
  <c r="F26" i="39" s="1"/>
  <c r="G27" i="39" s="1"/>
  <c r="E1275" i="37"/>
  <c r="F1275" i="37" s="1"/>
  <c r="G1276" i="37" s="1"/>
  <c r="E1204" i="37"/>
  <c r="F1204" i="37" s="1"/>
  <c r="G1205" i="37" s="1"/>
  <c r="E1208" i="37" s="1"/>
  <c r="F1208" i="37" s="1"/>
  <c r="G1209" i="37" s="1"/>
  <c r="E1020" i="37"/>
  <c r="F1020" i="37" s="1"/>
  <c r="G1021" i="37" s="1"/>
  <c r="E2272" i="37"/>
  <c r="F2272" i="37" s="1"/>
  <c r="G2273" i="37" s="1"/>
  <c r="E2276" i="37" s="1"/>
  <c r="F2276" i="37" s="1"/>
  <c r="G2277" i="37" s="1"/>
  <c r="E983" i="37"/>
  <c r="F983" i="37" s="1"/>
  <c r="G984" i="37" s="1"/>
  <c r="F26" i="46"/>
  <c r="G26" i="46" s="1"/>
  <c r="H27" i="46" s="1"/>
  <c r="E1792" i="37"/>
  <c r="F1792" i="37" s="1"/>
  <c r="G1793" i="37" s="1"/>
  <c r="E1704" i="37"/>
  <c r="F1704" i="37" s="1"/>
  <c r="G1705" i="37" s="1"/>
  <c r="E26" i="43"/>
  <c r="F26" i="43" s="1"/>
  <c r="G27" i="43" s="1"/>
  <c r="E2402" i="37"/>
  <c r="F2402" i="37" s="1"/>
  <c r="E26" i="37"/>
  <c r="F26" i="37" s="1"/>
  <c r="G27" i="37" s="1"/>
  <c r="E30" i="37" s="1"/>
  <c r="F30" i="37" s="1"/>
  <c r="G31" i="37" s="1"/>
  <c r="E631" i="37"/>
  <c r="F631" i="37" s="1"/>
  <c r="G632" i="37" s="1"/>
  <c r="E635" i="37" s="1"/>
  <c r="F635" i="37" s="1"/>
  <c r="G636" i="37" s="1"/>
  <c r="E1874" i="37"/>
  <c r="F1874" i="37" s="1"/>
  <c r="G1875" i="37" s="1"/>
  <c r="E1878" i="37" s="1"/>
  <c r="F1878" i="37" s="1"/>
  <c r="G1879" i="37" s="1"/>
  <c r="E1057" i="37"/>
  <c r="F1057" i="37" s="1"/>
  <c r="G1058" i="37" s="1"/>
  <c r="E2230" i="37"/>
  <c r="F2230" i="37" s="1"/>
  <c r="G2231" i="37" s="1"/>
  <c r="E2234" i="37" s="1"/>
  <c r="F2234" i="37" s="1"/>
  <c r="G2235" i="37" s="1"/>
  <c r="E1749" i="37"/>
  <c r="F1749" i="37" s="1"/>
  <c r="G1750" i="37" s="1"/>
  <c r="E1311" i="37"/>
  <c r="F1311" i="37" s="1"/>
  <c r="G1312" i="37" s="1"/>
  <c r="E1835" i="37"/>
  <c r="F1835" i="37" s="1"/>
  <c r="G1836" i="37" s="1"/>
  <c r="E1839" i="37" s="1"/>
  <c r="F1839" i="37" s="1"/>
  <c r="G1840" i="37" s="1"/>
  <c r="E856" i="37"/>
  <c r="F856" i="37" s="1"/>
  <c r="G857" i="37" s="1"/>
  <c r="F27" i="57"/>
  <c r="G27" i="57" s="1"/>
  <c r="H30" i="57" s="1"/>
  <c r="F25" i="56"/>
  <c r="G25" i="56" s="1"/>
  <c r="H28" i="56" s="1"/>
  <c r="F32" i="56" s="1"/>
  <c r="G32" i="56" s="1"/>
  <c r="H33" i="56" s="1"/>
  <c r="F28" i="51"/>
  <c r="G28" i="51" s="1"/>
  <c r="H31" i="51" s="1"/>
  <c r="F35" i="51" s="1"/>
  <c r="G35" i="51" s="1"/>
  <c r="H36" i="51" s="1"/>
  <c r="G23" i="53"/>
  <c r="H26" i="53" s="1"/>
  <c r="F30" i="53" s="1"/>
  <c r="G30" i="53" s="1"/>
  <c r="H31" i="53" s="1"/>
  <c r="G28" i="52"/>
  <c r="H31" i="52" s="1"/>
  <c r="F35" i="52" s="1"/>
  <c r="G35" i="52" s="1"/>
  <c r="H36" i="52" s="1"/>
  <c r="G24" i="55"/>
  <c r="H27" i="55" s="1"/>
  <c r="F24" i="54"/>
  <c r="G24" i="54" s="1"/>
  <c r="H27" i="54" s="1"/>
  <c r="F26" i="48"/>
  <c r="G26" i="48" s="1"/>
  <c r="E1240" i="37"/>
  <c r="F1240" i="37" s="1"/>
  <c r="G1241" i="37" s="1"/>
  <c r="E1136" i="37"/>
  <c r="F1136" i="37" s="1"/>
  <c r="G1137" i="37" s="1"/>
  <c r="E159" i="37"/>
  <c r="F159" i="37" s="1"/>
  <c r="G160" i="37" s="1"/>
  <c r="G171" i="37" s="1"/>
  <c r="E57" i="37"/>
  <c r="F57" i="37" s="1"/>
  <c r="G58" i="37" s="1"/>
  <c r="E61" i="37" s="1"/>
  <c r="F61" i="37" s="1"/>
  <c r="G62" i="37" s="1"/>
  <c r="F27" i="48"/>
  <c r="G27" i="48" s="1"/>
  <c r="E26" i="42"/>
  <c r="F26" i="42" s="1"/>
  <c r="G27" i="42" s="1"/>
  <c r="E2310" i="37"/>
  <c r="F2310" i="37" s="1"/>
  <c r="G2311" i="37" s="1"/>
  <c r="E2314" i="37" s="1"/>
  <c r="F2314" i="37" s="1"/>
  <c r="G2315" i="37" s="1"/>
  <c r="E1621" i="37"/>
  <c r="F1621" i="37" s="1"/>
  <c r="G1622" i="37" s="1"/>
  <c r="E1477" i="37"/>
  <c r="F1477" i="37" s="1"/>
  <c r="G1478" i="37" s="1"/>
  <c r="E1434" i="37"/>
  <c r="F1434" i="37" s="1"/>
  <c r="G1435" i="37" s="1"/>
  <c r="E1391" i="37"/>
  <c r="F1391" i="37" s="1"/>
  <c r="G1392" i="37" s="1"/>
  <c r="E1395" i="37" s="1"/>
  <c r="F1395" i="37" s="1"/>
  <c r="G1396" i="37" s="1"/>
  <c r="E1099" i="37"/>
  <c r="F1099" i="37" s="1"/>
  <c r="G1100" i="37" s="1"/>
  <c r="E819" i="37"/>
  <c r="F819" i="37" s="1"/>
  <c r="G820" i="37" s="1"/>
  <c r="E744" i="37"/>
  <c r="F744" i="37" s="1"/>
  <c r="G745" i="37" s="1"/>
  <c r="E748" i="37" s="1"/>
  <c r="F748" i="37" s="1"/>
  <c r="G749" i="37" s="1"/>
  <c r="E709" i="37"/>
  <c r="F709" i="37" s="1"/>
  <c r="G710" i="37" s="1"/>
  <c r="E713" i="37" s="1"/>
  <c r="F713" i="37" s="1"/>
  <c r="G714" i="37" s="1"/>
  <c r="E256" i="37"/>
  <c r="F256" i="37" s="1"/>
  <c r="G257" i="37" s="1"/>
  <c r="E260" i="37" s="1"/>
  <c r="F260" i="37" s="1"/>
  <c r="G261" i="37" s="1"/>
  <c r="E190" i="37"/>
  <c r="F190" i="37" s="1"/>
  <c r="G191" i="37" s="1"/>
  <c r="E194" i="37" s="1"/>
  <c r="F194" i="37" s="1"/>
  <c r="G195" i="37" s="1"/>
  <c r="E542" i="37"/>
  <c r="F542" i="37" s="1"/>
  <c r="G543" i="37" s="1"/>
  <c r="E546" i="37" s="1"/>
  <c r="F546" i="37" s="1"/>
  <c r="G547" i="37" s="1"/>
  <c r="E325" i="37"/>
  <c r="F325" i="37" s="1"/>
  <c r="G326" i="37" s="1"/>
  <c r="E329" i="37" s="1"/>
  <c r="F329" i="37" s="1"/>
  <c r="G330" i="37" s="1"/>
  <c r="E126" i="37"/>
  <c r="F126" i="37" s="1"/>
  <c r="G127" i="37" s="1"/>
  <c r="E130" i="37" s="1"/>
  <c r="F130" i="37" s="1"/>
  <c r="G131" i="37" s="1"/>
  <c r="E2401" i="37"/>
  <c r="F2401" i="37" s="1"/>
  <c r="E2194" i="37"/>
  <c r="F2194" i="37" s="1"/>
  <c r="G2195" i="37" s="1"/>
  <c r="E2115" i="37"/>
  <c r="F2115" i="37" s="1"/>
  <c r="G2116" i="37" s="1"/>
  <c r="E1660" i="37"/>
  <c r="F1660" i="37" s="1"/>
  <c r="G1661" i="37" s="1"/>
  <c r="E1585" i="37"/>
  <c r="F1585" i="37" s="1"/>
  <c r="G1586" i="37" s="1"/>
  <c r="E1351" i="37"/>
  <c r="F1351" i="37" s="1"/>
  <c r="G1352" i="37" s="1"/>
  <c r="E1355" i="37" s="1"/>
  <c r="F1355" i="37" s="1"/>
  <c r="G1356" i="37" s="1"/>
  <c r="E783" i="37"/>
  <c r="F783" i="37" s="1"/>
  <c r="G784" i="37" s="1"/>
  <c r="E787" i="37" s="1"/>
  <c r="F787" i="37" s="1"/>
  <c r="G788" i="37" s="1"/>
  <c r="E674" i="37"/>
  <c r="F674" i="37" s="1"/>
  <c r="G675" i="37" s="1"/>
  <c r="E678" i="37" s="1"/>
  <c r="F678" i="37" s="1"/>
  <c r="G679" i="37" s="1"/>
  <c r="E2045" i="37"/>
  <c r="F2045" i="37" s="1"/>
  <c r="E1549" i="37"/>
  <c r="F1549" i="37" s="1"/>
  <c r="G1550" i="37" s="1"/>
  <c r="E1513" i="37"/>
  <c r="F1513" i="37" s="1"/>
  <c r="G1514" i="37" s="1"/>
  <c r="E585" i="37"/>
  <c r="F585" i="37" s="1"/>
  <c r="G586" i="37" s="1"/>
  <c r="E589" i="37" s="1"/>
  <c r="F589" i="37" s="1"/>
  <c r="G590" i="37" s="1"/>
  <c r="E221" i="37"/>
  <c r="F221" i="37" s="1"/>
  <c r="G222" i="37" s="1"/>
  <c r="E225" i="37" s="1"/>
  <c r="F225" i="37" s="1"/>
  <c r="G226" i="37" s="1"/>
  <c r="E95" i="37"/>
  <c r="F95" i="37" s="1"/>
  <c r="G96" i="37" s="1"/>
  <c r="E99" i="37" s="1"/>
  <c r="F99" i="37" s="1"/>
  <c r="G100" i="37" s="1"/>
  <c r="E2004" i="37"/>
  <c r="F2004" i="37" s="1"/>
  <c r="G2005" i="37" s="1"/>
  <c r="E357" i="37"/>
  <c r="F357" i="37" s="1"/>
  <c r="G358" i="37" s="1"/>
  <c r="E361" i="37" s="1"/>
  <c r="F361" i="37" s="1"/>
  <c r="G362" i="37" s="1"/>
  <c r="E2350" i="37"/>
  <c r="F2350" i="37" s="1"/>
  <c r="G2351" i="37" s="1"/>
  <c r="E2354" i="37" s="1"/>
  <c r="F2354" i="37" s="1"/>
  <c r="G2355" i="37" s="1"/>
  <c r="E393" i="37"/>
  <c r="F393" i="37" s="1"/>
  <c r="G394" i="37" s="1"/>
  <c r="E397" i="37" s="1"/>
  <c r="F397" i="37" s="1"/>
  <c r="G398" i="37" s="1"/>
  <c r="E290" i="37"/>
  <c r="F290" i="37" s="1"/>
  <c r="G291" i="37" s="1"/>
  <c r="E294" i="37" s="1"/>
  <c r="F294" i="37" s="1"/>
  <c r="G295" i="37" s="1"/>
  <c r="E940" i="37"/>
  <c r="F940" i="37" s="1"/>
  <c r="G941" i="37" s="1"/>
  <c r="E497" i="37"/>
  <c r="F497" i="37" s="1"/>
  <c r="G498" i="37" s="1"/>
  <c r="E501" i="37" s="1"/>
  <c r="F501" i="37" s="1"/>
  <c r="G502" i="37" s="1"/>
  <c r="E428" i="37"/>
  <c r="F428" i="37" s="1"/>
  <c r="G429" i="37" s="1"/>
  <c r="E432" i="37" s="1"/>
  <c r="F432" i="37" s="1"/>
  <c r="G433" i="37" s="1"/>
  <c r="E2154" i="37"/>
  <c r="F2154" i="37" s="1"/>
  <c r="G2155" i="37" s="1"/>
  <c r="E466" i="37"/>
  <c r="F466" i="37" s="1"/>
  <c r="G467" i="37" s="1"/>
  <c r="E470" i="37" s="1"/>
  <c r="F470" i="37" s="1"/>
  <c r="G471" i="37" s="1"/>
  <c r="F32" i="49"/>
  <c r="G32" i="49" s="1"/>
  <c r="H33" i="49" s="1"/>
  <c r="E8" i="12"/>
  <c r="E6" i="12"/>
  <c r="G6" i="12" s="1"/>
  <c r="E4" i="12"/>
  <c r="E9" i="12"/>
  <c r="G9" i="12" s="1"/>
  <c r="C5" i="12"/>
  <c r="F5" i="12"/>
  <c r="G5" i="12"/>
  <c r="H5" i="12" s="1"/>
  <c r="D6" i="1"/>
  <c r="G2403" i="37" l="1"/>
  <c r="E2406" i="37" s="1"/>
  <c r="F2406" i="37" s="1"/>
  <c r="G2407" i="37" s="1"/>
  <c r="H29" i="48"/>
  <c r="F35" i="48" s="1"/>
  <c r="G35" i="48" s="1"/>
  <c r="H36" i="48" s="1"/>
  <c r="C26" i="38"/>
  <c r="G26" i="38" s="1"/>
  <c r="C26" i="72"/>
  <c r="G26" i="72" s="1"/>
  <c r="E944" i="37"/>
  <c r="F944" i="37" s="1"/>
  <c r="G945" i="37" s="1"/>
  <c r="G957" i="37" s="1"/>
  <c r="E1625" i="37"/>
  <c r="F1625" i="37" s="1"/>
  <c r="G1626" i="37" s="1"/>
  <c r="E2008" i="37"/>
  <c r="F2008" i="37" s="1"/>
  <c r="G2009" i="37" s="1"/>
  <c r="G2021" i="37" s="1"/>
  <c r="E1517" i="37"/>
  <c r="F1517" i="37" s="1"/>
  <c r="G1518" i="37" s="1"/>
  <c r="G1525" i="37" s="1"/>
  <c r="C1514" i="37" s="1"/>
  <c r="E1140" i="37"/>
  <c r="F1140" i="37" s="1"/>
  <c r="G1141" i="37" s="1"/>
  <c r="G1147" i="37" s="1"/>
  <c r="E2158" i="37"/>
  <c r="F2158" i="37" s="1"/>
  <c r="G2159" i="37" s="1"/>
  <c r="G2170" i="37"/>
  <c r="C2195" i="37" s="1"/>
  <c r="E31" i="42"/>
  <c r="F31" i="42" s="1"/>
  <c r="G32" i="42" s="1"/>
  <c r="F31" i="55"/>
  <c r="G31" i="55" s="1"/>
  <c r="E1315" i="37"/>
  <c r="F1315" i="37" s="1"/>
  <c r="G1316" i="37" s="1"/>
  <c r="G1322" i="37" s="1"/>
  <c r="F33" i="46"/>
  <c r="G33" i="46" s="1"/>
  <c r="H34" i="46" s="1"/>
  <c r="E1553" i="37"/>
  <c r="F1553" i="37" s="1"/>
  <c r="G1554" i="37" s="1"/>
  <c r="G1561" i="37" s="1"/>
  <c r="E2198" i="37"/>
  <c r="F2198" i="37" s="1"/>
  <c r="G2199" i="37" s="1"/>
  <c r="E1438" i="37"/>
  <c r="F1438" i="37" s="1"/>
  <c r="G1439" i="37" s="1"/>
  <c r="G1446" i="37" s="1"/>
  <c r="C1431" i="37" s="1"/>
  <c r="E1244" i="37"/>
  <c r="F1244" i="37" s="1"/>
  <c r="G1245" i="37" s="1"/>
  <c r="G1251" i="37" s="1"/>
  <c r="C1241" i="37" s="1"/>
  <c r="F33" i="57"/>
  <c r="G33" i="57" s="1"/>
  <c r="H34" i="57" s="1"/>
  <c r="H40" i="57" s="1"/>
  <c r="E1753" i="37"/>
  <c r="F1753" i="37" s="1"/>
  <c r="G1754" i="37" s="1"/>
  <c r="E1708" i="37"/>
  <c r="F1708" i="37" s="1"/>
  <c r="G1709" i="37" s="1"/>
  <c r="G1721" i="37"/>
  <c r="C1705" i="37" s="1"/>
  <c r="E32" i="39"/>
  <c r="F32" i="39" s="1"/>
  <c r="G33" i="39" s="1"/>
  <c r="G39" i="39" s="1"/>
  <c r="C27" i="39" s="1"/>
  <c r="E1967" i="37"/>
  <c r="F1967" i="37" s="1"/>
  <c r="G1968" i="37" s="1"/>
  <c r="G1980" i="37" s="1"/>
  <c r="E1664" i="37"/>
  <c r="F1664" i="37" s="1"/>
  <c r="G1665" i="37" s="1"/>
  <c r="G1672" i="37" s="1"/>
  <c r="E1103" i="37"/>
  <c r="F1103" i="37" s="1"/>
  <c r="G1104" i="37" s="1"/>
  <c r="G1110" i="37" s="1"/>
  <c r="E2119" i="37"/>
  <c r="F2119" i="37" s="1"/>
  <c r="G2120" i="37" s="1"/>
  <c r="G2126" i="37" s="1"/>
  <c r="C2116" i="37" s="1"/>
  <c r="E33" i="43"/>
  <c r="F33" i="43" s="1"/>
  <c r="G34" i="43" s="1"/>
  <c r="H42" i="49"/>
  <c r="E14" i="33" s="1"/>
  <c r="E2049" i="37"/>
  <c r="F2049" i="37" s="1"/>
  <c r="G2050" i="37" s="1"/>
  <c r="G2046" i="37"/>
  <c r="E1589" i="37"/>
  <c r="F1589" i="37" s="1"/>
  <c r="G1590" i="37" s="1"/>
  <c r="G1597" i="37"/>
  <c r="E823" i="37"/>
  <c r="F823" i="37" s="1"/>
  <c r="G824" i="37" s="1"/>
  <c r="G831" i="37" s="1"/>
  <c r="E1481" i="37"/>
  <c r="F1481" i="37" s="1"/>
  <c r="G1482" i="37" s="1"/>
  <c r="G1489" i="37" s="1"/>
  <c r="E860" i="37"/>
  <c r="F860" i="37" s="1"/>
  <c r="G861" i="37" s="1"/>
  <c r="G868" i="37" s="1"/>
  <c r="C857" i="37" s="1"/>
  <c r="E1796" i="37"/>
  <c r="F1796" i="37" s="1"/>
  <c r="G1797" i="37" s="1"/>
  <c r="G1808" i="37" s="1"/>
  <c r="C1793" i="37" s="1"/>
  <c r="E987" i="37"/>
  <c r="F987" i="37" s="1"/>
  <c r="G988" i="37" s="1"/>
  <c r="G994" i="37" s="1"/>
  <c r="C1058" i="37" s="1"/>
  <c r="E1061" i="37"/>
  <c r="F1061" i="37" s="1"/>
  <c r="G1062" i="37" s="1"/>
  <c r="G1068" i="37" s="1"/>
  <c r="E1024" i="37"/>
  <c r="F1024" i="37" s="1"/>
  <c r="G1025" i="37" s="1"/>
  <c r="E1279" i="37"/>
  <c r="F1279" i="37" s="1"/>
  <c r="G1280" i="37" s="1"/>
  <c r="G1286" i="37" s="1"/>
  <c r="E1924" i="37"/>
  <c r="F1924" i="37" s="1"/>
  <c r="G1925" i="37" s="1"/>
  <c r="G1939" i="37" s="1"/>
  <c r="C160" i="37"/>
  <c r="C168" i="37"/>
  <c r="C164" i="37"/>
  <c r="F31" i="54"/>
  <c r="G31" i="54" s="1"/>
  <c r="E901" i="37"/>
  <c r="F901" i="37" s="1"/>
  <c r="G902" i="37" s="1"/>
  <c r="G914" i="37" s="1"/>
  <c r="F8" i="12"/>
  <c r="G8" i="12"/>
  <c r="C25" i="72" s="1"/>
  <c r="G25" i="72" s="1"/>
  <c r="H27" i="72" s="1"/>
  <c r="F6" i="12"/>
  <c r="F9" i="12"/>
  <c r="H9" i="12"/>
  <c r="G4" i="12"/>
  <c r="H4" i="12" s="1"/>
  <c r="F4" i="12"/>
  <c r="H6" i="12"/>
  <c r="F7" i="7"/>
  <c r="F83" i="7"/>
  <c r="G83" i="7" s="1"/>
  <c r="F117" i="7"/>
  <c r="G117" i="7" s="1"/>
  <c r="F33" i="7"/>
  <c r="G33" i="7" s="1"/>
  <c r="F100" i="7"/>
  <c r="G100" i="7" s="1"/>
  <c r="F49" i="7"/>
  <c r="G49" i="7" s="1"/>
  <c r="F18" i="7"/>
  <c r="G18" i="7" s="1"/>
  <c r="H32" i="55" l="1"/>
  <c r="H38" i="55" s="1"/>
  <c r="F33" i="76" s="1"/>
  <c r="H32" i="54"/>
  <c r="H38" i="54" s="1"/>
  <c r="D33" i="49"/>
  <c r="C2199" i="37"/>
  <c r="F31" i="72"/>
  <c r="G31" i="72" s="1"/>
  <c r="H32" i="72" s="1"/>
  <c r="H38" i="72" s="1"/>
  <c r="D7" i="7"/>
  <c r="F66" i="7"/>
  <c r="G66" i="7" s="1"/>
  <c r="C1435" i="37"/>
  <c r="C824" i="37"/>
  <c r="C829" i="37"/>
  <c r="C816" i="37"/>
  <c r="C820" i="37"/>
  <c r="D24" i="57"/>
  <c r="D38" i="57"/>
  <c r="D30" i="57"/>
  <c r="C1487" i="37"/>
  <c r="C1401" i="37"/>
  <c r="C1361" i="37"/>
  <c r="C1546" i="37"/>
  <c r="C1559" i="37"/>
  <c r="C1523" i="37"/>
  <c r="C1444" i="37"/>
  <c r="C1550" i="37"/>
  <c r="C1474" i="37"/>
  <c r="C1478" i="37"/>
  <c r="C908" i="37"/>
  <c r="C893" i="37"/>
  <c r="C898" i="37"/>
  <c r="C1917" i="37"/>
  <c r="C2014" i="37"/>
  <c r="C1973" i="37"/>
  <c r="C1960" i="37"/>
  <c r="C1937" i="37"/>
  <c r="C1978" i="37"/>
  <c r="C2001" i="37"/>
  <c r="C2019" i="37"/>
  <c r="C1932" i="37"/>
  <c r="C2005" i="37"/>
  <c r="C1964" i="37"/>
  <c r="C1921" i="37"/>
  <c r="C1141" i="37"/>
  <c r="C1133" i="37"/>
  <c r="C1137" i="37"/>
  <c r="C1582" i="37"/>
  <c r="C1595" i="37"/>
  <c r="C1104" i="37"/>
  <c r="C1096" i="37"/>
  <c r="C912" i="37"/>
  <c r="C1066" i="37"/>
  <c r="C1108" i="37"/>
  <c r="C992" i="37"/>
  <c r="C954" i="37"/>
  <c r="C1029" i="37"/>
  <c r="C1308" i="37"/>
  <c r="C1320" i="37"/>
  <c r="C1276" i="37"/>
  <c r="C1025" i="37"/>
  <c r="C861" i="37"/>
  <c r="C1590" i="37"/>
  <c r="F14" i="33"/>
  <c r="D40" i="49"/>
  <c r="D23" i="49"/>
  <c r="D27" i="49"/>
  <c r="C1100" i="37"/>
  <c r="C1665" i="37"/>
  <c r="C1439" i="37"/>
  <c r="G1031" i="37"/>
  <c r="C1312" i="37"/>
  <c r="C2163" i="37"/>
  <c r="C2168" i="37"/>
  <c r="C2204" i="37"/>
  <c r="C2151" i="37"/>
  <c r="C1518" i="37"/>
  <c r="C1510" i="37"/>
  <c r="C2009" i="37"/>
  <c r="C950" i="37"/>
  <c r="C937" i="37"/>
  <c r="C988" i="37"/>
  <c r="C1054" i="37"/>
  <c r="C1017" i="37"/>
  <c r="C980" i="37"/>
  <c r="C1709" i="37"/>
  <c r="C1719" i="37"/>
  <c r="C1714" i="37"/>
  <c r="C1701" i="37"/>
  <c r="C1280" i="37"/>
  <c r="C1062" i="37"/>
  <c r="C1797" i="37"/>
  <c r="G2056" i="37"/>
  <c r="C2050" i="37" s="1"/>
  <c r="C2124" i="37"/>
  <c r="C2112" i="37"/>
  <c r="C23" i="39"/>
  <c r="E8" i="33"/>
  <c r="C37" i="39"/>
  <c r="C1245" i="37"/>
  <c r="C1554" i="37"/>
  <c r="C1316" i="37"/>
  <c r="C2155" i="37"/>
  <c r="C941" i="37"/>
  <c r="C1806" i="37"/>
  <c r="C1763" i="37"/>
  <c r="C1802" i="37"/>
  <c r="C1789" i="37"/>
  <c r="C1670" i="37"/>
  <c r="C1657" i="37"/>
  <c r="C1968" i="37"/>
  <c r="C1237" i="37"/>
  <c r="C1272" i="37"/>
  <c r="C1249" i="37"/>
  <c r="C1284" i="37"/>
  <c r="C1021" i="37"/>
  <c r="C902" i="37"/>
  <c r="C1925" i="37"/>
  <c r="C984" i="37"/>
  <c r="C866" i="37"/>
  <c r="C853" i="37"/>
  <c r="H45" i="48"/>
  <c r="C1482" i="37"/>
  <c r="C1586" i="37"/>
  <c r="G40" i="43"/>
  <c r="C2120" i="37"/>
  <c r="C1661" i="37"/>
  <c r="C33" i="39"/>
  <c r="G1765" i="37"/>
  <c r="C1754" i="37" s="1"/>
  <c r="D34" i="57"/>
  <c r="H40" i="46"/>
  <c r="G38" i="42"/>
  <c r="C32" i="42" s="1"/>
  <c r="C2159" i="37"/>
  <c r="G1633" i="37"/>
  <c r="C1626" i="37" s="1"/>
  <c r="C945" i="37"/>
  <c r="C25" i="38"/>
  <c r="G25" i="38" s="1"/>
  <c r="H27" i="38" s="1"/>
  <c r="F31" i="38" s="1"/>
  <c r="G31" i="38" s="1"/>
  <c r="H32" i="38" s="1"/>
  <c r="H8" i="12"/>
  <c r="F90" i="7"/>
  <c r="G90" i="7" s="1"/>
  <c r="G91" i="7" s="1"/>
  <c r="F107" i="7"/>
  <c r="G107" i="7" s="1"/>
  <c r="G108" i="7" s="1"/>
  <c r="F124" i="7"/>
  <c r="G124" i="7" s="1"/>
  <c r="G125" i="7" s="1"/>
  <c r="F23" i="7"/>
  <c r="G23" i="7" s="1"/>
  <c r="G25" i="7" s="1"/>
  <c r="F56" i="7"/>
  <c r="G56" i="7" s="1"/>
  <c r="G57" i="7" s="1"/>
  <c r="F73" i="7"/>
  <c r="G73" i="7" s="1"/>
  <c r="G74" i="7" s="1"/>
  <c r="F40" i="7"/>
  <c r="G40" i="7" s="1"/>
  <c r="G41" i="7" s="1"/>
  <c r="E13" i="10"/>
  <c r="E36" i="10"/>
  <c r="F36" i="10" s="1"/>
  <c r="E52" i="10"/>
  <c r="F52" i="10" s="1"/>
  <c r="E66" i="10"/>
  <c r="F66" i="10" s="1"/>
  <c r="E34" i="10"/>
  <c r="E51" i="10"/>
  <c r="F51" i="10" s="1"/>
  <c r="E68" i="10"/>
  <c r="F68" i="10" s="1"/>
  <c r="E61" i="10"/>
  <c r="F61" i="10" s="1"/>
  <c r="E84" i="10"/>
  <c r="F84" i="10" s="1"/>
  <c r="E44" i="10"/>
  <c r="F44" i="10" s="1"/>
  <c r="E54" i="10"/>
  <c r="F54" i="10" s="1"/>
  <c r="E40" i="10"/>
  <c r="F40" i="10" s="1"/>
  <c r="E39" i="10"/>
  <c r="F39" i="10" s="1"/>
  <c r="E65" i="10"/>
  <c r="F65" i="10" s="1"/>
  <c r="E80" i="10"/>
  <c r="F80" i="10" s="1"/>
  <c r="E83" i="10"/>
  <c r="F83" i="10" s="1"/>
  <c r="G33" i="76" l="1"/>
  <c r="G38" i="76" s="1"/>
  <c r="J33" i="76"/>
  <c r="C2046" i="37"/>
  <c r="D27" i="54"/>
  <c r="D21" i="54"/>
  <c r="D32" i="54"/>
  <c r="D36" i="54"/>
  <c r="D27" i="55"/>
  <c r="D32" i="55"/>
  <c r="D21" i="55"/>
  <c r="D36" i="55"/>
  <c r="G92" i="7"/>
  <c r="E57" i="60"/>
  <c r="H57" i="60" s="1"/>
  <c r="D36" i="72"/>
  <c r="D21" i="72"/>
  <c r="D27" i="72"/>
  <c r="D32" i="72"/>
  <c r="F8" i="33"/>
  <c r="E13" i="33"/>
  <c r="F13" i="33" s="1"/>
  <c r="D43" i="48"/>
  <c r="D23" i="48"/>
  <c r="D29" i="48"/>
  <c r="C1618" i="37"/>
  <c r="C1631" i="37"/>
  <c r="C1622" i="37"/>
  <c r="C2042" i="37"/>
  <c r="C2054" i="37"/>
  <c r="E11" i="33"/>
  <c r="F11" i="33" s="1"/>
  <c r="D23" i="46"/>
  <c r="D38" i="46"/>
  <c r="D27" i="46"/>
  <c r="E9" i="33"/>
  <c r="F9" i="33" s="1"/>
  <c r="C36" i="42"/>
  <c r="C23" i="42"/>
  <c r="C27" i="42"/>
  <c r="D34" i="46"/>
  <c r="C1750" i="37"/>
  <c r="C1759" i="37"/>
  <c r="C1746" i="37"/>
  <c r="E10" i="33"/>
  <c r="F10" i="33" s="1"/>
  <c r="C23" i="43"/>
  <c r="C38" i="43"/>
  <c r="C27" i="43"/>
  <c r="D36" i="48"/>
  <c r="C34" i="43"/>
  <c r="E510" i="37"/>
  <c r="F510" i="37" s="1"/>
  <c r="G512" i="37" s="1"/>
  <c r="E370" i="37"/>
  <c r="F370" i="37" s="1"/>
  <c r="G371" i="37" s="1"/>
  <c r="E474" i="37"/>
  <c r="F474" i="37" s="1"/>
  <c r="G476" i="37" s="1"/>
  <c r="E443" i="37"/>
  <c r="F443" i="37" s="1"/>
  <c r="G445" i="37" s="1"/>
  <c r="E334" i="37"/>
  <c r="F334" i="37" s="1"/>
  <c r="G335" i="37" s="1"/>
  <c r="E303" i="37"/>
  <c r="F303" i="37" s="1"/>
  <c r="G304" i="37" s="1"/>
  <c r="E268" i="37"/>
  <c r="F268" i="37" s="1"/>
  <c r="G269" i="37" s="1"/>
  <c r="E2324" i="37"/>
  <c r="F2324" i="37" s="1"/>
  <c r="G2325" i="37" s="1"/>
  <c r="G2327" i="37" s="1"/>
  <c r="E405" i="37"/>
  <c r="F405" i="37" s="1"/>
  <c r="G406" i="37" s="1"/>
  <c r="E198" i="37"/>
  <c r="F198" i="37" s="1"/>
  <c r="G200" i="37" s="1"/>
  <c r="E103" i="37"/>
  <c r="F103" i="37" s="1"/>
  <c r="G104" i="37" s="1"/>
  <c r="E69" i="37"/>
  <c r="F69" i="37" s="1"/>
  <c r="G70" i="37" s="1"/>
  <c r="E2364" i="37"/>
  <c r="F2364" i="37" s="1"/>
  <c r="G2365" i="37" s="1"/>
  <c r="E234" i="37"/>
  <c r="F234" i="37" s="1"/>
  <c r="G235" i="37" s="1"/>
  <c r="E134" i="37"/>
  <c r="F134" i="37" s="1"/>
  <c r="G136" i="37" s="1"/>
  <c r="E2389" i="37"/>
  <c r="E624" i="37"/>
  <c r="F624" i="37" s="1"/>
  <c r="G109" i="7"/>
  <c r="F133" i="7" s="1"/>
  <c r="G58" i="7"/>
  <c r="F136" i="7" s="1"/>
  <c r="G136" i="7" s="1"/>
  <c r="G75" i="7"/>
  <c r="E72" i="10"/>
  <c r="F72" i="10" s="1"/>
  <c r="G26" i="7"/>
  <c r="G126" i="7"/>
  <c r="F132" i="7" s="1"/>
  <c r="G132" i="7" s="1"/>
  <c r="G42" i="7"/>
  <c r="F137" i="7" s="1"/>
  <c r="G137" i="7" s="1"/>
  <c r="F13" i="10"/>
  <c r="E45" i="10"/>
  <c r="F45" i="10" s="1"/>
  <c r="E8" i="10"/>
  <c r="F8" i="10" s="1"/>
  <c r="E78" i="10"/>
  <c r="F78" i="10" s="1"/>
  <c r="E41" i="10"/>
  <c r="F41" i="10" s="1"/>
  <c r="E63" i="10"/>
  <c r="F63" i="10" s="1"/>
  <c r="E70" i="10"/>
  <c r="F70" i="10" s="1"/>
  <c r="E81" i="10"/>
  <c r="F81" i="10" s="1"/>
  <c r="E38" i="10"/>
  <c r="F38" i="10" s="1"/>
  <c r="F34" i="10"/>
  <c r="E64" i="10"/>
  <c r="F64" i="10" s="1"/>
  <c r="E73" i="10"/>
  <c r="F73" i="10" s="1"/>
  <c r="E60" i="10"/>
  <c r="F60" i="10" s="1"/>
  <c r="E42" i="10"/>
  <c r="F42" i="10" s="1"/>
  <c r="G40" i="76" l="1"/>
  <c r="G39" i="76"/>
  <c r="E22" i="37"/>
  <c r="F22" i="37" s="1"/>
  <c r="G23" i="37" s="1"/>
  <c r="F134" i="7"/>
  <c r="G134" i="7" s="1"/>
  <c r="F19" i="56"/>
  <c r="G19" i="56" s="1"/>
  <c r="H22" i="56" s="1"/>
  <c r="H39" i="56" s="1"/>
  <c r="G19" i="52"/>
  <c r="H25" i="52" s="1"/>
  <c r="H42" i="52" s="1"/>
  <c r="F16" i="33" s="1"/>
  <c r="H20" i="53"/>
  <c r="H37" i="53" s="1"/>
  <c r="F19" i="51"/>
  <c r="G19" i="51" s="1"/>
  <c r="G20" i="51"/>
  <c r="C2325" i="37"/>
  <c r="C2311" i="37"/>
  <c r="C2315" i="37"/>
  <c r="C2321" i="37"/>
  <c r="G139" i="37"/>
  <c r="C136" i="37" s="1"/>
  <c r="G478" i="37"/>
  <c r="C476" i="37" s="1"/>
  <c r="G237" i="37"/>
  <c r="C235" i="37" s="1"/>
  <c r="G202" i="37"/>
  <c r="C200" i="37" s="1"/>
  <c r="G306" i="37"/>
  <c r="C304" i="37" s="1"/>
  <c r="G374" i="37"/>
  <c r="C371" i="37" s="1"/>
  <c r="G72" i="37"/>
  <c r="G447" i="37"/>
  <c r="C445" i="37" s="1"/>
  <c r="G106" i="37"/>
  <c r="C104" i="37" s="1"/>
  <c r="G271" i="37"/>
  <c r="C269" i="37" s="1"/>
  <c r="G2367" i="37"/>
  <c r="C2365" i="37" s="1"/>
  <c r="G409" i="37"/>
  <c r="C406" i="37" s="1"/>
  <c r="G337" i="37"/>
  <c r="C335" i="37" s="1"/>
  <c r="G514" i="37"/>
  <c r="C512" i="37" s="1"/>
  <c r="G133" i="7"/>
  <c r="E2397" i="37"/>
  <c r="F2397" i="37" s="1"/>
  <c r="F2389" i="37"/>
  <c r="E1828" i="37"/>
  <c r="F1828" i="37" s="1"/>
  <c r="G1832" i="37" s="1"/>
  <c r="E1387" i="37"/>
  <c r="F1387" i="37" s="1"/>
  <c r="G1388" i="37" s="1"/>
  <c r="G1403" i="37" s="1"/>
  <c r="E1199" i="37"/>
  <c r="F1199" i="37" s="1"/>
  <c r="G1201" i="37" s="1"/>
  <c r="E2268" i="37"/>
  <c r="F2268" i="37" s="1"/>
  <c r="G2269" i="37" s="1"/>
  <c r="E670" i="37"/>
  <c r="F670" i="37" s="1"/>
  <c r="G671" i="37" s="1"/>
  <c r="E2392" i="37"/>
  <c r="F2392" i="37" s="1"/>
  <c r="E2226" i="37"/>
  <c r="F2226" i="37" s="1"/>
  <c r="G2227" i="37" s="1"/>
  <c r="E1347" i="37"/>
  <c r="F1347" i="37" s="1"/>
  <c r="G1348" i="37" s="1"/>
  <c r="E705" i="37"/>
  <c r="F705" i="37" s="1"/>
  <c r="G706" i="37" s="1"/>
  <c r="E2189" i="37"/>
  <c r="F2189" i="37" s="1"/>
  <c r="G2191" i="37" s="1"/>
  <c r="F135" i="7"/>
  <c r="G135" i="7" s="1"/>
  <c r="E2387" i="37"/>
  <c r="F2387" i="37" s="1"/>
  <c r="E1866" i="37"/>
  <c r="F1866" i="37" s="1"/>
  <c r="G1871" i="37" s="1"/>
  <c r="G1891" i="37" s="1"/>
  <c r="E776" i="37"/>
  <c r="F776" i="37" s="1"/>
  <c r="G780" i="37" s="1"/>
  <c r="E739" i="37"/>
  <c r="F739" i="37" s="1"/>
  <c r="G741" i="37" s="1"/>
  <c r="E534" i="37"/>
  <c r="F534" i="37" s="1"/>
  <c r="G539" i="37" s="1"/>
  <c r="E619" i="37"/>
  <c r="F619" i="37" s="1"/>
  <c r="G628" i="37" s="1"/>
  <c r="E576" i="37"/>
  <c r="F576" i="37" s="1"/>
  <c r="G582" i="37" s="1"/>
  <c r="H38" i="38"/>
  <c r="E22" i="10"/>
  <c r="F22" i="10" s="1"/>
  <c r="E24" i="10"/>
  <c r="F24" i="10" s="1"/>
  <c r="G43" i="76" l="1"/>
  <c r="G44" i="76" s="1"/>
  <c r="G45" i="76" s="1"/>
  <c r="F6" i="33"/>
  <c r="F19" i="33" s="1"/>
  <c r="G6" i="33" s="1"/>
  <c r="E6" i="33"/>
  <c r="D22" i="56"/>
  <c r="D33" i="56"/>
  <c r="D28" i="56"/>
  <c r="D37" i="56"/>
  <c r="D20" i="53"/>
  <c r="D26" i="53"/>
  <c r="D35" i="53"/>
  <c r="D31" i="53"/>
  <c r="H25" i="51"/>
  <c r="H42" i="51" s="1"/>
  <c r="D25" i="52"/>
  <c r="D31" i="52"/>
  <c r="D36" i="52"/>
  <c r="D40" i="52"/>
  <c r="C394" i="37"/>
  <c r="C402" i="37"/>
  <c r="C398" i="37"/>
  <c r="C429" i="37"/>
  <c r="C433" i="37"/>
  <c r="C440" i="37"/>
  <c r="C191" i="37"/>
  <c r="C195" i="37"/>
  <c r="C62" i="37"/>
  <c r="C58" i="37"/>
  <c r="C66" i="37"/>
  <c r="C498" i="37"/>
  <c r="C507" i="37"/>
  <c r="C502" i="37"/>
  <c r="C257" i="37"/>
  <c r="C265" i="37"/>
  <c r="C261" i="37"/>
  <c r="C362" i="37"/>
  <c r="C358" i="37"/>
  <c r="C366" i="37"/>
  <c r="C471" i="37"/>
  <c r="C467" i="37"/>
  <c r="C326" i="37"/>
  <c r="C330" i="37"/>
  <c r="C2361" i="37"/>
  <c r="C2355" i="37"/>
  <c r="C2347" i="37"/>
  <c r="C2351" i="37"/>
  <c r="C96" i="37"/>
  <c r="C100" i="37"/>
  <c r="C92" i="37"/>
  <c r="C70" i="37"/>
  <c r="C295" i="37"/>
  <c r="C300" i="37"/>
  <c r="C291" i="37"/>
  <c r="C226" i="37"/>
  <c r="C222" i="37"/>
  <c r="C231" i="37"/>
  <c r="C131" i="37"/>
  <c r="C127" i="37"/>
  <c r="G757" i="37"/>
  <c r="G1215" i="37"/>
  <c r="C1201" i="37" s="1"/>
  <c r="G600" i="37"/>
  <c r="G2206" i="37"/>
  <c r="C2191" i="37"/>
  <c r="G651" i="37"/>
  <c r="G720" i="37"/>
  <c r="C706" i="37" s="1"/>
  <c r="G686" i="37"/>
  <c r="G1846" i="37"/>
  <c r="C1832" i="37" s="1"/>
  <c r="D36" i="38"/>
  <c r="D32" i="38"/>
  <c r="D27" i="38"/>
  <c r="G2248" i="37"/>
  <c r="C2227" i="37" s="1"/>
  <c r="G794" i="37"/>
  <c r="C780" i="37" s="1"/>
  <c r="C1388" i="37"/>
  <c r="C1396" i="37"/>
  <c r="C1392" i="37"/>
  <c r="D21" i="38"/>
  <c r="G558" i="37"/>
  <c r="G2398" i="37"/>
  <c r="G2421" i="37" s="1"/>
  <c r="G1363" i="37"/>
  <c r="C1348" i="37" s="1"/>
  <c r="G2290" i="37"/>
  <c r="C2269" i="37" s="1"/>
  <c r="E75" i="10"/>
  <c r="F75" i="10" s="1"/>
  <c r="E74" i="10"/>
  <c r="F74" i="10" s="1"/>
  <c r="E11" i="10"/>
  <c r="F11" i="10" s="1"/>
  <c r="E94" i="10"/>
  <c r="F94" i="10" s="1"/>
  <c r="E15" i="10"/>
  <c r="F15" i="10" s="1"/>
  <c r="E6" i="10"/>
  <c r="E16" i="10"/>
  <c r="F16" i="10" s="1"/>
  <c r="E92" i="10"/>
  <c r="F92" i="10" s="1"/>
  <c r="E20" i="10"/>
  <c r="F20" i="10" s="1"/>
  <c r="E23" i="10"/>
  <c r="F23" i="10" s="1"/>
  <c r="E17" i="10"/>
  <c r="F17" i="10" s="1"/>
  <c r="E14" i="10"/>
  <c r="F14" i="10" s="1"/>
  <c r="E12" i="10"/>
  <c r="F12" i="10" s="1"/>
  <c r="E21" i="10"/>
  <c r="F21" i="10" s="1"/>
  <c r="E18" i="10"/>
  <c r="F18" i="10" s="1"/>
  <c r="E29" i="10"/>
  <c r="F29" i="10" s="1"/>
  <c r="E88" i="10"/>
  <c r="F88" i="10" s="1"/>
  <c r="E89" i="10"/>
  <c r="F89" i="10" s="1"/>
  <c r="E86" i="10"/>
  <c r="F86" i="10" s="1"/>
  <c r="E32" i="10"/>
  <c r="F32" i="10" s="1"/>
  <c r="E30" i="10"/>
  <c r="F30" i="10" s="1"/>
  <c r="E28" i="10"/>
  <c r="F28" i="10" s="1"/>
  <c r="E57" i="10"/>
  <c r="F57" i="10" s="1"/>
  <c r="E58" i="10"/>
  <c r="F58" i="10" s="1"/>
  <c r="E48" i="10"/>
  <c r="F48" i="10" s="1"/>
  <c r="E27" i="10"/>
  <c r="F27" i="10" s="1"/>
  <c r="E26" i="10"/>
  <c r="F26" i="10" s="1"/>
  <c r="G8" i="33" l="1"/>
  <c r="G17" i="33"/>
  <c r="D25" i="51"/>
  <c r="D40" i="51"/>
  <c r="D31" i="51"/>
  <c r="D36" i="51"/>
  <c r="E34" i="37"/>
  <c r="F34" i="37" s="1"/>
  <c r="G35" i="37" s="1"/>
  <c r="C552" i="37"/>
  <c r="C556" i="37"/>
  <c r="C543" i="37"/>
  <c r="C547" i="37"/>
  <c r="C684" i="37"/>
  <c r="C679" i="37"/>
  <c r="C675" i="37"/>
  <c r="C590" i="37"/>
  <c r="C586" i="37"/>
  <c r="C598" i="37"/>
  <c r="C594" i="37"/>
  <c r="C1352" i="37"/>
  <c r="C1356" i="37"/>
  <c r="C784" i="37"/>
  <c r="C792" i="37"/>
  <c r="C788" i="37"/>
  <c r="C714" i="37"/>
  <c r="C710" i="37"/>
  <c r="C718" i="37"/>
  <c r="C1209" i="37"/>
  <c r="C1205" i="37"/>
  <c r="C1145" i="37"/>
  <c r="C1213" i="37"/>
  <c r="C636" i="37"/>
  <c r="C645" i="37"/>
  <c r="C649" i="37"/>
  <c r="C632" i="37"/>
  <c r="C745" i="37"/>
  <c r="C755" i="37"/>
  <c r="C749" i="37"/>
  <c r="C1840" i="37"/>
  <c r="C1844" i="37"/>
  <c r="C1836" i="37"/>
  <c r="C2283" i="37"/>
  <c r="C2277" i="37"/>
  <c r="C2273" i="37"/>
  <c r="C2288" i="37"/>
  <c r="C539" i="37"/>
  <c r="C2246" i="37"/>
  <c r="C2241" i="37"/>
  <c r="C2231" i="37"/>
  <c r="C2235" i="37"/>
  <c r="C671" i="37"/>
  <c r="C628" i="37"/>
  <c r="C582" i="37"/>
  <c r="C741" i="37"/>
  <c r="E31" i="10"/>
  <c r="F31" i="10" s="1"/>
  <c r="F6" i="10"/>
  <c r="G37" i="37" l="1"/>
  <c r="C35" i="37" s="1"/>
  <c r="C23" i="37" l="1"/>
  <c r="C27" i="37"/>
  <c r="C31" i="37"/>
  <c r="E4" i="10"/>
  <c r="F4" i="10" s="1"/>
  <c r="E91" i="10"/>
  <c r="F91" i="10" s="1"/>
  <c r="F95" i="10" l="1"/>
  <c r="F21" i="33" l="1"/>
  <c r="O428" i="27"/>
  <c r="P21" i="27"/>
  <c r="O400" i="27"/>
  <c r="G9" i="33"/>
  <c r="G14" i="33"/>
  <c r="G11" i="33"/>
  <c r="G10" i="33"/>
  <c r="I28" i="65"/>
  <c r="G13" i="33"/>
  <c r="G16" i="33"/>
  <c r="F98" i="10"/>
  <c r="F97" i="10" l="1"/>
  <c r="F99" i="10" s="1"/>
  <c r="F101" i="10" s="1"/>
  <c r="F105" i="10" s="1"/>
  <c r="J30" i="65" l="1"/>
  <c r="J31" i="65"/>
  <c r="K33" i="65"/>
  <c r="I34" i="65"/>
  <c r="I35" i="65"/>
  <c r="I36" i="65"/>
  <c r="I37" i="65"/>
  <c r="I39" i="65"/>
  <c r="H40" i="65"/>
  <c r="I40" i="65" s="1"/>
  <c r="J43" i="65"/>
  <c r="D10" i="69" l="1"/>
  <c r="F10" i="69"/>
  <c r="H10" i="69" s="1"/>
  <c r="D12" i="69"/>
  <c r="F12" i="69"/>
  <c r="J16" i="69"/>
  <c r="B14" i="69" s="1"/>
  <c r="D14" i="69" s="1"/>
  <c r="H14" i="69" s="1"/>
  <c r="M20" i="69"/>
  <c r="B11" i="69" s="1"/>
  <c r="D11" i="69" s="1"/>
  <c r="H11" i="69" s="1"/>
  <c r="H12" i="69" l="1"/>
  <c r="H16" i="69"/>
  <c r="E69" i="60" s="1"/>
  <c r="H69" i="60" s="1"/>
  <c r="H71" i="60" s="1"/>
  <c r="D27" i="58"/>
  <c r="F27" i="58" s="1"/>
  <c r="F93" i="58" s="1"/>
  <c r="F24" i="33" s="1"/>
  <c r="M457" i="27" l="1"/>
  <c r="K33" i="76"/>
  <c r="L33" i="76" s="1"/>
  <c r="L38" i="76" s="1"/>
  <c r="L40" i="76" l="1"/>
  <c r="L39" i="76"/>
  <c r="L43" i="76" l="1"/>
  <c r="J43" i="76" l="1"/>
  <c r="L46" i="76"/>
  <c r="J45" i="76" l="1"/>
  <c r="L47" i="76"/>
  <c r="J47" i="76" s="1"/>
  <c r="F9" i="70"/>
  <c r="E9" i="70"/>
  <c r="G14" i="66"/>
  <c r="D14" i="66"/>
  <c r="K34" i="66"/>
  <c r="L34" i="66"/>
  <c r="C14" i="66"/>
  <c r="F22" i="59"/>
  <c r="F20" i="59"/>
  <c r="E20" i="59"/>
  <c r="G19" i="59"/>
  <c r="G15" i="66"/>
  <c r="D15" i="66"/>
  <c r="D41" i="61"/>
  <c r="K43" i="65"/>
  <c r="I43" i="65"/>
  <c r="G13" i="66"/>
  <c r="D13" i="66"/>
  <c r="G13" i="61"/>
  <c r="H73" i="60"/>
  <c r="F25" i="33"/>
  <c r="G29" i="66"/>
  <c r="G22" i="66"/>
  <c r="C24" i="66"/>
  <c r="F11" i="70"/>
  <c r="E11" i="70"/>
  <c r="J53" i="65"/>
  <c r="G14" i="61"/>
  <c r="G12" i="61"/>
  <c r="H42" i="65"/>
  <c r="J29" i="65"/>
  <c r="J32" i="65"/>
  <c r="I33" i="65"/>
  <c r="L33" i="65"/>
  <c r="F10" i="70"/>
  <c r="E10" i="70"/>
  <c r="D12" i="66"/>
  <c r="G12" i="66"/>
  <c r="G19" i="66"/>
  <c r="G21" i="66"/>
  <c r="F13" i="68"/>
  <c r="F11" i="68"/>
  <c r="F8" i="68"/>
  <c r="F10" i="68"/>
  <c r="F12" i="68"/>
  <c r="F9" i="68"/>
  <c r="G18" i="66"/>
  <c r="D18" i="66"/>
  <c r="B18" i="66"/>
  <c r="E12" i="70"/>
  <c r="F12" i="70"/>
  <c r="L28" i="65"/>
  <c r="K28" i="65"/>
  <c r="K37" i="65"/>
  <c r="K29" i="65"/>
  <c r="F29" i="33"/>
  <c r="F31" i="33"/>
  <c r="H74" i="60"/>
  <c r="G16" i="66"/>
  <c r="D16" i="66"/>
  <c r="F8" i="70"/>
  <c r="F15" i="70"/>
  <c r="F17" i="70"/>
  <c r="D39" i="61"/>
  <c r="D43" i="61"/>
  <c r="D44" i="61"/>
  <c r="H33" i="60"/>
  <c r="H34" i="60"/>
  <c r="H72" i="60"/>
  <c r="B5" i="70"/>
  <c r="E8" i="70"/>
  <c r="E15" i="70"/>
  <c r="I32" i="65"/>
  <c r="J46" i="65"/>
  <c r="I28" i="66"/>
  <c r="G20" i="66"/>
  <c r="F7" i="68"/>
  <c r="F15" i="68"/>
  <c r="I26" i="65"/>
  <c r="I25" i="65"/>
  <c r="I27" i="65"/>
  <c r="I29" i="65"/>
  <c r="E20" i="33"/>
  <c r="F20" i="33"/>
  <c r="F22" i="33"/>
  <c r="F27" i="33"/>
  <c r="B5" i="68"/>
  <c r="C5" i="66"/>
  <c r="E7" i="6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NESTOR RAUL PIZARRO ACEVEDO</author>
  </authors>
  <commentList>
    <comment ref="B32" authorId="0" shapeId="0" xr:uid="{5124A4F5-6E80-451D-8CD3-1ABA0339E170}">
      <text>
        <r>
          <rPr>
            <b/>
            <sz val="9"/>
            <color indexed="81"/>
            <rFont val="Tahoma"/>
            <family val="2"/>
          </rPr>
          <t xml:space="preserve">Validar si es deducible del impuesto de renta
</t>
        </r>
        <r>
          <rPr>
            <sz val="9"/>
            <color indexed="81"/>
            <rFont val="Tahoma"/>
            <family val="2"/>
          </rPr>
          <t xml:space="preserve">
</t>
        </r>
      </text>
    </comment>
    <comment ref="E51" authorId="0" shapeId="0" xr:uid="{F389E346-B3CA-48CD-B645-088D81C70132}">
      <text>
        <r>
          <rPr>
            <b/>
            <sz val="9"/>
            <color indexed="81"/>
            <rFont val="Tahoma"/>
            <family val="2"/>
          </rPr>
          <t>Dotación cada 4 meses 3 veces al año</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Alejandro Gómez</author>
  </authors>
  <commentList>
    <comment ref="B65" authorId="0" shapeId="0" xr:uid="{B094528B-87BA-4DFA-809E-8B24F0F849C9}">
      <text>
        <r>
          <rPr>
            <sz val="9"/>
            <color indexed="81"/>
            <rFont val="Tahoma"/>
            <family val="2"/>
          </rPr>
          <t xml:space="preserve">No tiene IVA
</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<sst xmlns="http://schemas.openxmlformats.org/spreadsheetml/2006/main" count="7324" uniqueCount="1824">
  <si>
    <t>PRESUPUESTO GENERAL</t>
  </si>
  <si>
    <t>ÍTEM</t>
  </si>
  <si>
    <t>CAPITULOS Y ACTIVIDADES</t>
  </si>
  <si>
    <t>UNIDAD DE MEDIDA</t>
  </si>
  <si>
    <t>CANTIDAD</t>
  </si>
  <si>
    <t>VALOR UNITARIO</t>
  </si>
  <si>
    <t>VALOR PARCIAL</t>
  </si>
  <si>
    <t>PROVISIONAL</t>
  </si>
  <si>
    <t>1.0</t>
  </si>
  <si>
    <t>Instalación de CERRAMIENTO PROVISIONAL en tela naranja con una altura de 2,1 m, y estructura en larguero común, concreto de 17.5 Mpa para fijación de estructura en madera común. Incluye suministro, transporte, instalación y desmonte de la tela, excavación manual en cualquier material, cargue, transporte y botada de material y todos los demás elementos necesarios para su correcta instalación.</t>
  </si>
  <si>
    <t>m</t>
  </si>
  <si>
    <t>EXCAVACIÓN MANUAL</t>
  </si>
  <si>
    <t>2.1</t>
  </si>
  <si>
    <t>EXCAVACIÓN MANUAL de material heterogéneo DE 0-2 m., bajo cualquier grado de humedad. Incluye: roca descompuesta, bolas de roca de volumen inferior a 0.35 m³. el cargue, transporte interno del material proveniente de las excavaciones en los sitios donde lo indique la interventoría y su medida será en el sitio. No incluye entibado.</t>
  </si>
  <si>
    <t>m3</t>
  </si>
  <si>
    <t>LLENOS</t>
  </si>
  <si>
    <t>3.1</t>
  </si>
  <si>
    <t>Suministro, transporte y colocación de AFIRMADO y todo lo necesario para su correcta construcción y funcionamiento. Su medida será tomada en sitio ya compactado.</t>
  </si>
  <si>
    <t>3.2</t>
  </si>
  <si>
    <t>LLENOS EN ARENILLA, compactados mecánicamente hasta obtener una densidad del 98% de la máxima obtenida en el ensayo del próctor modificado. Incluye el suministro, transporte, colocación de la arenilla, la compactación de la misma y transporte interno. Y su medida será en sitio ya compactado.</t>
  </si>
  <si>
    <t>RETIROS</t>
  </si>
  <si>
    <t>4.1</t>
  </si>
  <si>
    <t>RETIRO DE APARATOS SANITARIOS, incluye el cargue, transporte, botada o recuperación de aparatos sanitarios, lavamanos, lavaderos, orinales. Incluye botada en botaderos oficiales y la recuperación de los materiales aprovechables y/o su transporte hasta la bodega o el sitio que indique la interventoría.</t>
  </si>
  <si>
    <t>un</t>
  </si>
  <si>
    <t>4.2</t>
  </si>
  <si>
    <t>RETIRO DE PUERTAS (marco y ala) metálicas, en aluminio, en madera o puerta reja. Incluye el retiro, cargue, transporte, botada de escombros en botaderos oficiales y recuperación de los materiales aprovechables y su transporte hasta la bodega o el sitio que lo indique la interventoría. Ancho variable desde 0,60 a 1,20 m.</t>
  </si>
  <si>
    <t>4.3</t>
  </si>
  <si>
    <t>RETIRO, CARGUE, TRANSPORTE Y BOTADA DE ESCOMBROS, incluye, el cargue con máquina, repaleo, transporte interno y externo y botada de material tipo escombro en los sitios donde lo indique la interventoría y su medida será en el sitio.</t>
  </si>
  <si>
    <t>4.4</t>
  </si>
  <si>
    <t>RETIRO DE VENTANAS con vidrio, metálicas, en aluminio, en madera o ventana reja. Incluye botada de escombros en botaderos oficiales y recuperación de los materiales aprovechables y su transporte hasta el sitio que lo indique la interventoría. Dimensión variable.</t>
  </si>
  <si>
    <t>4.5</t>
  </si>
  <si>
    <t>RETIRO DE CANOAS, RUANAS, BAJANTES y TUBERÍAS. Incluye el cargue, transporte, botada escombros en botaderos oficiales, recuperación de los materiales aprovechables y su transporte hasta el sitio que lo indique la interventoría.</t>
  </si>
  <si>
    <t>4.6</t>
  </si>
  <si>
    <t>RETIRO DE CERRAMIENTO EN MALLA ESLABONADA. Incluye el retiro, cargue y transporte de los materiales, recuperación de los materiales aprovechables como tubería, malla eslabonada y alambre de púas y su transporte hasta el sitio que indique la interventoría, demolición de concreto, cargue, transporte y botada de escombros provenientes de este retiro en botaderos oficiales o donde indique la interventoría.</t>
  </si>
  <si>
    <t>m2</t>
  </si>
  <si>
    <t>4.7</t>
  </si>
  <si>
    <t>RETIRO DE CUBIERTA EN TEJA DE ASBESTO - CEMENTO, teja plástica o teja similar. Incluye cargue, transporte, botada o recuperación de tablilla, alfardas, cargueras y soleras, cargue, transporte y botada de escombros en botaderos oficiales, recuperación de los materiales aprovechables o su transporte hasta el sitio que lo indique la interventoría. Medido en proyección horizontal.</t>
  </si>
  <si>
    <t>4.8</t>
  </si>
  <si>
    <t>RETIRO DE PIEDRA DE ENTRESUELO para su reutilización en la obra. Incluye cargue, transporte interno para su almacenaje y botada de la arenilla y del material que no se pueda recuperar.</t>
  </si>
  <si>
    <t>DEMOLICIÓN</t>
  </si>
  <si>
    <t>5.1</t>
  </si>
  <si>
    <t>DEMOLICIÓN ANDENES O PISOS, cargue, transporte y botada de escombros de ESPESOR MÁXIMO DE 0.20m, en CONCRETO. Incluye retiro de cordones, retiro de enchape (baldosa, baldosín forros en arenón, madera, vinilo, granito esmerilado, concreto, pisos en gres, entre otros), placa de concreto si existe, entresuelo de recebo; retiro y reinstalación de tapas de medidores de acueducto cualquier diámetro, tapas de energía y tapas cajas de teléfono. Incluye compresor neumático con martillo, además recuperación de los materiales aprovechables o su transporte hasta el sitio que lo indique la interventoría.</t>
  </si>
  <si>
    <t>5.2</t>
  </si>
  <si>
    <t>DEMOLICIÓN LOSAS DE CONCRETO cargue, transporte y botada de escombros, manual o mecánicamente, de cualquier resistencia, reforzado o ciclópeo, y en cualquier clase de estructura. Incluye retiro de refuerzo y cualquier tipo de acabado (revoques y enchapes) o piso (en losas) e instalaciones embebidas, compresor neumático con martillo, además recuperación de los materiales aprovechables o su transporte hasta el sitio que lo indique la interventoría.</t>
  </si>
  <si>
    <t>5.3</t>
  </si>
  <si>
    <t>DEMOLICIÓN MAMPOSTERÍA EN LADRILLO DE 10 a 15 cm DE ESPESOR, incluye cargue, transporte y botada de escombros en botaderos oficiales, demolición de revoques y enchapes aplicados en el muro a demoler e instalaciones embebidas, además recuperación de los materiales aprovechables o su transporte hasta el sitio que lo indique la interventoría; se debe de utilizar cortadora para garantizar que los filetes de la demolición queden ortogonales.</t>
  </si>
  <si>
    <t>5.4</t>
  </si>
  <si>
    <t>DEMOLICIÓN MESÓN EN GRANO, cargue, transporte y botada de escombros. Incluye refuerzo e instalaciones embebidas. Además  su transporte hasta el sitio que lo indique la interventoría.</t>
  </si>
  <si>
    <t>5.5</t>
  </si>
  <si>
    <t>DEMOLICIÓN DE ENCHAPE, espesores entre 0.03 y 0.05 m. Incluye cargue, transporte y botada de escombros en botaderos oficiales, demolición de revoques y enchapes aplicados en el muro a demoler e instalaciones embebidas, además recuperación de los materiales aprovechables o su transporte hasta el sitio que lo indique la interventoría.</t>
  </si>
  <si>
    <t>CONCRETOS</t>
  </si>
  <si>
    <t>6.1</t>
  </si>
  <si>
    <t>Construcción de ANDÉN en concreto de 21 Mpa. espesor de 0.10m., con vaciado alternado cada metro. Incluye suministro y transporte de los materiales, nivelación del terreno y adecuación de la superficie, acabado escobillado y llaneado 0.10m en los bordes, entresuelo, formaleta en súper T para acabado a la vista, curado y todo lo necesario para su correcta construcción y funcionamiento. Según diseño. Las excavaciones o descapotes se pagarán en su ítem respectivo.</t>
  </si>
  <si>
    <t>6.2</t>
  </si>
  <si>
    <t>Construcción de LOSA DE PISO en concreto de 21 MPa. con un ESPESOR DE 0.12 m. Incluye suministro, transporte,  y colocación del concreto, formaleta, vibrado, protección antisol, curado y todos los demás elementos necesarios para su correcta construcción. El entresuelo y el acero de refuerzo se pagará en su respectivo ítem.</t>
  </si>
  <si>
    <t>6.3</t>
  </si>
  <si>
    <t>Construcción de COLUMNAS DE 0.30 x 0.30m.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t>
  </si>
  <si>
    <t>6.4</t>
  </si>
  <si>
    <t>Colocación de REVOQUE con mortero 1:4 EN MUROS. Incluye suministro y transporte de los materiales, fajas, ranuras, filetes y todos los demás elementos necesarios para su correcta construcción.</t>
  </si>
  <si>
    <t>6.5</t>
  </si>
  <si>
    <t>Colocación de MORTERO DE NIVELACION con mortero 1:4 EN PISOS, espesor hasta 8 cm. Incluye suministro y transporte de los materiales, fajas, ranuras, filetes y todos los demás elementos necesarios para su correcta construcción.</t>
  </si>
  <si>
    <t>6.6</t>
  </si>
  <si>
    <t>Construcción de DINTELES EN CONCRETO DE 21 Mpa DE 0.10 X 0.20 m. Incluye suministro, transporte y colocación del concreto, formaleta completa, vibrado, curado, este elemento va revocado o enchapado en el mismo material de la mampostería, el acabado se pagará en el ítem respectivo y todos los elementos necesarios para su correcta ejecución. No incluye refuerzo.</t>
  </si>
  <si>
    <t>6.7</t>
  </si>
  <si>
    <t>Construcción de CUNETA EN "V" en concreto de 21 Mpa., DESARROLLO DE 0.50 m., ESPESOR DE 0.08 m. Incluye suministro, transporte y colocación del concreto, entresuelo 15 cm de piedra y 5 cm de arenilla y todos los demás elementos necesarios para su correcta construcción. Según diseño.</t>
  </si>
  <si>
    <t>ACERO DE REFUERZO</t>
  </si>
  <si>
    <t xml:space="preserve"> </t>
  </si>
  <si>
    <t>7.1</t>
  </si>
  <si>
    <t>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t>
  </si>
  <si>
    <t>kg</t>
  </si>
  <si>
    <t>MALLA ELECTROSOLDADA</t>
  </si>
  <si>
    <t>8.1</t>
  </si>
  <si>
    <t>Colocación de MALLA ELECTROSOLDADA TIPO D 84. Incluye el suministro y el transporte del material y todos los elementos necesarios para su correcta colocación.</t>
  </si>
  <si>
    <t>PINTURA</t>
  </si>
  <si>
    <t>9.1</t>
  </si>
  <si>
    <t>RESANE Y REPINTE de PINTURA ACRÍLICA tipo Koraza o equivalente para exteriores  (hidrorepelente) de primera calidad que cumpla con la Norma NTC 1335, 2 manos o las que sean necesarias para obtener una superficie pareja y homogénea, a satisfacción de la interventoría. Incluye suministro y transporte de los materiales, preparada, retiro de pintura vieja existente, lijada y adecuación de la superficie a intervenir. Color a definir según aprobación de la interventoría.</t>
  </si>
  <si>
    <t>9.2</t>
  </si>
  <si>
    <t>Aplicación de PINTURA A BASE DE AGUA EN MUROS, CON VINILO TIPO 1 de primera calidad sobre muros revocados y/o estucados, tres manos o las necesarias hasta obtener una superficie pareja y homogénea. Incluye suministro y transporte de los materiales, resanes, tapa poros en estuco plástico tipo plastestuco o equivalente diluido en agua proporción 1:2, adecuación de la superficie a intervenir hasta obtener una superficie pareja y homogénea, color a definir según aprobación de la interventoría.</t>
  </si>
  <si>
    <t>9.3</t>
  </si>
  <si>
    <t>Aplicación de ESMALTE A BASE DE ACEITE ENTRE 0,4 - 0,5 m DE ALTURA PARA ZOCALO, dos manos o las necesarias hasta obtener una superficie pareja y homogénea. Incluye suministro y transporte de los materiales, disolvente para pinturas a base de aceite, adecuación de la superficie a intervenir hasta obtener una superficie pareja y homogénea, color a definir según aprobación de la interventoría.</t>
  </si>
  <si>
    <t>ml</t>
  </si>
  <si>
    <t>9.4</t>
  </si>
  <si>
    <t>Aplicación de ESMALTE A BASE DE ACEITE PARA PUERTAS  DE 0,8/1 m x 2,1 m , dos manos o las necesarias hasta obtener una superficie pareja y homogénea. Incluye suministro y transporte de los materiales, disolvente para pinturas a base de aceite, adecuación de la superficie a intervenir hasta obtener una superficie pareja y homogénea, color a definir según aprobación de la interventoría.</t>
  </si>
  <si>
    <t>9.5</t>
  </si>
  <si>
    <t>Aplicación de ESMALTE A BASE DE ACEITE, sobre elementos metálicos, dos manos o las necesarias hasta obtener una superficie pareja y homogénea. Incluye suministro y transporte de los materiales, disolvente para pinturas a base de aceite, adecuación de la superficie a intervenir hasta obtener una superficie pareja y homogénea, color a definir según aprobación de la interventoría.</t>
  </si>
  <si>
    <t>INSTALACIONES HIDRÁULICAS Y SANITARIAS</t>
  </si>
  <si>
    <t>10.1</t>
  </si>
  <si>
    <t>Instalación de SANITARIO INTEGRAL (línea Acuacer o equivalente) color BLANCO, bajo consumo 6lt, diseño de dos piezas, taza redonda, incluye el suministro y transporte del sanitario, sifón esmaltado, grifería antisifón, anillo abierto, abasto metálico, válvula de regulación metálica con manguera flexible, brida de fijación, tapón roscado y todos los demás elementos necesarios para su correcta instalación y funcionamiento.</t>
  </si>
  <si>
    <t>10.2</t>
  </si>
  <si>
    <t>Suministro, transporte y colocación de lavamanos de colgar tipo Acuacer o equivalente. Incluye Grifería galaxia, abasto metálico, sifón botella y todos los demás elementos necesarios para su correcta instalación y funcionamiento.</t>
  </si>
  <si>
    <t>10.3</t>
  </si>
  <si>
    <t>Suministro, transporte y colocación de orinal grande blanco, incluye grifería tipo push, abasto metálico y todos los demás elementos necesarios para su correcta instalación y funcionamiento.</t>
  </si>
  <si>
    <t>MESONES</t>
  </si>
  <si>
    <t>11.1</t>
  </si>
  <si>
    <t>Suministro, transporte y colocación de mesón en acero inoxidable AISI 304 calibre 18 tipo Socoda o equivalente, de  0.60 m de anmcho (recto). Incluye salpicadero, bordes redondeados, parales (pieamigos en platina de 2" x 3/16" asegurados a la pared mediante pernos de expansión de 3/8" x 4" c/u) de soporte donde sea necesario y todos los demás elementos necesarios para su correcta instalación y funcionamiento.</t>
  </si>
  <si>
    <t>12.0</t>
  </si>
  <si>
    <t>CARPINTERÍA METÁLICA/MADERA/SISTEMAS LIVIANOS</t>
  </si>
  <si>
    <t>12.1.0</t>
  </si>
  <si>
    <t>MARCOS Y PUERTAS METÁLICAS</t>
  </si>
  <si>
    <t>12.1.1</t>
  </si>
  <si>
    <t>Suministro, transporte y colocación de puerta metálica (marco y ala) calibre 20 0.8 hasta 1m x  2.10 m. Incluye chapa de seguridad tipo Yale o equivalente, anticorrosivo y esmalte de acabado y todo los demás elementos requeridos para su correcta fabricación e instalación, según diseño.</t>
  </si>
  <si>
    <t>12.1.2</t>
  </si>
  <si>
    <t>Suministro, transporte y colocación de puerta metálica izquierda o derecha(marco y ala) calibre 20 0.6 hasta 0.75 m x 2.10 m. Incluye chapa de seguridad tipo Yale o equivalente, anticorrosivo y esmalte de acabado y todo los demás elementos requeridos para su correcta fabricación e instalación, según diseño.</t>
  </si>
  <si>
    <t>12.2.0</t>
  </si>
  <si>
    <t>VENTANA</t>
  </si>
  <si>
    <t>12.2.1</t>
  </si>
  <si>
    <t>Suministro, transporte y colocación de ventana proyectante en aluminio anodizado color natural, cristal templado de 4mm., color claro, de 2.20 x 0.50 m., la ventana se divide en tres cuerpos proyectantes, incluye silicona antihongos en todo el perímetro de los vidrios, empaques, pisavidrios a presión, cerradura de seguridad, tiraderas y todos los elementos necesarios para su correcta instalación y funcionamiento, según diseño y previa aprobación de interventoría.</t>
  </si>
  <si>
    <t>INSTALACIONES ELECTRICAS</t>
  </si>
  <si>
    <t>13.1</t>
  </si>
  <si>
    <t>DUCTOS</t>
  </si>
  <si>
    <t>13.1.1</t>
  </si>
  <si>
    <t>Suministro, transporte e instalación de tubería metálica EMT diámetro 3/4". Incluye adaptadores, uniones, curvas, grapas doble ala, resanes en mortero 1:4 y demás accesorios necesarios para su correcta instalación.</t>
  </si>
  <si>
    <t>13.1.2</t>
  </si>
  <si>
    <t>Suministro, transporte e instalación de tubería metálica EMT diámetro 1/2". Incluye adaptadores, uniones, curvas, grapas doble ala, resanes en mortero 1:4 y demás accesorios necesarios para su correcta instalación.</t>
  </si>
  <si>
    <t>13.2</t>
  </si>
  <si>
    <t>SALIDAS DE ENERGIA</t>
  </si>
  <si>
    <t>13.2.1</t>
  </si>
  <si>
    <t>Suministro, transporte e instalación de materiales para salida eléctrica de toma doble con polo a tierra 15 A, .LEV ref 5320, 125 V y según la norma NEMA 5-15R, certificación RETIE y pruebas de conformidad UL. Incluye toma, la tapa, cajas 4"x4" con tapa suplemento, ducto pvc, conectores de conexión y empalme, adaptadores terminales, curvas, pega pvc, tornillos, conductores de cobre 12 AWG-CU-THHN/THWN-90ºC, obra civil, y demás accesorios y elementos para su correcta instalación y funcionamiento.(Salida promedio de 4 m).</t>
  </si>
  <si>
    <t>13.2.2</t>
  </si>
  <si>
    <t>Suministro, transporte e instalación de materiales para salida eléctrica de interruptor DOBLE de alumbrado. TIPO LEV referencia ref 5224 según certificación RETIE y pruebas de conformidad UL por ducto pvc. Incluye el interruptor, tapa, cajas 4"x4" con tapa suplemento, conductores de cobre 12 AWG-CU-THHN-90ºC, conectores de conexión y empalme, tornillos, ducto pvc, adaptadores terminal, obra civil y demás accesorios y elementos necesarios para su correcta instalación y funcionamiento. (salida promedio 4 m).</t>
  </si>
  <si>
    <t>13.3</t>
  </si>
  <si>
    <t>REDES ELECTRICAS</t>
  </si>
  <si>
    <t>13.3.1</t>
  </si>
  <si>
    <t>Suministro, transporte e instalación de cable blando 1 No12 cobre THHN/THWN-90ºC. Por ducto o canaleta. Incluye conectores, marcación y demás accesorios para su correcta instalación y funcionamiento según RETIE.</t>
  </si>
  <si>
    <t>13.3.2</t>
  </si>
  <si>
    <t>Suministro, transporte e instalación de cable blando 1 No14 cobre THHN/THWN-90ºC. Por ducto o canaleta. Incluye conectores, marcación y demás accesorios para su correcta instalación y funcionamiento según RETIE.</t>
  </si>
  <si>
    <t>13.3.3</t>
  </si>
  <si>
    <t>Suministro, transporte e instalación de cable blando 1 No10 cobre THHN/THWN-90ºC. Por ducto o canaleta. Incluye conectores, marcación y demás accesorios para su correcta instalación y funcionamiento según RETIE.</t>
  </si>
  <si>
    <t>13.3.4</t>
  </si>
  <si>
    <t>Suministro, transporte e instalación de cable blando 1 No8 cobre THHN/THWN-90ºC. Por ducto o canaleta. Incluye conectores, marcación y demás accesorios para su correcta instalación y funcionamiento según RETIE.</t>
  </si>
  <si>
    <t>LUMINARIAS DE SOBREPONER</t>
  </si>
  <si>
    <t>14.1</t>
  </si>
  <si>
    <t>Suministro, transporte e instalación de Luminaria Led Hermetica 2x12w T8 Pc Luz Neutra 3600 Lm. Incluye tubos T8 trifósforo(flujo luminoso 2950 lumen por tubo) ISO 14000, Color 8 40 impreso en el tubo, vida útil de 20.000 horas, Cable encauchetado 3x14 AWG(promedio de 100 cm), clavija con polo a tierra, prensaestopa, elementos de fijación según norma NRS-10 y demás accesorios para su correcta instalación. La luminaria completa debe cumplir las últimas disposiciones del  RETILAP y el RETIE se debe entregar curva fotométrica certificada del fabricante.</t>
  </si>
  <si>
    <t>CIELOS</t>
  </si>
  <si>
    <t>15.1</t>
  </si>
  <si>
    <t>Suministro, transporte y colocación de cielo falso en lamina pvc de 2,9 x 0,3 e 7cm. Con junta seca, color gris metálico. Incluye perfiles y estructura de fijación y todo lo necesario para su correcta construcción y funcionamiento. Según detalle.</t>
  </si>
  <si>
    <t>ENCHAPES</t>
  </si>
  <si>
    <t>16.1</t>
  </si>
  <si>
    <t>16.2</t>
  </si>
  <si>
    <t>16.3</t>
  </si>
  <si>
    <t>Colocación de PISO EN GRES DE 30 x 30 cm. COLOR A DEFINIR, ESPESOR DE 12 mm tráfico 5 tipo Alfa o equivalente.  Incluye suministro y transporte de los materiales, juntas de dilatación cada 1,80 m. En ambos sentidos con sellante elastomérico tipo Sikaflex o equivalente calidad, y todos los elementos necesarios para su correcta construcción.</t>
  </si>
  <si>
    <t>16.4</t>
  </si>
  <si>
    <t>Construcción de PISO EN BALDOSA PISO DURO DE 30 x 30 cm., de primera calidad aprobada por la interventoría que cumpla la norma NTC 2849. Incluye concreto de pega y nivelación 1:3:2 de cemento, arena de concreto, agregado de 3/8" a 1/2" y aditivo plastificante en un espesor de 5 cm, suministro y transporte de la baldosa, varilla de dilatación en PVC de 5 mm x 37mm en cuadrículas de  2,10m x 2,10m., lechada del mismo color de la baldosa, destroncada, pulida, brillada y encerada en el sitio con cera polimérica,  protección de muros, puertas y desagües. Cargue, transporte y botada de material sobrante (cachaza) en botaderos oficiales. La interventoría entregará el diseño en tapetes o franjas combinando los colores (máximo dos colores). Los ensayos que se requieran serán por cuenta del contratista y las muestras se escogerán del material puesto en obra.</t>
  </si>
  <si>
    <t>CUBIERTA</t>
  </si>
  <si>
    <t>17.1</t>
  </si>
  <si>
    <t>PERFILES RECTANGULARES</t>
  </si>
  <si>
    <t>17.1.1</t>
  </si>
  <si>
    <t>Construcción y montaje de estructura metálica, en perfilería tipo IPE, HEA, PHR-C, PTE para elementos de cubierta, rampas o áreas de circulación incluye  suministro, transporte e instalación de láminas, platinas, uniones, soldaduras de acabado o presentación, anclajes y pernos a estructura de concreto y madera, Todos los elementos deben llevar dos manos de pintura anticorrosiva, dos manos de esmalte base aceite mate, color por definir, ensayos a soldaduras,  obra falsa y todo el equipo y la herramienta necesaria para el montaje.</t>
  </si>
  <si>
    <t>17.2</t>
  </si>
  <si>
    <t>TEJAS</t>
  </si>
  <si>
    <t>17.2.1</t>
  </si>
  <si>
    <t>Suministro, transporte e instalación de TEJA TERMOACUSTICA, Incluye amarres y demás elementos necesarios par su correcta instalación y funcionamiento.</t>
  </si>
  <si>
    <t>17.2.2</t>
  </si>
  <si>
    <t>Suministro, transporte e instalación de TEJA ASBESTO-CEMENTO, Incluye amarres y demás elementos necesarios par su correcta instalación y funcionamiento.</t>
  </si>
  <si>
    <t>17.3</t>
  </si>
  <si>
    <t>CANOAS</t>
  </si>
  <si>
    <t>17.3.1</t>
  </si>
  <si>
    <t>Suministro, transporte e instalación de (canoa) CANOA EN PVC , para aguas lluvias. Incluye suministro y transporte de los materiales, accesorios, limpiador y todos los elementos necesarios para su correcta instalación y funcionamiento.</t>
  </si>
  <si>
    <t>17.3.2</t>
  </si>
  <si>
    <t>Suministro, transporte y colocación de canoa en "U" en lamina galvanizada calibre 20, desarrollo 0,3-0,5m. con soldadura autógena. Incluye embudos en el mismo material de la canoa, soportes, tornillos autoperforantes, anticorrosivo epóxico por ambas caras, acabado con esmalte en la cara inferior a la vista y todos los elementos necesarios para su correcta instalación y funcionamiento. Según diseño de cubierta.</t>
  </si>
  <si>
    <t>17.4</t>
  </si>
  <si>
    <t>ENCOROZADA</t>
  </si>
  <si>
    <t>17.4.1</t>
  </si>
  <si>
    <t>Suministro e instalación de mortero 1:4 para ENCOROZADA de mamaposteria, incluye malla tipo anje, chapas  y todo lo necesario para su correcto insstalacion</t>
  </si>
  <si>
    <t>18.0</t>
  </si>
  <si>
    <t>MAPOSTERIA</t>
  </si>
  <si>
    <t>18.1</t>
  </si>
  <si>
    <t>Construcción de MAMPOSTERÍA EN LADRILLO PARA REVOCAR O ENCHAPAR una cara o dos caras, DE 15 x 20 x 40 cm. ESPESOR DE 15 cm. Incluye el suministro y transporte del ladrillo, el mortero de pega 1:4 espesor max=0.01 m y todos los demás elementos necesarios para su correcta construcción y funcionamiento.</t>
  </si>
  <si>
    <t>18.2</t>
  </si>
  <si>
    <t>Construcción de MAMPOSTERÍA EN LADRILLO PARA REVOCAR O ENCHAPAR una cara o dos caras, DE 10 x 20 x 40 cm. ESPESOR DE 10 cm. Incluye el suministro y transporte del ladrillo, el mortero de pega 1:4 espesor max=0.01 m y todos los demás elementos necesarios para su correcta construcción y funcionamiento.</t>
  </si>
  <si>
    <t>19.0</t>
  </si>
  <si>
    <t>TALA Y PODA DE ARBOL</t>
  </si>
  <si>
    <t>19.1</t>
  </si>
  <si>
    <t>TALA, cargue y retiro de ÁRBOLES bajo cualquier condición, con ALTURAS mayores de 20,0 m. Incluye trozado, chipiado, retiro de raíces completas, transporte y disposición del material resultante al sitio que indiquen las autoridades competentes y la interventoría. Se realizará en aquellos árboles que dada su ubicación interfieren con el proyecto o que ofrezcan algún riesgo para la comunidad y que no justifique su trasplante. Según definición del Plan de Manejo Arbóreo.</t>
  </si>
  <si>
    <t>19.2</t>
  </si>
  <si>
    <t>PODAS, cargue y retiro de ÁRBOLES ADULTOS bajo cualquier condición. Incluye trozado, chipiado, transporte y disposición del material resultante al sitio que indiquen las autoridades competentes y la interventoría. La poda se realizará con motosierra. Se realizará en aquellos árboles que dada su condiciones fitosanitarias requieren de una poda de aclareo o realce. Según definición del Plan de Manejo Arbóreo.</t>
  </si>
  <si>
    <t>CERRAMIENTO EN MALLA ESLABONADA</t>
  </si>
  <si>
    <t>20.1</t>
  </si>
  <si>
    <t>Suministro, transporte y colocación de cerramiento en malla eslabonada calibre 10 ojo No. 5, tubería galvanizada de 1.9" calibre 14, cerramiento tipo Inder. altura de 2.0m medidos a partir de la cara superior de la viga de fundación, dos hilas de mampostería en bloque de 20x20x40, columna cada 2m de 20cmx20cm, viga de fundación en concreto ciclópeo 40% piedra y concreto de 21Mpa al 60% de 40cm x 30cm, incluye acero de refuerzo y todo lo necesario para su correcta construcción. Según diseño.</t>
  </si>
  <si>
    <t>Valor Total Costo Directo Obra.</t>
  </si>
  <si>
    <t>A.U OBRA CIVIL</t>
  </si>
  <si>
    <t>Administración</t>
  </si>
  <si>
    <t>Utilidad</t>
  </si>
  <si>
    <t>TOTAL AU</t>
  </si>
  <si>
    <t>Costo total obra</t>
  </si>
  <si>
    <t>Interventoría</t>
  </si>
  <si>
    <t>PMT</t>
  </si>
  <si>
    <t>PMA</t>
  </si>
  <si>
    <t>VALOR TOTAL DEL PROYECTO</t>
  </si>
  <si>
    <t>ALCALDÍA DE SANTA FE DE ANTIOQUIA</t>
  </si>
  <si>
    <t>OBJETO: MEJORAMIENTO Y ADECUACIÓN DE LAS VIAS URBANAS DEL MUNICIPIO DE SANTA FE DE ANTIOQUIA</t>
  </si>
  <si>
    <t>ITEM</t>
  </si>
  <si>
    <t>DESCRIPCION</t>
  </si>
  <si>
    <t>UNIDAD</t>
  </si>
  <si>
    <t>VALOR TOTAL</t>
  </si>
  <si>
    <t>INCIDENCIA (%)</t>
  </si>
  <si>
    <t>PRELIMINARES</t>
  </si>
  <si>
    <t>Localización, trazado y replanteo del proyecto. Se utilizará equipo de precisión, personal experto. Se hará con la frecuencia que lo indique la interventoria. incluye demarcación con pintura, línea de trazado, corte de piso, libretas, planos.</t>
  </si>
  <si>
    <t>día</t>
  </si>
  <si>
    <t>MOVIMIENTOS DE TIERRA</t>
  </si>
  <si>
    <t>Excavación mecanica en material heterogéneo, bajo cualquier grado de humedad, medido in situ, no incluye botada.</t>
  </si>
  <si>
    <t>m³</t>
  </si>
  <si>
    <t>Cargue,   transporte  y   botada   de   material proveniente de las excavaciones y demoliciones. Hasta el sitio que indique la interventoria.</t>
  </si>
  <si>
    <t>Confomacion de calzada existente despues de cajeo y al final de instalacio estructura pavimento</t>
  </si>
  <si>
    <t>Suministro, transporte y colocación de base granular de máximo Ø 1½", reacomodado con medios mecánicos y compactado al  100% mínimo del ensayo del proctor modificado, según normas para la construcción de pavimentos, y todo lo necesario para su correcta construcción y funcionamiento Su medida sera tomada en sitio ya compactado, debe cumplir con los requisitos de invias 301</t>
  </si>
  <si>
    <t>ESTRUCTURA DE PAVIMENTO</t>
  </si>
  <si>
    <t>3,1</t>
  </si>
  <si>
    <t>3,2</t>
  </si>
  <si>
    <t>Suministro, transporte y colocación de mezcla asfáltica en caliente MDC - 19. Compactada con medios mecánicos. Según normas para la construcción de pavimentos. Según Normas INVIAS.</t>
  </si>
  <si>
    <t>3,3</t>
  </si>
  <si>
    <t>Suministro, transporte y colocación de emulsión asfáltica catiónica de rompimiento lento C.R.L. para imprimación de superficie a pavimentar. Incluye todo lo necesario para su correcta construcción y funcionamiento.</t>
  </si>
  <si>
    <t>4.0</t>
  </si>
  <si>
    <t>4,1</t>
  </si>
  <si>
    <t>4,2</t>
  </si>
  <si>
    <t>4,3</t>
  </si>
  <si>
    <t>5,1</t>
  </si>
  <si>
    <t>6,1</t>
  </si>
  <si>
    <t>und</t>
  </si>
  <si>
    <t>6,2</t>
  </si>
  <si>
    <t>ADMINISTRACIÓN Y UTILIDAD DE OBRA CIVIL</t>
  </si>
  <si>
    <t>PLAN DE MANEJO DE TRANSITO</t>
  </si>
  <si>
    <t>PLAN DE ADAPTACIÓN DE LA GUÍA AMBIENTAL (PAGA), GESTION SOCIAL Y SST (Incluye IVA)</t>
  </si>
  <si>
    <t>PAGA, GS Y SST</t>
  </si>
  <si>
    <t>PROVISIÓN PARA EL PAGO DE PRIMAS DE GARANTÍAS</t>
  </si>
  <si>
    <t>POLIZAS</t>
  </si>
  <si>
    <t>VALOR TOTAL DE OBRA</t>
  </si>
  <si>
    <t>DISCRIMINACION DEL AU</t>
  </si>
  <si>
    <t>N°</t>
  </si>
  <si>
    <t>DESCRIPCIÓN</t>
  </si>
  <si>
    <t>CANT</t>
  </si>
  <si>
    <t>VALOR MENSUAL</t>
  </si>
  <si>
    <t xml:space="preserve">PRESTAC. SOCIALES </t>
  </si>
  <si>
    <t>DEDICA-CION %</t>
  </si>
  <si>
    <t>PLAZO - MESES</t>
  </si>
  <si>
    <t>COSTOS DE PERSONAL</t>
  </si>
  <si>
    <t>PERSONAL PROFESIONAL (LICENCIAS)</t>
  </si>
  <si>
    <t>1,1,1</t>
  </si>
  <si>
    <t>Profesional Director (licencia y permiso)</t>
  </si>
  <si>
    <t>1,1,2</t>
  </si>
  <si>
    <t>Profesional Residente Ambiental.Profesional Pregrado 2   (licencia y permiso)</t>
  </si>
  <si>
    <t xml:space="preserve">PERSONAL PROFESIONAL </t>
  </si>
  <si>
    <t>TIEMPO DE EJE.</t>
  </si>
  <si>
    <t>Profesional Especialista Director 1</t>
  </si>
  <si>
    <t>Ver hoja Personal profesional - técnico</t>
  </si>
  <si>
    <t>INGRESAR CANTIDAD DE PERSONAS Y PLAZO DEL CONTRATO</t>
  </si>
  <si>
    <t>Especialista en Geotecnia vial y pavimentos</t>
  </si>
  <si>
    <t>1,1,3</t>
  </si>
  <si>
    <t>Profesional Residente de obra. Profesional pregrado 2 (Residente de costos-Programación)</t>
  </si>
  <si>
    <t>1,1,4</t>
  </si>
  <si>
    <t>1,1,5</t>
  </si>
  <si>
    <t>1,1,11</t>
  </si>
  <si>
    <t>Tecnologo (a) SISO. Tecnólogo 2</t>
  </si>
  <si>
    <t>1,2,5</t>
  </si>
  <si>
    <t>Ayudante (celaduria)</t>
  </si>
  <si>
    <t xml:space="preserve">Moto Alquiler modelo 2017 o superior  - tarifa de alquiler </t>
  </si>
  <si>
    <t>Revisar soporte por si hay consulta. Tratarlo como reconocimiento</t>
  </si>
  <si>
    <t>ENSAYOS DE LABORATORIO</t>
  </si>
  <si>
    <t>Densidad de compactación del suelo en campo, método del cono de arena</t>
  </si>
  <si>
    <t>Verificar los ensayos y su cantidad</t>
  </si>
  <si>
    <t>Relación de Soporte del Suelo en el laboratorio (CBR en el laboratorio) muestras inalteradas</t>
  </si>
  <si>
    <t>Diseños de mezcla para una resistencia determinada (Incluye ensayos a agregados y verificación de resistencia)</t>
  </si>
  <si>
    <t>Compactación, densidad, estabilidad y flujo por briqueta para asfaltos</t>
  </si>
  <si>
    <t>Resistencia a la compresión de cilindros de concreto (método normal)</t>
  </si>
  <si>
    <t xml:space="preserve">GASTOS DE LEGALIZACION DE CONTRATOS </t>
  </si>
  <si>
    <t>Otros costos indirectos</t>
  </si>
  <si>
    <t>Ver hoja Obra_Legalización</t>
  </si>
  <si>
    <t>SUBTOTAL DE COSTOS DE ADMINISTRACIÓN</t>
  </si>
  <si>
    <t>Chequeos</t>
  </si>
  <si>
    <t>COSTO DIRECTO DE OBRA</t>
  </si>
  <si>
    <t>ADMINISTRACIÓN</t>
  </si>
  <si>
    <t>IMPREVISTOS</t>
  </si>
  <si>
    <t>Verificar. Referencia: 2%</t>
  </si>
  <si>
    <t>UTILIDAD</t>
  </si>
  <si>
    <t>Verificar. Referencia: 5%</t>
  </si>
  <si>
    <t>SUBTOTAL A.I.U.</t>
  </si>
  <si>
    <t>TOTAL COSTO DIRECTO + A.I.U.</t>
  </si>
  <si>
    <t>PLAN DE MANEJO AMBIENTAL, SOCIAL Y SST (PMA-PS-PSST) (Incluye IVA)</t>
  </si>
  <si>
    <t>estimado</t>
  </si>
  <si>
    <t>PLAN DE MANEJO DE TRANSITO (PMT) (Incluye IVA)</t>
  </si>
  <si>
    <t>DISEÑOS, AJUSTES A DISEÑOS, LICENCIAS Y PERMISOS (Incluye IVA)</t>
  </si>
  <si>
    <t>ACTUALIZACION DE PRECIOS</t>
  </si>
  <si>
    <t>CARACTERIZACIÓN VIAL (Incluye IVA)</t>
  </si>
  <si>
    <t>Km</t>
  </si>
  <si>
    <t>GEORREFERENCIACIÓN (Incluye IVA)</t>
  </si>
  <si>
    <t>UND</t>
  </si>
  <si>
    <t>VALOR DEL CONTRATO (COSTO DIRECTO + AIU + PMA +PS + PSST + PMT + PAPSO + PROVISÓN PARA PÓLIZAS + DISEÑOS, AJUSTES A DISEÑOS, LICENCIAS Y PERMISOS + CARACTERIZACIÓN VIAL + GEORREFERENCIACIÓN (sin IVA)) PARA IMPUESTOS</t>
  </si>
  <si>
    <t>VALOR DEL CONTRATO (COSTO DIRECTO + AIU + PMA +PS + PSST + PMT + PAPSO + PROVISÓN PARA PÓLIZAS + DISEÑOS, AJUSTES A DISEÑOS, LICENCIAS Y PERMISOS + CARACTERIZACIÓN VIAL + GEORREFERENCIACIÓN)</t>
  </si>
  <si>
    <t>NOTAS:</t>
  </si>
  <si>
    <t>* Solo se pagaran los Gastos de viaje causados dentro de la zona de intervención del proyecto</t>
  </si>
  <si>
    <t>Los Valores subrayados"Estimados" son inmodificables, corresponden a montos estimados  con los cuales se atenderán las actividades correspondientes.</t>
  </si>
  <si>
    <t>El valor de tarifa mensual corresponde a la base de datos de la Secretaría de Infraestructura Fisica</t>
  </si>
  <si>
    <t>EL CONTRATISTA asumirá por su cuenta todos los tributos (impuestos, tasas, contribuciones, contribuciones especiales, estampillas), cuando la ley lo señale y demás que estén dentro de los elementos de la obligación tributaria y acatando  las directrices dadas  mediante concepto  3397 de 22 de enero de 2014, de la Dirección de Impuestos y Aduanas Nacionales – DIAN- y las del comité de Orientación y Seguimiento en Contratación del Departamento de Antioquia, conservando el derecho el contratista de aplicar la deducibilidad de impuestos enunciados en   Artículo 107 y 115 del Estatuto Tributario.</t>
  </si>
  <si>
    <t>INVERSIÓN  AMBIENTAL, SOCIAL Y SST</t>
  </si>
  <si>
    <t>VALOR UNITÁRIO</t>
  </si>
  <si>
    <t>OBSERVACIONES</t>
  </si>
  <si>
    <t>1. GESTIÓN SOCIAL</t>
  </si>
  <si>
    <t>1.1. Programa para la Protección de la Infraestructura Social y Comunitaria (Programa Atención y  Participación Comunitaria)</t>
  </si>
  <si>
    <t xml:space="preserve">Reuniones con comunidad. (Inicio, avance y fin de obra) - Incluye refrigerios para 50 personas y alquiler de videobeam. </t>
  </si>
  <si>
    <t>Un</t>
  </si>
  <si>
    <t>Reuniones con el Comité de Participación Comunitaria - CPC - (Incluye alquiler de videobeam y refrigerio para 20 personas )</t>
  </si>
  <si>
    <t xml:space="preserve">Por el tiempo de ejecución de la obra no se conformara CPC y se informara de los avances a la comunidad en las reuniones de inicio, avance y finalización de la obra </t>
  </si>
  <si>
    <t>1.2. Programa para la protección del patrimonio arqueológico y cultural</t>
  </si>
  <si>
    <t xml:space="preserve">Implementación plan de arqueología </t>
  </si>
  <si>
    <t>Jornadas de apropiación de la nueva infraestructura (Espacios de integración comunitaria para adelantar procesos de información del proyecto)</t>
  </si>
  <si>
    <t>Activaciones artísticas, lúdicas, recreativas  y culturales</t>
  </si>
  <si>
    <t>Talleres ambientales (Beneficios ambientales, sensibilización a los participantes frente a la importancia de potenciar y preservar las especies nativas existentes en el territorio).</t>
  </si>
  <si>
    <t>Recorridos pedagógicos por zonas de interés ambiental o cultural en el territorio.</t>
  </si>
  <si>
    <t xml:space="preserve">Jornadas de formación con la comunidad  orientadas en la estrategia de la Red de Buenos Vecinos para la promoción de las buenas prácticas para el cuidado de las vías. </t>
  </si>
  <si>
    <t xml:space="preserve">1.4. Información y divulgación </t>
  </si>
  <si>
    <t xml:space="preserve">Productos de litografía: afiches, volantes, plegables, formatos.   </t>
  </si>
  <si>
    <t>Buzón PQRS en acrílico según diseño suministrado por la entidad (0,35m*0,45m)</t>
  </si>
  <si>
    <t>Cuñas radiales</t>
  </si>
  <si>
    <t>Se usarán para la invitación a socializaciones de inicio, avance y cierre, así como para el manejo de tránsito.</t>
  </si>
  <si>
    <t>Lona para vehículo (volqueta o camión) de 1,50 x 0,80 m, impresión injekt resistente a la intemperie</t>
  </si>
  <si>
    <t>Imagen Institucional</t>
  </si>
  <si>
    <t>Subtotal Gestión Social</t>
  </si>
  <si>
    <t>2. GESTIÓN AMBIENTAL</t>
  </si>
  <si>
    <t xml:space="preserve">PROGRAMA 1: Desarrollo y aplicación de la gestión ambiental </t>
  </si>
  <si>
    <r>
      <rPr>
        <sz val="10"/>
        <color theme="1"/>
        <rFont val="Arial"/>
        <family val="2"/>
      </rPr>
      <t xml:space="preserve">1.1. </t>
    </r>
    <r>
      <rPr>
        <b/>
        <sz val="10"/>
        <color theme="1"/>
        <rFont val="Arial"/>
        <family val="2"/>
      </rPr>
      <t>Conformación de grupo de gestión ambiental</t>
    </r>
  </si>
  <si>
    <t>Unidad</t>
  </si>
  <si>
    <t>Cantidad</t>
  </si>
  <si>
    <t>Valor unitario</t>
  </si>
  <si>
    <t>Plazo</t>
  </si>
  <si>
    <t>Valor total</t>
  </si>
  <si>
    <t>Observación</t>
  </si>
  <si>
    <t>Personal asignado a la cuadrilla ambiental  y SST (Brigadista)</t>
  </si>
  <si>
    <t>Persona</t>
  </si>
  <si>
    <t>Atender en obra las actividades propuestas en cada programa del PMA y SST (Brigadista). Cuadrilla conformada por mínimo dos trabajadores (con Factor Multiplicador ajustado).</t>
  </si>
  <si>
    <r>
      <rPr>
        <sz val="10"/>
        <color theme="1"/>
        <rFont val="Arial"/>
        <family val="2"/>
      </rPr>
      <t>1.2.</t>
    </r>
    <r>
      <rPr>
        <b/>
        <sz val="10"/>
        <color theme="1"/>
        <rFont val="Arial"/>
        <family val="2"/>
      </rPr>
      <t xml:space="preserve"> Capacitación y concienciación para el personal de obra</t>
    </r>
  </si>
  <si>
    <t>Capacitaciones personal de obra. Incluye material plegables y didáctico</t>
  </si>
  <si>
    <t xml:space="preserve">Inducción y capacitación relativo del manejo y cuidado  con la fauna silvestre, así como demás aspectos del componente ambiental del proyecto. </t>
  </si>
  <si>
    <r>
      <rPr>
        <sz val="10"/>
        <color theme="1"/>
        <rFont val="Arial"/>
        <family val="2"/>
      </rPr>
      <t xml:space="preserve">1.3. </t>
    </r>
    <r>
      <rPr>
        <b/>
        <sz val="10"/>
        <color theme="1"/>
        <rFont val="Arial"/>
        <family val="2"/>
      </rPr>
      <t>Cumplimiento de requerimientos legales</t>
    </r>
  </si>
  <si>
    <t>Trámite de permisos ambientales (Aprovechamiento forestal)</t>
  </si>
  <si>
    <t>El valor corresponde a la evaluación de la información y respectiva visita técnica para obtener el permiso ambiental requerido ante la Autoridad Ambiental competente, en el caso que el contratista deba tramitarlo previo a la intervención.  
El cálculo para el costo de la evaluación, se estima con base en las escalas tarifarias establecidas por la Autoridad Ambiental, conforme Ley 633 de 2000. Cabe destacar que, son valores estimados y no exactos, ya que éstos pueden variar conforme al análisis y criterio de cada Autoridad al momento de cobrar por el servicio, por lo que se recomienda pagar contra factura expedida por la Autoridad Ambiental competente.</t>
  </si>
  <si>
    <t>Trámite de permisos ambientales (Ocupación de cauce)</t>
  </si>
  <si>
    <t>Trámite de permisos ambientales (Concesión aguas)</t>
  </si>
  <si>
    <t>Trámite de permisos ambientales (Vertimiento)</t>
  </si>
  <si>
    <t>Control y seguimiento a permisos ambientales</t>
  </si>
  <si>
    <t xml:space="preserve">El valor asignado cubrira gastos relacionados con la asignación del permiso por parte de la autoridad ambiental, en caso de que la misma considere un valor mayor se deberá realizar el pago contra factura. </t>
  </si>
  <si>
    <t xml:space="preserve">PROGRAMA 2. Actividades constructivas </t>
  </si>
  <si>
    <t>2.1. Manejo integral de materiales de construcción</t>
  </si>
  <si>
    <t>Teleras 1,35m x 0,90 m para acopio temporal de materiales</t>
  </si>
  <si>
    <t>Teleras empleadas en el acopio de materiales de construcción.</t>
  </si>
  <si>
    <t>Adecuación de instalaciones para el almacenamiento de productos químicos.</t>
  </si>
  <si>
    <t>Debe cumplir con la normatividad legal vigente relacionada al tema. (seguro, ventilado, con techo, piso impermeabilizado, con trampa de grasa para evitar la contaminación del suelo; señalizado).</t>
  </si>
  <si>
    <t xml:space="preserve">Plástico negro polietileno de grueso calibre,  (150 m, calibre 3.5 ancho de 3 m). </t>
  </si>
  <si>
    <t>Rollo</t>
  </si>
  <si>
    <t>Cobertura material de construcción y sobrante de obra</t>
  </si>
  <si>
    <t>2.2. Manejo integral de residuos sólidos convencionales, especiales y peligrosos</t>
  </si>
  <si>
    <t xml:space="preserve">Disposición de residuos peligrosos y especiales con empresas certificadas </t>
  </si>
  <si>
    <t>mes</t>
  </si>
  <si>
    <t xml:space="preserve">Adecuación de zona de almacenamiento de residuos peligrosos </t>
  </si>
  <si>
    <t>La cual debe cumplir con la normatividad que rige el tema (suelo duro y elementos no inflamables).</t>
  </si>
  <si>
    <t>Adecuación de zona de almacenamiento de residuos convencionales, especiales y reciclables</t>
  </si>
  <si>
    <t>Bolsas de polietileno alta densidad (Paquete 100 unidades de  100 x 100). Incluye IVA</t>
  </si>
  <si>
    <t>De cada color se usan en promedio 5 bolsas por semana por color por punto ecológico.</t>
  </si>
  <si>
    <t>Bolsas polietileno alta densidad (Paquete 100 unidades de  24x24) Incluye IVA</t>
  </si>
  <si>
    <t>Juego de tres recipientes o canecas de 55 galones  Incluye IVA</t>
  </si>
  <si>
    <t>Un Juego por cada frente de obra (considerar distancias)</t>
  </si>
  <si>
    <t>Juego de tres canecas o recipientes de 5 galones (para campamento y frente de obra)  Incluye IVA</t>
  </si>
  <si>
    <t>Teja Zinc Ondulada 3.048x0.80mt Cal 35 0.17mm</t>
  </si>
  <si>
    <r>
      <rPr>
        <b/>
        <sz val="10"/>
        <color theme="1"/>
        <rFont val="Arial"/>
        <family val="2"/>
      </rPr>
      <t>PROGRAMA 3.</t>
    </r>
    <r>
      <rPr>
        <sz val="10"/>
        <color theme="1"/>
        <rFont val="Arial"/>
        <family val="2"/>
      </rPr>
      <t xml:space="preserve"> </t>
    </r>
    <r>
      <rPr>
        <b/>
        <sz val="10"/>
        <color theme="1"/>
        <rFont val="Arial"/>
        <family val="2"/>
      </rPr>
      <t>Gestión del recurso hídrico</t>
    </r>
  </si>
  <si>
    <t>3.1. Manejo de aguas superficiales</t>
  </si>
  <si>
    <t>Estacón de Madera  1,5 m</t>
  </si>
  <si>
    <t>Para la protección de cuerpos de agua se requieren mínimo de 8 unidades por cruce (4al encole y 4 al descole) Tener en cuenta el numero de ejecuciones simultaneas</t>
  </si>
  <si>
    <t>Sistema de sedimentación primaria</t>
  </si>
  <si>
    <t xml:space="preserve">En el caso de incurrir en el manejo de aguas subterraneas su evacuacion deberá pasar por un sistema de sedimentación compuesto minimo por 2 tanques en serie. Volumen por definir según necesidad. </t>
  </si>
  <si>
    <t>Rollo tela verde 50m x 2.10m ancho 55gr/m2</t>
  </si>
  <si>
    <t>Se emplea un mínimo de 15 metros por cruce de agua a aislar</t>
  </si>
  <si>
    <t>Tubo manguera paletizada de 4 pulgadas por 45 metros</t>
  </si>
  <si>
    <t>Muestreos y análisis fisicoquímicos</t>
  </si>
  <si>
    <t>Muestreos y análisis microbiológicos</t>
  </si>
  <si>
    <t>Muestreos y análisis de peces</t>
  </si>
  <si>
    <t>3.2. Manejo de residuos líquidos, domésticos e industriales</t>
  </si>
  <si>
    <t>Actividad</t>
  </si>
  <si>
    <t>Alquiler de baño portátil con 2 limpiezas por semana (Incluye suministro, transporte y mantenimiento)</t>
  </si>
  <si>
    <t>En los gastos administrativos de obra se incluye el pago de servicios públicos para el alquiler de oficinas, campamentos e instalaciones temporales. Sin embargo, en caso de requerirse el uso de baños en frentes de obra o cerca a los mismos, se suplirá la necesidad con el alquiler de  viviendas para dicho servicio y que se encuentren conectadas al sistema de alcantarillado o tengan sistema de tratamiento de aguas residuales domésticas o en su defecto alquiler de baños portátiles y se reconoce su pago contra factura.</t>
  </si>
  <si>
    <t>Kit Control de derrames - maletín químicos 8 Galones</t>
  </si>
  <si>
    <t>Se deberá disponer de uno por frente de obra activo</t>
  </si>
  <si>
    <t>Trampa de grasa 95 Litros</t>
  </si>
  <si>
    <t>Cuando el proyecto disponga de áreas de mantenimiento para maquinaria, lavadero de llantas o otras actividades que generen vertimiento.</t>
  </si>
  <si>
    <t>Estiba antiderrame 2 posiciones 120x80x18cm Amarillo</t>
  </si>
  <si>
    <t xml:space="preserve">Estiba de contención antiderrame para la ubicación de grasas, aceites o combustibles </t>
  </si>
  <si>
    <t>Muestreos y análisis de vertimientos</t>
  </si>
  <si>
    <t>Según requerimiento Autoridad Ambiental</t>
  </si>
  <si>
    <t>3.3. Manejo para el uso eficiente del agua y la energía</t>
  </si>
  <si>
    <t>Tanque o Ekomuro para la captación y aprovechamiento de aguas lluvias</t>
  </si>
  <si>
    <t>Macromedidor tipo Woltman horizontal 2″</t>
  </si>
  <si>
    <t>Se deberá disponer de uno por cada captación de agua superficial que habilite el proyecto</t>
  </si>
  <si>
    <r>
      <rPr>
        <b/>
        <sz val="10"/>
        <color theme="1"/>
        <rFont val="Arial"/>
        <family val="2"/>
      </rPr>
      <t>PROGRAMA 4.</t>
    </r>
    <r>
      <rPr>
        <sz val="10"/>
        <color theme="1"/>
        <rFont val="Arial"/>
        <family val="2"/>
      </rPr>
      <t xml:space="preserve"> </t>
    </r>
    <r>
      <rPr>
        <b/>
        <sz val="10"/>
        <color theme="1"/>
        <rFont val="Arial"/>
        <family val="2"/>
      </rPr>
      <t>Biodiversidad y servicios ecosistémicos</t>
    </r>
  </si>
  <si>
    <t>4.1. Manejo de descapote y cobertura vegetal</t>
  </si>
  <si>
    <t>Poda de árboles</t>
  </si>
  <si>
    <t>4.2. Recuperación de áreas afectadas</t>
  </si>
  <si>
    <t>Mantenimiento de áreas compensadas o con enriquecimiento forestal (Epifitas No Vasculares, Aprovechamiento forestal Unico)</t>
  </si>
  <si>
    <t>Ha</t>
  </si>
  <si>
    <t xml:space="preserve">Mantenimiento y seguimiento de epifitas vasculares (Incluye informe con texto, bases de datos, registro fotográfico, georreferenciación y cartografía tipo GDB o shape) </t>
  </si>
  <si>
    <t>4.3. Manejo para la protección de fauna</t>
  </si>
  <si>
    <t>Jornadas de ahuyentamiento de fauna silvestre</t>
  </si>
  <si>
    <r>
      <rPr>
        <b/>
        <sz val="10"/>
        <color theme="1"/>
        <rFont val="Arial"/>
        <family val="2"/>
      </rPr>
      <t>PROGRAMA 5.</t>
    </r>
    <r>
      <rPr>
        <sz val="10"/>
        <color theme="1"/>
        <rFont val="Arial"/>
        <family val="2"/>
      </rPr>
      <t xml:space="preserve"> </t>
    </r>
    <r>
      <rPr>
        <b/>
        <sz val="10"/>
        <color theme="1"/>
        <rFont val="Arial"/>
        <family val="2"/>
      </rPr>
      <t>Manejo de instalaciones temporales</t>
    </r>
  </si>
  <si>
    <t>5.1. Instalación, funcionamiento y desmantelamiento de campamentos y sitios de acopio</t>
  </si>
  <si>
    <t>Carpado de materiales de construcción y aislamiento de zonas de acopio de materiales</t>
  </si>
  <si>
    <t>Creación de campamentos o acopios temporales</t>
  </si>
  <si>
    <t>Tubo rectangular 100 x 40 x 1.5mm x 6m cerrajería</t>
  </si>
  <si>
    <t>Cinta Demarcación 500 m</t>
  </si>
  <si>
    <t>Delimitación de áreas y senderos peatonales</t>
  </si>
  <si>
    <t xml:space="preserve">Balizas con bandas reflectivas. </t>
  </si>
  <si>
    <t>5.2. Manejo para el control de emisiones atmosféricas y ruido</t>
  </si>
  <si>
    <t>Humectación de vía/áreas de trabajo para control de material particulado .</t>
  </si>
  <si>
    <t>Hora</t>
  </si>
  <si>
    <t>El agua provendrá de acueducto veredal y/o municipal o concesión de aguas, a través de sistemas de irrigación acordados con la interventoría y se cancela en los casos que esta actividad no se contemple en el APU de la actividad constructiva.</t>
  </si>
  <si>
    <t>Polisombra Negra 35% - Rollo 4 Mt X 100mt</t>
  </si>
  <si>
    <t>Retención de material particulado en frentes de obra, aislamiento de áreas sensibles aledañas</t>
  </si>
  <si>
    <t>Construcción de lavadero de llantas</t>
  </si>
  <si>
    <t>Control de dispersión de material de arrastre a vías, que puedan generar material particulado al paso de vehículos, una vez seco.</t>
  </si>
  <si>
    <t>Mediciones de ruido</t>
  </si>
  <si>
    <t>Muestreos y análisis isocinéticos</t>
  </si>
  <si>
    <t>Muestreos y análisis de material particulado</t>
  </si>
  <si>
    <t>Subtotal Gestión Ambiental</t>
  </si>
  <si>
    <t xml:space="preserve">SEGURIDAD Y SALUD EN EL TRABAJO </t>
  </si>
  <si>
    <t>PROGRAMA 1. Gestión administrativa SST</t>
  </si>
  <si>
    <t>Logo institucional</t>
  </si>
  <si>
    <t>Imagen institucional</t>
  </si>
  <si>
    <t xml:space="preserve">Carné personal. </t>
  </si>
  <si>
    <t>Chaquetas institucionales para personal administrativo</t>
  </si>
  <si>
    <t>Manual de obra publica</t>
  </si>
  <si>
    <t>PROGRAMA 2. Salud en el Trabajo – Medicina preventiva</t>
  </si>
  <si>
    <t>Capacitación en alturas</t>
  </si>
  <si>
    <t>Solo si se requiere la actividad</t>
  </si>
  <si>
    <t>Capacitación en espacios confinados</t>
  </si>
  <si>
    <t>Agua para hidratación</t>
  </si>
  <si>
    <t>Bolsa</t>
  </si>
  <si>
    <t>Bolsa de 500 ml</t>
  </si>
  <si>
    <t>PROGRAMA 3. Seguridad en el trabajo</t>
  </si>
  <si>
    <t xml:space="preserve">Cinta Señalización de 500 m , color naranja - blanco o amarillo- negro. </t>
  </si>
  <si>
    <t xml:space="preserve">Delimitación de puntos críticos </t>
  </si>
  <si>
    <t xml:space="preserve">Extintor ABC 20 LB </t>
  </si>
  <si>
    <t>Emergencias</t>
  </si>
  <si>
    <t xml:space="preserve">Botiquín cruz roja de primeros auxilios ref. 115 en lona </t>
  </si>
  <si>
    <t>Camilla Emergencia Polietileno 185x45cm (incluye IVA)</t>
  </si>
  <si>
    <t xml:space="preserve">Señales de campamento - avisos en polietileno de 30 x 50 cm   </t>
  </si>
  <si>
    <t>Salidas de emergencia. Solo personal autorizado. Punto de encuentro. Botiquín. Extintores. Sustancias peligrosas. Punto ecológico.Acopios. Rutas de evacuación. Camilla. Riesgo eléctrico. Herramientas. Uso de EPP.</t>
  </si>
  <si>
    <t>Kit para trabajo en alturas</t>
  </si>
  <si>
    <t xml:space="preserve">Línea de vida vertical </t>
  </si>
  <si>
    <t>Subtotal Gestión Seguridad y Salud en el Trabajo</t>
  </si>
  <si>
    <t>Factor multiplicador</t>
  </si>
  <si>
    <t>VALOR TOTAL INVERSIÓN DE GESTIÓN AMBIENTAL, SOCIAL y SST</t>
  </si>
  <si>
    <t>1. Dentro del Factor Prestacional debe incluirse la dotación contemplada por la ley.</t>
  </si>
  <si>
    <t>3. El personal Socioambiental y de Seguridad del Trabajo, está cargado dentro del personal administrativo de la obra</t>
  </si>
  <si>
    <t>4. Los costos del proyecto "Manejo y Disposición final de escombros" se en cuentran incluidos en el presupuesto de obra del proyecto, en el ítem 2.4: "Cargue,   transporte  y   botada   de   material proveniente de las excavaciones y demoliciones. Hasta el sitio que indique la interventoria.".</t>
  </si>
  <si>
    <t>5. Los costos de el proyecto de "Manejo de Maquinaria y Equipo"  son responsabilidad del contratista de obra.</t>
  </si>
  <si>
    <t>6. El contratista es responsable de brindar las capacitaciones en materia ambiental de seguridad y salud en el trabajo y de relaciones con la comunidad y demás requeridas para el personal vinculado al contrato.</t>
  </si>
  <si>
    <t>7. La actividades de atención a la comunidad, como adecuación de oficina para atención al ciudadano relacionado con el proyecto, se contempla en los costos de administración, en el ítem de "instalaciones temporales".</t>
  </si>
  <si>
    <t xml:space="preserve">PLAN DE MANEJO DEL TRANSITO </t>
  </si>
  <si>
    <t xml:space="preserve">PRESUPUESTO </t>
  </si>
  <si>
    <t xml:space="preserve">ITEM </t>
  </si>
  <si>
    <t xml:space="preserve">DESCRIPCION </t>
  </si>
  <si>
    <t xml:space="preserve">VALOR </t>
  </si>
  <si>
    <t xml:space="preserve">VALOR PARCIAL </t>
  </si>
  <si>
    <t xml:space="preserve">1. Señalizacion </t>
  </si>
  <si>
    <t>Señales verticales según manual de señalizacion vial, 75*75</t>
  </si>
  <si>
    <t xml:space="preserve">2. Dispositivos para canalizar el transito </t>
  </si>
  <si>
    <t>Barricadas con franjas reflectivas de 1,5x2,0m</t>
  </si>
  <si>
    <t>Maletin o barrera de contencion vial de 2m x 1m</t>
  </si>
  <si>
    <t>Conos de 0,9 y dos franjas refrectivas tipo IV diamante.</t>
  </si>
  <si>
    <t xml:space="preserve">Caneca reflectiva plastica </t>
  </si>
  <si>
    <t xml:space="preserve">Resalto Vial reductor de velocidad en caucho </t>
  </si>
  <si>
    <t>Delineador tubular (colombina)</t>
  </si>
  <si>
    <t>Cinta señalizacion peligro no pase x 500 mt</t>
  </si>
  <si>
    <t>3. Abanderados</t>
  </si>
  <si>
    <t xml:space="preserve">Paleta de pare y siga </t>
  </si>
  <si>
    <t>Radiotelefono</t>
  </si>
  <si>
    <t>par</t>
  </si>
  <si>
    <t>Personal Pare y Siga</t>
  </si>
  <si>
    <t>Meses de ejecución</t>
  </si>
  <si>
    <t>COSTO TOTAL</t>
  </si>
  <si>
    <t>POLIZAS Y GARANTIAS</t>
  </si>
  <si>
    <t>VALOR DEL CONTRATO ( $ )</t>
  </si>
  <si>
    <t xml:space="preserve">PLAZO DEL CONTRATO (Dias) </t>
  </si>
  <si>
    <t>meses</t>
  </si>
  <si>
    <t>ANTICIPO</t>
  </si>
  <si>
    <t>Digitar % de anticipo</t>
  </si>
  <si>
    <t>Pesos</t>
  </si>
  <si>
    <t>TIPO DE GARANTÍA</t>
  </si>
  <si>
    <t>VALOR ASEGURADO</t>
  </si>
  <si>
    <t>COBERTURA (Dias )</t>
  </si>
  <si>
    <t>TASA anual</t>
  </si>
  <si>
    <t>PRIMA</t>
  </si>
  <si>
    <t>%</t>
  </si>
  <si>
    <t>VALOR</t>
  </si>
  <si>
    <t>Cumplimiento</t>
  </si>
  <si>
    <t>PORCENTAJES A ASEGURAR Y VIGENCIA DE ACUERDO A LO DEFINIDO EN LOS ESTUDIOS PREVIOS Y OTROS DOCUMENTOS CONTRACTUALES.</t>
  </si>
  <si>
    <t>Buen Manejo y Correcta Inversión del Anticipo</t>
  </si>
  <si>
    <t>Salarios y Prestaciones Sociales</t>
  </si>
  <si>
    <t>Estabilidad y Calidad de la Obras</t>
  </si>
  <si>
    <t>Calidad del servicio</t>
  </si>
  <si>
    <t>DECRETO 1082 SMMLV
Responsabilidad Civil</t>
  </si>
  <si>
    <t>SMMLV</t>
  </si>
  <si>
    <t>MONTO ASEGURABLE</t>
  </si>
  <si>
    <t>PLAZO MESES</t>
  </si>
  <si>
    <t>TASA</t>
  </si>
  <si>
    <t>Subtotal Prima</t>
  </si>
  <si>
    <t>Gastos de expedición</t>
  </si>
  <si>
    <t>I.V.A.</t>
  </si>
  <si>
    <t>TOTAL POLIZAS</t>
  </si>
  <si>
    <t>Relación</t>
  </si>
  <si>
    <t>CONCEPTO</t>
  </si>
  <si>
    <t>Valor</t>
  </si>
  <si>
    <t>TOTAL GASTOS LEGALIZACION</t>
  </si>
  <si>
    <t>MANO DE OBRA</t>
  </si>
  <si>
    <t>1.    Doscientos (200) SMMLV para contratos cuyo valor sea inferior o igual a mil quinientos (1.500) SMMLV.</t>
  </si>
  <si>
    <t>PERSONAL ADMINISTRACION</t>
  </si>
  <si>
    <t>2.    Trescientos (300) SMMLV para contratos cuyo valor sea superior a mil quinientos (1.500) SMMLV e inferior o igual a dos mil quinientos (2.500) SMMLV.</t>
  </si>
  <si>
    <t>SUMA PERSONAL</t>
  </si>
  <si>
    <t>3.    Cuatrocientos (400) SMMLV para contratos cuyo valor sea superior a dos mil quinientos (2.500) SMMLV e inferior o igual a cinco mil (5.000) SMMLV.</t>
  </si>
  <si>
    <t>VALOR INCUMPLIMIENTP 100% incumplim SAL Y PRES</t>
  </si>
  <si>
    <t>4.    Quinientos (500) SMMLV para contratos cuyo valor sea superior a cinco mil (5.000) SMMLV e inferior o igual a diez mil (10.000) SMMLV.</t>
  </si>
  <si>
    <t>% RESPECTO A VALOR TOTAL</t>
  </si>
  <si>
    <t>5.    El cinco por ciento (5%) del valor del contrato cuando este sea superior a diez mil (10.000) SMMLV, caso en el cual el valor asegurado debe ser máximo setenta y cinco mil (75.000) SMMLV.</t>
  </si>
  <si>
    <t>* Valor del contrato es igual o superior a cinco mil (5.000) millones se toma el 50% del valor para asegurar.  * Valor del contrato es inferior a cinco mil (5.000) millones se toma el 100% del valor para asegurar.</t>
  </si>
  <si>
    <t>La vigencia de esta garantía deberá ser igual al período de ejecución del contrato.</t>
  </si>
  <si>
    <t>ESTAMPILLAS</t>
  </si>
  <si>
    <t>Estampilla Procultura</t>
  </si>
  <si>
    <t>Estampilla Pro adulto mayor</t>
  </si>
  <si>
    <t>Estampilla Justicia familiar</t>
  </si>
  <si>
    <t>Estampilla Prohospital</t>
  </si>
  <si>
    <t>Estampilla pro-Deporte</t>
  </si>
  <si>
    <t>Impuesto de contribución especial 5%</t>
  </si>
  <si>
    <t>OTROS COSTOS INDIRECTOS - TASAS Y CONTRIBUCIONES</t>
  </si>
  <si>
    <t>PERSONAL PROFESIONAL - TECNICO</t>
  </si>
  <si>
    <t>PERFIL</t>
  </si>
  <si>
    <t>SALARIOS  (SMMLV) - sólo informativo</t>
  </si>
  <si>
    <t>SALARIO_2023</t>
  </si>
  <si>
    <t>Factor Salarial o Efectivo</t>
  </si>
  <si>
    <t>NIVEL DE RESPONSABILIDAD</t>
  </si>
  <si>
    <t>PROFESIONALES</t>
  </si>
  <si>
    <t>EXPERIENCIA</t>
  </si>
  <si>
    <t>Profesional Especialista Director General</t>
  </si>
  <si>
    <t>Personal Administrativo / Totalmente responsable, tanto administrativa como técnicamente del proyecto. Establece las políticas y los controles financieros.</t>
  </si>
  <si>
    <t xml:space="preserve">&gt; 10 años
&gt;4 &lt; 6 años Específica </t>
  </si>
  <si>
    <t>Profesional Especialista Director 2</t>
  </si>
  <si>
    <t>Personal Administrativo / Responsable de tomar decisiones administrativas y técnicas.</t>
  </si>
  <si>
    <t xml:space="preserve">&gt; 10 años
&gt;2 &lt; 4 años Específica </t>
  </si>
  <si>
    <t>Profesional Pregrado 3</t>
  </si>
  <si>
    <t>Personal Administrativo / Responsable de tomar decisiones administrativas y técnicas con reporte a una instancia superior.</t>
  </si>
  <si>
    <t>&gt;5 &lt; 10 años</t>
  </si>
  <si>
    <t>Profesional Pregrado 2</t>
  </si>
  <si>
    <t>Personal Administrativo / Responsable de tomar decisiones técnicas con reporte a una instancia superior.</t>
  </si>
  <si>
    <t>&gt;3 &lt; 5 años</t>
  </si>
  <si>
    <t>Profesional Pregrado 1</t>
  </si>
  <si>
    <t>&gt;0 &lt; 3 años</t>
  </si>
  <si>
    <t>Topografo (Personal Operativo)</t>
  </si>
  <si>
    <t xml:space="preserve">Personal Operativo </t>
  </si>
  <si>
    <t>&gt; 3 años</t>
  </si>
  <si>
    <t>Tecnólogo 3</t>
  </si>
  <si>
    <t>Personal Administrativo / Asesora, elabora estudios independientes, realiza análisis, interpreta y concluye, con verificación de un Director.</t>
  </si>
  <si>
    <t>Tecnólogo 2</t>
  </si>
  <si>
    <t>&gt;1 &lt; 3 años</t>
  </si>
  <si>
    <t>Tecnólogo 1</t>
  </si>
  <si>
    <t>&gt; 0 &lt; 1 años</t>
  </si>
  <si>
    <t>Técnico 3</t>
  </si>
  <si>
    <t>La toma de decisiones están fijadas por medio de guías.</t>
  </si>
  <si>
    <t>+'FP ADTIVO'!P5</t>
  </si>
  <si>
    <t>Técnico 2</t>
  </si>
  <si>
    <t>Decisiones rutinarias y están previstas en manuales de procedimientos.</t>
  </si>
  <si>
    <t>Técnico 1</t>
  </si>
  <si>
    <t>Personal Administrativo / Decisiones rutinarias y están previstas en manuales de procedimientos.</t>
  </si>
  <si>
    <t>&gt; 0 &lt; 1 año</t>
  </si>
  <si>
    <t xml:space="preserve">Auxiliar </t>
  </si>
  <si>
    <t>Personal operativo.</t>
  </si>
  <si>
    <t>&gt; 0 &lt; 5 años</t>
  </si>
  <si>
    <t>Básico con experiencia</t>
  </si>
  <si>
    <t>&gt; 1 &lt; 2 años</t>
  </si>
  <si>
    <t>Personal Administrativo</t>
  </si>
  <si>
    <t>Básico sin experiencia</t>
  </si>
  <si>
    <t>Personal operativo - Empleado con conocimientos en temas generales de obra y con capacidad para ejecutar actividades básicas de la misma en las diferentes etapas.</t>
  </si>
  <si>
    <t>0 años</t>
  </si>
  <si>
    <t>CALCULO DEL FACTOR PRESTACIONAL PERSONAL OPERATIVO Y ADMINISTRATIVO</t>
  </si>
  <si>
    <t>Salario mínimo mensual legal vigente - SMMLV</t>
  </si>
  <si>
    <t>AFECTACIÓN PRESTACIONAL ANUAL</t>
  </si>
  <si>
    <t>Subsidio de transporte</t>
  </si>
  <si>
    <t>PERSONAL OPERATIVO - ADMINISTRATIVO - APU</t>
  </si>
  <si>
    <t>Ayudante raso / Liguero / Cadenero 2</t>
  </si>
  <si>
    <t xml:space="preserve">
Bachiller academico con conocimiento en ofimatica : Auxiliar administativo
</t>
  </si>
  <si>
    <t>Ayudante entendido  / Ayudante electricista  / Operario de equipo liviano  / Vigía en salud</t>
  </si>
  <si>
    <t>Auxiliar (H) / Almacenista / Jardinero</t>
  </si>
  <si>
    <t>Encargado de campamento /
Técnico  en Contabilidad / Finanzas / Administración de Empresas</t>
  </si>
  <si>
    <t>Oficial de Obra / Oficial Electricista / Oficial minero / Oficial demoliciones / Oficial Mvto Tierra / Oficial Impermeabilizaciones / Oficial para llenos de filtros / Oficial para pisos varios / Oficial Pintura / Oficial Refuerzo / Oficial Urbanismo / Operario de inyección / Operario de perforación / Rastrillero / Cadenero 1</t>
  </si>
  <si>
    <r>
      <t xml:space="preserve"> Inspectores de obra / Operario Especializado /</t>
    </r>
    <r>
      <rPr>
        <sz val="11"/>
        <rFont val="Arial Narrow"/>
        <family val="2"/>
      </rPr>
      <t xml:space="preserve"> Técnico</t>
    </r>
  </si>
  <si>
    <t>Tecnólogo en Construcciones Civiles, Tecnólogo Ambiental, Tecnólogo social, Tecnólogo SISO, Dibujante.</t>
  </si>
  <si>
    <t>Tecnólogo en Construcciones Civiles, Tecnólogo Ambiental, Tecnólogo social, Tecnólogo SISO.
Tecnólogo en: Administración de Empresas y/o Contabilidad y/o Finanzas y/o Gestión de Mercados o afines.</t>
  </si>
  <si>
    <t>Tecnólogo en Construcciones Civiles, Tecnólogo Ambiental, Tecnólogo social, Tecnólogo SISO.</t>
  </si>
  <si>
    <t>Asesor contable y triburario, Asesor jurídico (Abogado), Abogado gestión predial, Ingeniero Forestal, Ingeniero Civil, Geólogo, Biologo, Arqueologo, Economista, Profesional Residente de Obra.</t>
  </si>
  <si>
    <t>Director de Obra, Ingeniero Especialista (en todos los campos) y Profesional SIG.</t>
  </si>
  <si>
    <t>Profesional Especialista Director General - Especialista en gerencia de proyectos o de obra.</t>
  </si>
  <si>
    <t xml:space="preserve">N° DE SALARIOS </t>
  </si>
  <si>
    <t>SALARIO</t>
  </si>
  <si>
    <t>Ref.</t>
  </si>
  <si>
    <t>Mensual</t>
  </si>
  <si>
    <t>A</t>
  </si>
  <si>
    <t>Subsidio de Transporte</t>
  </si>
  <si>
    <t>B</t>
  </si>
  <si>
    <t>Total Mensual</t>
  </si>
  <si>
    <t>C</t>
  </si>
  <si>
    <t>Salario Anual (A/30*360) Calendario</t>
  </si>
  <si>
    <t>D</t>
  </si>
  <si>
    <t>Subsidio de Transporte anual para cálculo de Liquidación de Cesantias y Prima (B*12)</t>
  </si>
  <si>
    <t>Subsidio de Transporte anual para cálculo de horas efectivas y VRS (B*11,5)  12 meses - 0,5 de vacaciones)</t>
  </si>
  <si>
    <t>Salario Anual con Subsidio de Transporte ( D+1)</t>
  </si>
  <si>
    <t>E</t>
  </si>
  <si>
    <t>valor</t>
  </si>
  <si>
    <t>SALARIO NOMINAL</t>
  </si>
  <si>
    <t>Salario Anual ( 360 días)</t>
  </si>
  <si>
    <t>Subsidio de Transporte anual para cálculo de horas efectivas y VRS</t>
  </si>
  <si>
    <t>PRESTACIONES SOCIALES</t>
  </si>
  <si>
    <r>
      <t xml:space="preserve">Cesantias </t>
    </r>
    <r>
      <rPr>
        <sz val="11"/>
        <color rgb="FFFF0000"/>
        <rFont val="Arial Narrow"/>
        <family val="2"/>
      </rPr>
      <t>Anuales</t>
    </r>
  </si>
  <si>
    <t>Intereses sobre Cesantias 12 % Anual</t>
  </si>
  <si>
    <t>Prima 30 Días anual</t>
  </si>
  <si>
    <t>Vacaciones 15 días Anual</t>
  </si>
  <si>
    <t>SEGURIDAD SOCIAL</t>
  </si>
  <si>
    <t>Pension</t>
  </si>
  <si>
    <t>Salud</t>
  </si>
  <si>
    <t>Riesgos Laborales ( ARL)</t>
  </si>
  <si>
    <t>APORTES PARAFISCALES</t>
  </si>
  <si>
    <t>SENA</t>
  </si>
  <si>
    <t>ICBF</t>
  </si>
  <si>
    <t>CAJA DE COMPENSACION FAMILIAR</t>
  </si>
  <si>
    <t>FIC ( Fondo Nacional de Formación para profesionales de la industria de la construcción)</t>
  </si>
  <si>
    <t>DOTACION + IMPLENENTOS DE SEGURIDAD INDUSTRIAL</t>
  </si>
  <si>
    <t>Dotación ( Overol + Botas )</t>
  </si>
  <si>
    <t>Elementos de Protección personal ( Cascos + Guantes + Monogafas + Botas de Caucho+ Respiradores)</t>
  </si>
  <si>
    <t>VALOR REAL DEL SALARIO 2023 -  ANUAL</t>
  </si>
  <si>
    <t>Salario basico anual mas prestaciones Horas calendario 360 * 8</t>
  </si>
  <si>
    <t>Salario basico anual mas prestaciones Horas Laborales anuales 52 * 48</t>
  </si>
  <si>
    <t>Salario basico anual mas prestaciones Horas Efectivas anuales</t>
  </si>
  <si>
    <t>VALOR DEL SALARIO NOMINAL  ANUAL -  MENSUAL Y DIARIO ( Basico para ser afectado por el FS resultante)</t>
  </si>
  <si>
    <t>Vr. Anual con subsidio de transporte</t>
  </si>
  <si>
    <t>Vr. Mensual con Subsidio de transporte</t>
  </si>
  <si>
    <t>Vr. Sueldo día</t>
  </si>
  <si>
    <t>DOTACIÓN</t>
  </si>
  <si>
    <t>ELEMENTOS DE PROTECCION PERSONAL</t>
  </si>
  <si>
    <t>CALCULO VALOR HORA EFECTIVA</t>
  </si>
  <si>
    <t xml:space="preserve">Overol 2 piezas </t>
  </si>
  <si>
    <t>unidad</t>
  </si>
  <si>
    <t>valor unitario</t>
  </si>
  <si>
    <t>F</t>
  </si>
  <si>
    <t>Salario Mínimo anual con prestaciones</t>
  </si>
  <si>
    <t>Calzado Bota Indutrial</t>
  </si>
  <si>
    <t>Cascos de seguridad</t>
  </si>
  <si>
    <t>G</t>
  </si>
  <si>
    <t>Horas calendario Anuales  360*8</t>
  </si>
  <si>
    <t>TOTAL</t>
  </si>
  <si>
    <t>Tafiles</t>
  </si>
  <si>
    <t>H</t>
  </si>
  <si>
    <t>Horas Laborales anuales 52 * 48</t>
  </si>
  <si>
    <t>Dotación Mes</t>
  </si>
  <si>
    <t>Guantes de protección</t>
  </si>
  <si>
    <t>Horas Efectivas Anuales</t>
  </si>
  <si>
    <t>Dotación año</t>
  </si>
  <si>
    <t>Monogafas</t>
  </si>
  <si>
    <t>I</t>
  </si>
  <si>
    <t xml:space="preserve">     (53 domingos  +17 Festivos + 3 Permisos)*8</t>
  </si>
  <si>
    <t>Chalecos Reflectivos</t>
  </si>
  <si>
    <t>J</t>
  </si>
  <si>
    <t>Valor Hora Calendario F/G</t>
  </si>
  <si>
    <t>IPC_2022</t>
  </si>
  <si>
    <t>Botas de Caucho</t>
  </si>
  <si>
    <t>K</t>
  </si>
  <si>
    <t>Valor Hora Laboral  F/H</t>
  </si>
  <si>
    <t>Respiradores</t>
  </si>
  <si>
    <t>L</t>
  </si>
  <si>
    <t>Valor Hora Efectiva F/I</t>
  </si>
  <si>
    <t>Tapa oidos Red Line 32 db (24 UN)</t>
  </si>
  <si>
    <t>Valor Porcentual a aplicar sobre hora laboral</t>
  </si>
  <si>
    <t>ARNÉS DE SEGURIDAD  + ESLINGA</t>
  </si>
  <si>
    <t>Alcohol Antiseptico (0,006 l*persona* dia)</t>
  </si>
  <si>
    <t>Gel antibacterial (0,003 * persona* día)</t>
  </si>
  <si>
    <t>Jabon liquido antibacterial ( 0,005 l * persona* día)</t>
  </si>
  <si>
    <t>Hipoclorito de uso domestico</t>
  </si>
  <si>
    <t>Tapabocas desechable ( 15 por mes )</t>
  </si>
  <si>
    <t>TOTAL DOTACION + INSUMOS COVID</t>
  </si>
  <si>
    <t>Dotación mes</t>
  </si>
  <si>
    <t>Dotacion Año + Examenes de Ingreso y egreso</t>
  </si>
  <si>
    <t>Examenes de igreso y egreso</t>
  </si>
  <si>
    <t>VALOR MENSUAL 2024</t>
  </si>
  <si>
    <t>GASTOS DE VIAJE DEL PERSONAL PROFESIONAL Y TÉCNICO</t>
  </si>
  <si>
    <t>Prima de localización para personal en obra</t>
  </si>
  <si>
    <t>2,4,1</t>
  </si>
  <si>
    <t>Gastos de Viaje Director</t>
  </si>
  <si>
    <t>Valor límite superior</t>
  </si>
  <si>
    <t>2,4,2</t>
  </si>
  <si>
    <t>Gastos especialista</t>
  </si>
  <si>
    <t>2,4,3</t>
  </si>
  <si>
    <t>Gastos de Viaje Residente</t>
  </si>
  <si>
    <t>Alimentación</t>
  </si>
  <si>
    <t>2,4,4</t>
  </si>
  <si>
    <t>Gastos de Viaje Profesional Ambiental</t>
  </si>
  <si>
    <t>Hospedaje</t>
  </si>
  <si>
    <t>2,4,5</t>
  </si>
  <si>
    <t>Gastos de Viajes Profesional SISO</t>
  </si>
  <si>
    <t>Transporte</t>
  </si>
  <si>
    <t>2,4,6</t>
  </si>
  <si>
    <t>Gastos de Viaje Social</t>
  </si>
  <si>
    <t>2,4,7</t>
  </si>
  <si>
    <t>Gastos de Viaje Tecnólogo obras civiles</t>
  </si>
  <si>
    <t>2,4,8</t>
  </si>
  <si>
    <t>Gastos de Viaje Tecnólogo SISO</t>
  </si>
  <si>
    <t>GASTOS DE OFICINA CENTRAL</t>
  </si>
  <si>
    <t>Reconocimiento para pago parcial de arriendo y servicios públicos oficina central</t>
  </si>
  <si>
    <t>Se define un porcentaje de reconocimiento que no debe superar el 20%</t>
  </si>
  <si>
    <t>INSTALACIONES PROVISIONALES</t>
  </si>
  <si>
    <t>Instalaciones en obra (Incluye arrendamiento, enseres, servicios públicos)</t>
  </si>
  <si>
    <t>Computador</t>
  </si>
  <si>
    <t>SISTEMAS DE CÓMPUTO Y COMUNICACIÓN</t>
  </si>
  <si>
    <t>Silla</t>
  </si>
  <si>
    <t>5,1,1</t>
  </si>
  <si>
    <t>Tarifa puesto de trabajo del personal de oficina de campo, incluye: alquiler de un (1) equipo de computo completo, escritorio, silla y otros enseres de oficina por puesto de trabajo</t>
  </si>
  <si>
    <t>Se usa para contrato con 6 meses o menos de duración</t>
  </si>
  <si>
    <t>mesa</t>
  </si>
  <si>
    <t>5,1,2</t>
  </si>
  <si>
    <t>Reconocimiento por disposición de puesto de trabajo del personal de oficina de campo, incluye: alquiler de un (1) equipo de computo completo, escritorio, silla y otros enseres de oficina por puesto de trabajo</t>
  </si>
  <si>
    <t>Se usa para contrato con 6 meses o más de duración</t>
  </si>
  <si>
    <t>5,2,1</t>
  </si>
  <si>
    <t>Reconocimiento por disposición de impresora para el personal de administrativo de obra (alquiler mensual)</t>
  </si>
  <si>
    <t>5,2,2</t>
  </si>
  <si>
    <t>Reconocimiento por disposición de impresora laser multifuncional para el personal de administrativo de obra (se realiza reconocimiento por una sola vez)</t>
  </si>
  <si>
    <t>5,2,3</t>
  </si>
  <si>
    <t>Fotocopias, edición informes, registros fotográficos entre otros en oficina en campo</t>
  </si>
  <si>
    <t>5,3,1</t>
  </si>
  <si>
    <t>Comunicaciones (Teléfono, Fax, Celular, Internet, Etc.) mensual en campo</t>
  </si>
  <si>
    <t>5,3,2</t>
  </si>
  <si>
    <t>Reconocimiento por disposición de Comunicaciones (Teléfono, Fax, Celular, Internet, Etc.) mensual en campo</t>
  </si>
  <si>
    <t>5,4,1</t>
  </si>
  <si>
    <t>Reconocimiento por disposición de radioteléfonos para el uso de la obra y el control de tránsito (alquiler mensual)</t>
  </si>
  <si>
    <t>Arrendamiento</t>
  </si>
  <si>
    <t>5,4,2</t>
  </si>
  <si>
    <t>Reconocimiento por disposición de radioteléfonos para el uso de la obra y el control de tránsito (se realiza reconocimiento por una sola vez)</t>
  </si>
  <si>
    <t>enseres</t>
  </si>
  <si>
    <t>TRANSPORTE DE PERSONAL</t>
  </si>
  <si>
    <t>servicios publicos</t>
  </si>
  <si>
    <t>6,1,1</t>
  </si>
  <si>
    <t>Vehículo doble tracción, doble cabina, 2000 CC o superior (modelo 2017 o superior)  tarifa de alquiler tiempo completo, incluye combustible y conductor. Se debe garantizar permanencia de los vehículos durante toda la ejecución del proyecto.</t>
  </si>
  <si>
    <t>auxiliar de aseo</t>
  </si>
  <si>
    <t>6,1,2</t>
  </si>
  <si>
    <t>Reconocimiento por disposición tiempo completo de vehículo doble tracción, doble cabina, 2000 CC o superior (modelo 2017 o superior). Incluye combustible y conductor. Se debe garantizar permanencia de los vehículos durante toda la ejecución del proyecto.</t>
  </si>
  <si>
    <t>6,2,1</t>
  </si>
  <si>
    <t>Moto Alquiler modelo 2017 o superior  - tarifa de alquiler y cilindraje igual o superior a 125 cc</t>
  </si>
  <si>
    <t>6,2,2</t>
  </si>
  <si>
    <t>Reconocimiento por disposición tiempo completo de vehículo moto modelo 2017 o superior y cilindraje igual o superior a 125 cc</t>
  </si>
  <si>
    <t>Granulometría por tamizado con lavado sobre tamiz No 200</t>
  </si>
  <si>
    <t>Verificar los ensayos y su cantidad. Se pueden encontrar otros ensayos y precios en la hoja Ensayos de laboratorio</t>
  </si>
  <si>
    <t>Resistencia al desgaste de los agregados de tamaños menores a 37,5 mm (1 1/2") por medio de la máquina de los ángeles.</t>
  </si>
  <si>
    <t>Determinación de terrones de arcilla y partículas deleznables en los agregados</t>
  </si>
  <si>
    <t>Relaciones de humedad - masa unitaria seca en los suelos (ensayo modificado de compactación - Proctor Modificado) con corrección del peso unitario y contenido de agua</t>
  </si>
  <si>
    <t>Relación de Soporte del Suelo en el laboratorio (CBR en el laboratorio) remodelado y sumergido. Suelos granulares (3 puntos)</t>
  </si>
  <si>
    <t>Extracción cuantitativa del asfalto en mezclas en caliente para pavimentos (contenido de asfalto)</t>
  </si>
  <si>
    <t>VALLA CONTRACTUAL</t>
  </si>
  <si>
    <t>Valla (12,0X4,0m). Incluye estructura metálica para fijación y soporte</t>
  </si>
  <si>
    <t>Se escoge la medida que aplique al proyecto</t>
  </si>
  <si>
    <t>Valla (3,0X2,0m). Incluye estructura metálica para fijación y soporte</t>
  </si>
  <si>
    <t>Valla (3,0X2,0m). No incluye estructura metálica para fijación y soporte (solo lona)</t>
  </si>
  <si>
    <t>Valla (2,0X2,0m). No incluye estructura metálica para fijación y soporte (solo lona)</t>
  </si>
  <si>
    <t>Valla (0,9X0,5m). No incluye estructura metálica para fijación y soporte (solo lona)</t>
  </si>
  <si>
    <t>Equipos de topografia</t>
  </si>
  <si>
    <t>Nivel de Presicion (Alquiler mensual)</t>
  </si>
  <si>
    <t>Estacion Total (Alquiler mensual)</t>
  </si>
  <si>
    <t>Servicio de Vigilancia</t>
  </si>
  <si>
    <t xml:space="preserve">Tarifa de Servicio de vigilancia y seguridad privada 24 horas y 30 dias al mes medio humano sin arma </t>
  </si>
  <si>
    <t>Número de Kilometros aproximado a intervenir</t>
  </si>
  <si>
    <t>Ingresar</t>
  </si>
  <si>
    <t>Número de materiales granulares (material de lleno) a validar</t>
  </si>
  <si>
    <t>Volumen de concreto de determinada resistencia</t>
  </si>
  <si>
    <t>Ingresar, si los vaciados día son en grandes volumenes (mayores a 40 m3)</t>
  </si>
  <si>
    <t>CONCRETOS (NSR-10. C.5.6.2 — FRECUENCIA DE LOS ENSAYOS:
Para los ensayos de resistencia de cada clase de concreto colocado cada día deben tomarse no menos de una vez al día, ni menos de una vez por cada 40 m3 de concreto, ni menos de una vez por cada 200 m2 de superficie de losas o muros. De igual manera, como mínimo, debe tomarse una muestra por cada 50 tandas de mezclado de cada clase de concreto.
CR5.6.2.1 — Los siguientes tres criterios establecen la mínima frecuencia de muestreo requerida para cada clase de concreto: 
(a) Una vez cada día que se coloque determinada clase, pero no menos que (b) Una vez por cada 40 m3 (el ACI 318 requiere por cada 110 m3) de cada clase colocada cada día, ni menor que
 (c) Una vez por cada 200 m2 (el ACI 318 requiere por cada  460 m2) de superficie de losa o muro construida cada día.
(d) El requisito de una muestra por cada 50 tandas cubre el caso de concreto producido en obra con mezcladoras pequeñas. El ACI 318 no tiene este último requisito.</t>
  </si>
  <si>
    <t>Número de día en que se va a realizar colocación de concreto</t>
  </si>
  <si>
    <t>Ingresar, si los vaciados día son en menores a 40 m3</t>
  </si>
  <si>
    <t>Tipo de ensayo</t>
  </si>
  <si>
    <t>Cantidad aprox x Km</t>
  </si>
  <si>
    <t>Estructura del pavimento: Subbase - Base - Llenos estructurales</t>
  </si>
  <si>
    <t>Determinación del límite líquido, límite plástico e índice de plasticidad de suelos</t>
  </si>
  <si>
    <t>Contenido aproximado de materia orgánica en areas usadas en la preparación de morteros y concretos</t>
  </si>
  <si>
    <t>Equivalente de arena de suelos y agregados finos</t>
  </si>
  <si>
    <t>Resistencia al desgaste de los agregados de tamaños menores a 37,5 mm (1 1/2") por medio de la máquina de los ángeles. Sin gradación</t>
  </si>
  <si>
    <t>Resistencia al desgaste de los agregados gruesos de tamaños mayores de 19 mm (3/4") por medio de la máquina de los ángeles.</t>
  </si>
  <si>
    <t>Resistencia al desgaste de los agregados gruesos de tamaños mayores de 19 mm (3/4") por medio de la máquina de los ángeles. Sin gradación</t>
  </si>
  <si>
    <t>Relaciones de humedad - masa unitaria seca en los suelos (ensayo modificado de compactación - Proctor Modificado)</t>
  </si>
  <si>
    <t>De acuerdo a la longitud a intervenir</t>
  </si>
  <si>
    <t>Relación de Soporte del Suelo en el laboratorio (CBR en el laboratorio) remodelado y sumergido. Suelos cohesivos (9 puntos)</t>
  </si>
  <si>
    <t>Pavimento en concreto y estructuras (muros, columnas)</t>
  </si>
  <si>
    <t>Chequeo de resistencia diseño proporcionado por el cliente (para una resistencia)</t>
  </si>
  <si>
    <t>Sirve para Interventoría</t>
  </si>
  <si>
    <t>No aplica para pavimento en concreto</t>
  </si>
  <si>
    <t>Densidad, estabilidad y flujo para asfaltos</t>
  </si>
  <si>
    <t>Diseño de mezcla asfáltica (Método Marshall)</t>
  </si>
  <si>
    <t>Se supone que para Findeter los municipios ya tienen diseño</t>
  </si>
  <si>
    <t>Extracción cuantitativa del asfalto y análisis granulométrico de los agregados (contenido de asfalto con gradación)</t>
  </si>
  <si>
    <t>Pavimento en concreto y estructuras (muros, columnas). Generalmente es más alto para estos proyecto por el tema del transporte a laboratorio. Incluso se debería considerar el material usado para preparación de las probetas</t>
  </si>
  <si>
    <t>Resistencia a la flexión del concreto. Método de la viga simple cargada en el punto central. Método de la viga simple con carga en los tercios.</t>
  </si>
  <si>
    <t>No aplica para pavimento en asfalto. Aplica especialmente para Concreto hidrualico para pavimento. No usar para Placa Huella.</t>
  </si>
  <si>
    <t>Obtención y ensayo de núcleos extraídos de concretos endurecidos (núcleos de diámetro de 5 y 7 cm)</t>
  </si>
  <si>
    <t>Aplica para pavimentos en concreto y en asfalto</t>
  </si>
  <si>
    <t>Extracción de núcleos de concretos</t>
  </si>
  <si>
    <t>Relleno de núcleos de concretos</t>
  </si>
  <si>
    <t>Corte de núcleos de concretos</t>
  </si>
  <si>
    <t>Ensayo a compresión en núcleos de concretos</t>
  </si>
  <si>
    <t>Resistencia a la compresión de cilindros preparados con suelo cemento (dos muestras)</t>
  </si>
  <si>
    <t>Ensayo normal para el uso de penetrometro dinamico de cono (PDC)</t>
  </si>
  <si>
    <t>Apique manual (1x1x1,5 m.) y toma de muestra en molde CBR</t>
  </si>
  <si>
    <t>El cobro es por ml</t>
  </si>
  <si>
    <t>Perforación con sistema de Rotación y lavado, diámetro NQ y revestimiento en HQ recuperación mínima 70%</t>
  </si>
  <si>
    <t>Ensayos de corte directo modalidad CD</t>
  </si>
  <si>
    <t>Ensayos de corte directo modalidad CU</t>
  </si>
  <si>
    <t>Ensayos de corte directo modalidad UU</t>
  </si>
  <si>
    <t>Sondeos mecánicos tipo SPT- Perforación en suelo a percusión.</t>
  </si>
  <si>
    <t>COSTO TOTAL ESTIMADO ENSAYOS</t>
  </si>
  <si>
    <t>Fuente: Portafolio de Servicios 2020. Universidad de Medellín. Vicerrectoría Académica. Sección Centro de Laboratorios</t>
  </si>
  <si>
    <t>Nota 1: El archivo contiene referencias circulares, por lo tanto se debe tener activo el calculo iterativo de las fórmulas</t>
  </si>
  <si>
    <t>AJUSTES A ESTUDIOS Y DISEÑOS ( Incluye IVA)</t>
  </si>
  <si>
    <t>PRESUPUESTO GENERAL DEL PROYECTO</t>
  </si>
  <si>
    <t>TÍTULO DEL ESTUDIO Y/O DISEÑO</t>
  </si>
  <si>
    <t>% del volumen sobre el valor total</t>
  </si>
  <si>
    <t>VALOR TOTAL DEL ENTREGABLE ($) - Incluye IVA</t>
  </si>
  <si>
    <t>ACTIVIDADES</t>
  </si>
  <si>
    <t xml:space="preserve">LEVANTAMIENTO TOPOGRÁFICO </t>
  </si>
  <si>
    <t>II</t>
  </si>
  <si>
    <t xml:space="preserve">ESTUDIO DE TRAZADO, DISEÑO GEOMÉTRICO Y DISEÑO DE SEÑALIZACIÓN </t>
  </si>
  <si>
    <t>III</t>
  </si>
  <si>
    <t xml:space="preserve">ESTUDIO HIDROLÓGICO, DISEÑO DE OBRAS HIDRÁULICAS Y SOCAVACIÓN </t>
  </si>
  <si>
    <t>IV</t>
  </si>
  <si>
    <t xml:space="preserve">ESTUDIO GEOTÉCNICO PARA EL DISEÑO DE LA ESTRUCTURA DEL PAVIMENTO </t>
  </si>
  <si>
    <t>V</t>
  </si>
  <si>
    <t xml:space="preserve">DISEÑO ESTRUCTURAL DE PUENTES, ESTRUCTURAS DE CONTENCIÓN Y OBRAS HIDRAÚLICAS </t>
  </si>
  <si>
    <t>VALOR TOTAL DE ESTUDIOS Y DISEÑOS (INCLUIDO IVA)</t>
  </si>
  <si>
    <t>1.   El valor de cada entregable incluye todos los costos de personal, desplazamiento, informes, planos, comunicaciones y otros costos directos e indirectos además de los honorarios del consultor. La forma de pago se realizará conforme con lo indicado en el contrato para cada uno de los entregables.</t>
  </si>
  <si>
    <t>2. Los valores subrayados no se modifican, corresponden a montos Estimados con los cuales se atenderán las actividades correspondientes, se reembolsarán según su costo real, previa presentación de las facturas y/o soportes correspondientes.</t>
  </si>
  <si>
    <t>Cuadrilla</t>
  </si>
  <si>
    <t>Valor Jornal</t>
  </si>
  <si>
    <t>Total Salario</t>
  </si>
  <si>
    <t>RANGO</t>
  </si>
  <si>
    <t xml:space="preserve">Factor prestacional </t>
  </si>
  <si>
    <t>V/HORA</t>
  </si>
  <si>
    <t xml:space="preserve">Total jornal con prestaciones </t>
  </si>
  <si>
    <t xml:space="preserve">Total Salario con prestaciones </t>
  </si>
  <si>
    <t>AY (Ayudante)</t>
  </si>
  <si>
    <t>AE(Ayudante entendido)</t>
  </si>
  <si>
    <t>OF (Oficial)</t>
  </si>
  <si>
    <t>TOPÓGRAFO</t>
  </si>
  <si>
    <t>CADENERO 1</t>
  </si>
  <si>
    <t>CADENERO 2</t>
  </si>
  <si>
    <t>ANUAL</t>
  </si>
  <si>
    <t>MENSUAL</t>
  </si>
  <si>
    <t>DIA</t>
  </si>
  <si>
    <t>HORA</t>
  </si>
  <si>
    <t>MEMORIA DE CALCULO</t>
  </si>
  <si>
    <t>PROYECTO:</t>
  </si>
  <si>
    <t>FECHA</t>
  </si>
  <si>
    <t>CANTIDAD TOTAL</t>
  </si>
  <si>
    <t>Detalle</t>
  </si>
  <si>
    <t>Dimensiones</t>
  </si>
  <si>
    <t>Número de elementos</t>
  </si>
  <si>
    <t>Total</t>
  </si>
  <si>
    <t>Longitud (m)</t>
  </si>
  <si>
    <t>Ancho (m)</t>
  </si>
  <si>
    <t>Alto (m)</t>
  </si>
  <si>
    <t>Espesor (m)</t>
  </si>
  <si>
    <t>Área Total</t>
  </si>
  <si>
    <t>Area (m2)</t>
  </si>
  <si>
    <t>AREAS TOMASDAS DE PLANO TOPOGRAFICO</t>
  </si>
  <si>
    <t>Calle 7</t>
  </si>
  <si>
    <t>SUMIDEROS</t>
  </si>
  <si>
    <t>Longitud y area  (m)(m2)</t>
  </si>
  <si>
    <t>AREAS Y LONGITUDES TOMASDAS DE PLANO TOPOGRAFICO</t>
  </si>
  <si>
    <t>Volumen Total</t>
  </si>
  <si>
    <t>MEMORIA ACERO</t>
  </si>
  <si>
    <t>MEMORIA ACERO CUNETAS</t>
  </si>
  <si>
    <t>DEACUERDO A PLANO HIDRAULICO</t>
  </si>
  <si>
    <t>MEMORIAS DE CALCULO ACERO SUMIDEROS</t>
  </si>
  <si>
    <t>ITEM No.</t>
  </si>
  <si>
    <t>ÁREA O LUGAR ESPECIFICO</t>
  </si>
  <si>
    <t>DIMENSIONES</t>
  </si>
  <si>
    <t>DIAMETRO</t>
  </si>
  <si>
    <t>LONGITUD</t>
  </si>
  <si>
    <t>CANT. BARRAS</t>
  </si>
  <si>
    <t>CANT. ELEMENTOS</t>
  </si>
  <si>
    <t xml:space="preserve">Refuerzo longitudinal </t>
  </si>
  <si>
    <t>Refuerzo Transversal</t>
  </si>
  <si>
    <t>MEMORIAS DE CALCULO</t>
  </si>
  <si>
    <t>Acero longitudinal</t>
  </si>
  <si>
    <t>Acero Tralaspos longitudinal</t>
  </si>
  <si>
    <t>Acero transversal</t>
  </si>
  <si>
    <t>SECRETARIA DE OBRAS PUBLICAS DEL MUNICIPIO DE SANTA FE DE ANTIOQUIA</t>
  </si>
  <si>
    <t>ANÁLISIS DE PRECIOS UNITARIOS</t>
  </si>
  <si>
    <t xml:space="preserve">Código:  </t>
  </si>
  <si>
    <t xml:space="preserve">Fecha:  </t>
  </si>
  <si>
    <t xml:space="preserve">Versión:  </t>
  </si>
  <si>
    <t xml:space="preserve">Página:  </t>
  </si>
  <si>
    <t>1,1</t>
  </si>
  <si>
    <t>I. Materiales</t>
  </si>
  <si>
    <t>Descripción</t>
  </si>
  <si>
    <t>V/Unitario</t>
  </si>
  <si>
    <t>V/Total</t>
  </si>
  <si>
    <t>SUBTOTAL</t>
  </si>
  <si>
    <t>II. Mano de Obra</t>
  </si>
  <si>
    <t>Jornal</t>
  </si>
  <si>
    <t>Prestaciones (%)</t>
  </si>
  <si>
    <t xml:space="preserve">III. Equipo y Herramienta </t>
  </si>
  <si>
    <t>Herramienta menor</t>
  </si>
  <si>
    <t>(%)mo</t>
  </si>
  <si>
    <t>IV. Conceptos</t>
  </si>
  <si>
    <t>Total Costo Directo</t>
  </si>
  <si>
    <t>SECRETARIA DE INFRAESTRUCTURA DEL MUNICIPIO DE SANTA FE DE ANTIOQUIA</t>
  </si>
  <si>
    <t>Tela cerramiento obra verde, ancho: 2.10 m. Incluye transporte externo e interno.</t>
  </si>
  <si>
    <t>Larguero madera común 4cmx8cmx2.80m. Incluye transporte.</t>
  </si>
  <si>
    <t>Clavo común de 1". Caja x 500gr.</t>
  </si>
  <si>
    <t>lb</t>
  </si>
  <si>
    <t>Concreto de 17.5 Mpa preparado en obra</t>
  </si>
  <si>
    <t>Cuadrilla 1 Oficial + 1 Ayudante Entendido</t>
  </si>
  <si>
    <t>jor</t>
  </si>
  <si>
    <t>III. Herramienta</t>
  </si>
  <si>
    <t>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t>
  </si>
  <si>
    <t>2,1</t>
  </si>
  <si>
    <t>III. Equipo y Herramienta</t>
  </si>
  <si>
    <t>1 Ayudante</t>
  </si>
  <si>
    <t>IV. Transportes</t>
  </si>
  <si>
    <t>Botada y derechos de botadero</t>
  </si>
  <si>
    <t>m3-km</t>
  </si>
  <si>
    <t>cuadrilla 1 oficial + 1 Ayudante E</t>
  </si>
  <si>
    <t>Distancia</t>
  </si>
  <si>
    <t>Viaje</t>
  </si>
  <si>
    <t>1 Oficial</t>
  </si>
  <si>
    <t>8 Ayudante</t>
  </si>
  <si>
    <t>2 Rastrillero</t>
  </si>
  <si>
    <t>1 Ayudante entendido</t>
  </si>
  <si>
    <t>Cuadrilla 1 Oficial + 5 ayudante</t>
  </si>
  <si>
    <t>Transporte de Interno</t>
  </si>
  <si>
    <t>Cuadrilla 1 Oficial + 1 ayudante</t>
  </si>
  <si>
    <t>LISTA DE MATERIALES Y PRECIOS</t>
  </si>
  <si>
    <t>Item</t>
  </si>
  <si>
    <t xml:space="preserve">Nombre </t>
  </si>
  <si>
    <t>Und</t>
  </si>
  <si>
    <t>Precio</t>
  </si>
  <si>
    <t>Cemento gris (50kg) Portland Tipo I</t>
  </si>
  <si>
    <t>sac</t>
  </si>
  <si>
    <t>Cemento gris * kg</t>
  </si>
  <si>
    <t>Arena fina concretos</t>
  </si>
  <si>
    <t>Arena lavada de peña</t>
  </si>
  <si>
    <t xml:space="preserve">Arenilla </t>
  </si>
  <si>
    <t>Triturado  1/2"</t>
  </si>
  <si>
    <t>Triturado 3/4"</t>
  </si>
  <si>
    <t>Triturado 3/8"</t>
  </si>
  <si>
    <t>Base granular</t>
  </si>
  <si>
    <t>Material Sub base granular CBR=40% - Clase C</t>
  </si>
  <si>
    <t>Mezcla densa en caliente</t>
  </si>
  <si>
    <t>Emulsion Asfaltica CRL-0 o CRL-1</t>
  </si>
  <si>
    <t>gl</t>
  </si>
  <si>
    <t>Arenilla o limo</t>
  </si>
  <si>
    <t>Afirmado</t>
  </si>
  <si>
    <t xml:space="preserve">Tela cerramiento obra verde, ancho: 2.10 m. </t>
  </si>
  <si>
    <t>Larguero madera común 4cmx8cmx2.80m.</t>
  </si>
  <si>
    <t>Pintura</t>
  </si>
  <si>
    <t>Larguero 2x2 x 3mt</t>
  </si>
  <si>
    <t>Clavos 2"</t>
  </si>
  <si>
    <t>Estaca para topografía</t>
  </si>
  <si>
    <t>Agua</t>
  </si>
  <si>
    <t>Cordón Prefabricado de 15 x 45 x 80 cm</t>
  </si>
  <si>
    <t>Gasolina</t>
  </si>
  <si>
    <t>galon</t>
  </si>
  <si>
    <t>Aceie de Motor</t>
  </si>
  <si>
    <t>Transporte de materia 12 Km</t>
  </si>
  <si>
    <t>m3/12km</t>
  </si>
  <si>
    <t>Antisol blanco</t>
  </si>
  <si>
    <t>Acero Fy= 420 mpa, 60.000 psi</t>
  </si>
  <si>
    <t>Pintura Tipo Koraza</t>
  </si>
  <si>
    <t>Tapon pvc 1 "</t>
  </si>
  <si>
    <t>Sello de silicona o sellador autonivelante</t>
  </si>
  <si>
    <t>Tuberia Conduit</t>
  </si>
  <si>
    <t>Tabla madera comun 1.7x19x3m</t>
  </si>
  <si>
    <t>Tabla madera comun 1.8x19 cm</t>
  </si>
  <si>
    <t>Moldura</t>
  </si>
  <si>
    <t>Alambre recocido C 18</t>
  </si>
  <si>
    <t>Formaleta MDF 1.83mX2.44m</t>
  </si>
  <si>
    <t>Larguero de madera comun de 1" x 1"</t>
  </si>
  <si>
    <t>Lubricante PAVCO x 4Kg</t>
  </si>
  <si>
    <t>Piedra de entresuelo (limpia), tamaño máximo 15 cm, con transporte.</t>
  </si>
  <si>
    <t>M3</t>
  </si>
  <si>
    <t>Separol o equivalente (Desmoldante para evitar adherencia de concretos a formaletas.Presentación 15Kg. Rendimiento metal :45g/m2 madera:55g/m2 (15 kg)). para metal puro, para madera diluir hasta 5 partes de agua segun porosidad de la madera.</t>
  </si>
  <si>
    <t>Rejilla de sumidero Tipo B - Nueva Norma</t>
  </si>
  <si>
    <t>Malla electrosoldada D-84</t>
  </si>
  <si>
    <t>M2</t>
  </si>
  <si>
    <t>Estopa</t>
  </si>
  <si>
    <t>Lija de agua 400</t>
  </si>
  <si>
    <t>Carton corrugado ancho 1,22</t>
  </si>
  <si>
    <t>Polietileno negro construccion</t>
  </si>
  <si>
    <t>Esmalte a Base de Aceite, Rendimiento 30m2/gl</t>
  </si>
  <si>
    <t>GL</t>
  </si>
  <si>
    <t>Disolvente</t>
  </si>
  <si>
    <t>Lija de agua 200</t>
  </si>
  <si>
    <t>Sanitario blanco</t>
  </si>
  <si>
    <t>Cemento blanco (saco 40 kilos)</t>
  </si>
  <si>
    <t>Silicona antihongos. Presentacion 300cc Rendimiento de 8ml/en junta de 6mm x 6mm</t>
  </si>
  <si>
    <t>Tapón rosca para brida de fijación</t>
  </si>
  <si>
    <t>Brida de fijación 4", incluye empaque de caucho y tornillos de fijación</t>
  </si>
  <si>
    <t xml:space="preserve">Soldadura PVC (1/4 gal) </t>
  </si>
  <si>
    <t>Abasto metálico (llave de regulación liviana de 1/2"metálica con manguera metálica)</t>
  </si>
  <si>
    <t>Pintura vinilo tipo 1 Viniltex o equivalente</t>
  </si>
  <si>
    <t>gln</t>
  </si>
  <si>
    <t>Estucor (25 kg) - Sumicol</t>
  </si>
  <si>
    <t>Lavamanos acuacer de colgar</t>
  </si>
  <si>
    <t>Sifón botella lavamanos</t>
  </si>
  <si>
    <t>Grifería Galaxia individual - Grival</t>
  </si>
  <si>
    <t>Orinal grande blanco</t>
  </si>
  <si>
    <t>Válvula de regulación metálica, con manguera flexible</t>
  </si>
  <si>
    <t>Grifería tipo push sencilla. (orinal)</t>
  </si>
  <si>
    <t>Mesón en acero inoxidable calibre 18</t>
  </si>
  <si>
    <t>Puerta metálica calibre 20 con chapa de seguridad y anticorrosivo. De 0.8 hasta 1 m de ancho y 2.10 altura m</t>
  </si>
  <si>
    <t>Puerta metálica calibre 20 con chapa de seguridad y anticorrosivo. De 0.6 hasta 0.75 m de ancho y 2.10 altura m</t>
  </si>
  <si>
    <t>Tubería EMT 3/4"</t>
  </si>
  <si>
    <t>Curva EMT 3/4"</t>
  </si>
  <si>
    <t>Adaptador EMT 3/4"</t>
  </si>
  <si>
    <t>Unión EMT 3/4"</t>
  </si>
  <si>
    <t>Grapa doble ala de 3/4". incluye el chazo y el tornillo</t>
  </si>
  <si>
    <t>Tubería EMT 1/2"</t>
  </si>
  <si>
    <t>Curva EMT 1/2"</t>
  </si>
  <si>
    <t>Adaptador EMT 1/2"</t>
  </si>
  <si>
    <t>Unión EMT 1/2"</t>
  </si>
  <si>
    <t>Grapa doble ala de 1/2". incluye el chazo y el tornillo</t>
  </si>
  <si>
    <t>Toma doble + Polo a tierra</t>
  </si>
  <si>
    <t>Alambre No 12 AWG-CU-THHN/THWN-90ºC</t>
  </si>
  <si>
    <t>Alambre No 14 AWG-CU-THHN/THWN-90ºC</t>
  </si>
  <si>
    <t>Alambre No 10 AWG-CU-THHN/THWN-90ºC</t>
  </si>
  <si>
    <t>Alambre No 8 AWG-CU-THHN/THWN-90ºC</t>
  </si>
  <si>
    <t>Conector de empalme.</t>
  </si>
  <si>
    <t>Caja  4"x4" troquel universal con tapa suplemento.</t>
  </si>
  <si>
    <t>Tubería pvc 1/2"</t>
  </si>
  <si>
    <t>Tubería PVC-Novafort Ø= 250 mm.</t>
  </si>
  <si>
    <t>Unión PVC-NOVAFORT Ø= 250 mm. - Pavco o equivalente.</t>
  </si>
  <si>
    <t>Hidrosello-Novafort Ø= 250 mm. - Pavco o equivalente.</t>
  </si>
  <si>
    <t>Acondicionador de Superficie Novafort x 250cc. - Pavco o equivalente.</t>
  </si>
  <si>
    <t>Adhesivo Novafort x 310 ml. - Pavco o equivalente.</t>
  </si>
  <si>
    <t>Adaptador PVC  1/2". (eléctrico)</t>
  </si>
  <si>
    <t>Curva pvc 1/2". (eléctrico)</t>
  </si>
  <si>
    <t>Switch doble de alumbrado</t>
  </si>
  <si>
    <t>Luminaria Led Hermetica 2x18w T8 Pc Luz Neutra 3600 Lm</t>
  </si>
  <si>
    <t>Cable Encauchetado 3 x 14 AWG</t>
  </si>
  <si>
    <t>Accesorios fijación según norma NSR-10</t>
  </si>
  <si>
    <t>Clavija con polo a tierra de caucho</t>
  </si>
  <si>
    <t>Ceramica pared egeo de 20.5 x 20.5 cm. Blanca tipo Corona</t>
  </si>
  <si>
    <t>Adhesivo cerámico Pegacor gris - Corona (Rend.3 a 4 Kg./m², para cerámica de 40x40 o más, 6 kg/m²)</t>
  </si>
  <si>
    <t>Boquilla Blanca (concolor 5-15)- Sumicol. (rend. 0,5 Kg./m², para juntas de 3mm)</t>
  </si>
  <si>
    <t>Moldura plastica blanco (toro plastico) 2.40m</t>
  </si>
  <si>
    <t>Tableta de gres tipo tradición de 30 x 30 moro/sahara</t>
  </si>
  <si>
    <t>Sikaflex 1 - A color blanco, gris y negro. Sellador elastico de poliuretano de alta durabilidad. Rendimiento:1 un de 300cm3 . 3ml en junta de 1cm x 1cm. Incluye transporte</t>
  </si>
  <si>
    <t>Carnaza (bolsa x Kg)</t>
  </si>
  <si>
    <t>Acero para Estructura perfilería tipo IPE, HEA, PHR-C,
PTE</t>
  </si>
  <si>
    <t>Pintura anticorrosivo cromato de zinc</t>
  </si>
  <si>
    <t>Soldadura 7018</t>
  </si>
  <si>
    <t>KG</t>
  </si>
  <si>
    <t xml:space="preserve">Teja Termoacustica </t>
  </si>
  <si>
    <t>Amarres teja termoacústica</t>
  </si>
  <si>
    <t>Moldura en madera 1/4 bocel de L=3.00 m. Chingale</t>
  </si>
  <si>
    <t>COSTAL DE FIQUE (Gante para curado)</t>
  </si>
  <si>
    <t>Sikafluid o equivalente (Fluidificante para mezclas de concreto. Presentacion: 25 kg Rendimiento 250g por bulto de cemento de 50 kg. 1% del peso del concreto.</t>
  </si>
  <si>
    <t>Teja ASBESTO-CEMENTO</t>
  </si>
  <si>
    <t>Canal PVC C-90</t>
  </si>
  <si>
    <t>Soporte de canal PVC C-90</t>
  </si>
  <si>
    <t>Unión de canal PVC C-90</t>
  </si>
  <si>
    <t>Union de canal bajante PVC C-90</t>
  </si>
  <si>
    <t>Limpiador Removedor PVC x 1/4 de galón.</t>
  </si>
  <si>
    <t>Canoa Galvanizada Cal.20, L= 1.00 m.</t>
  </si>
  <si>
    <t>Embudo galvanizado Calibre 22</t>
  </si>
  <si>
    <t>Tornillo Autoperforante zincado cabeza hezagonal Nº 10-16-3/4" con arandela de neopreno.</t>
  </si>
  <si>
    <t>Ventana proyectante sistema PC 3138, de 2.20  x 0.50 m.</t>
  </si>
  <si>
    <t>Cristal claro templado de 4 mm.</t>
  </si>
  <si>
    <t>LADRILLO 15X20X40 RAYADO. puesto en obra</t>
  </si>
  <si>
    <t>LADRILLO 10x20x40 RAYADO. puesto en obra</t>
  </si>
  <si>
    <t>Ángulo perimetral calibre 26, longitud 2.44 m,  para cielo raso en Drywall</t>
  </si>
  <si>
    <t>Tornillo de 7 x 7/16"</t>
  </si>
  <si>
    <t xml:space="preserve">Perfil Viguetas </t>
  </si>
  <si>
    <t>Perfil Omega 63 Cal. 26 de 2,44m</t>
  </si>
  <si>
    <t>Lamina cielo raso pvc 2,9 x 0,3 m e 7 cm</t>
  </si>
  <si>
    <t>Tornillo standar de 6 x 1"</t>
  </si>
  <si>
    <t>Tornillo extraplano</t>
  </si>
  <si>
    <t>Ángulo de cuelga</t>
  </si>
  <si>
    <t xml:space="preserve">Cielo razo corniza pvc </t>
  </si>
  <si>
    <t>Malla anjeo</t>
  </si>
  <si>
    <t>BLOQUE CONCRETO R-10Mpa 3P INTERMEDIO 20 X 20 X 40 puesto en obra</t>
  </si>
  <si>
    <t>Malla eslabonada galvanizada calibre 10 ojo 5</t>
  </si>
  <si>
    <t>Soldadura 6011 x 1/8</t>
  </si>
  <si>
    <t>Tubería galvanizada de 2" pulg. Calibre 1,9mm. Incluye transporte</t>
  </si>
  <si>
    <t>Ángulo de 1 1/2" x1/8"</t>
  </si>
  <si>
    <t>BaldosaPISO DURO de 30x30cm. Incluye desperdicio y transporte.</t>
  </si>
  <si>
    <t>Lechada preparada</t>
  </si>
  <si>
    <t>Varilla de dilatación PVC 4 mm x 37 mm.</t>
  </si>
  <si>
    <t>Cera Polimérica líquida para pisos.</t>
  </si>
  <si>
    <t>lt</t>
  </si>
  <si>
    <t>Eucon R200, aditivo plastificante de concreto. Presentación por 20 Kg. Incluye transporte.</t>
  </si>
  <si>
    <t>EQUIPOS</t>
  </si>
  <si>
    <t>Concretadora 2 sacos a gasolina</t>
  </si>
  <si>
    <t>Día</t>
  </si>
  <si>
    <t>Equipo de topografía (estación total)</t>
  </si>
  <si>
    <t>Retroexcavadora de llantas</t>
  </si>
  <si>
    <t>Hr</t>
  </si>
  <si>
    <t>Retroexcavadora sobre oruga, potencia 138 HP, balde de 1,5 m3.</t>
  </si>
  <si>
    <t>Bulldozer 140hp</t>
  </si>
  <si>
    <t>Fresadora de pavimento, potencia 255 HP, peso 19 Ton, PROFUNDIDAD DE CORTE 305 mm</t>
  </si>
  <si>
    <t>Motoniveladora 120hp</t>
  </si>
  <si>
    <t xml:space="preserve">Vibrocompactador </t>
  </si>
  <si>
    <t>Finisher de Pavimento</t>
  </si>
  <si>
    <t>Rodillo vibrante tandem autopropulsado anchura de trabajo 100 cm</t>
  </si>
  <si>
    <t>Carrotanque de agua (1000 galones)</t>
  </si>
  <si>
    <t>Carro Irrigador</t>
  </si>
  <si>
    <t>Compresor (barrido y soplador)</t>
  </si>
  <si>
    <t>Vibrador para concreto a gasolina</t>
  </si>
  <si>
    <t xml:space="preserve">Barredora mecánica de cepillo de 3658 mm ; 6 m3 </t>
  </si>
  <si>
    <t>Cargador : Potencia en el volante 110 hp, Clasificación de RPM del motor 2300.</t>
  </si>
  <si>
    <t>Compactador neumático de Potencia 70 HP, peso de 13 ton</t>
  </si>
  <si>
    <t>Compactador de Rodillo POTENCIA: 99HP, PESO: 8 ton</t>
  </si>
  <si>
    <t>Tronzadora de metal (incluye disco de corte)</t>
  </si>
  <si>
    <t>Cortadora de pavimento, Máxima profundidad de corte: 160 mm. Capacidad de disco: desde 12´´ hasta 18´´ de diámetro. Peso operacional: 135 kg, 13.5 hp de potencia</t>
  </si>
  <si>
    <t>Dia</t>
  </si>
  <si>
    <t>Martillo demoledor (Incluye muela)</t>
  </si>
  <si>
    <t>Compresor Neumático con martillo demoledor o perforador en superficie, punta, combustible y operador.</t>
  </si>
  <si>
    <t>Formaleta pavimento rígido (metálica y madera según se requiera)
por m3</t>
  </si>
  <si>
    <t>Regla vibratoria, de longitud de 3 a 5 m, motor de 3600 rpm,
potencia 6 HP</t>
  </si>
  <si>
    <t>Transporte de material en volqueta</t>
  </si>
  <si>
    <r>
      <t>m</t>
    </r>
    <r>
      <rPr>
        <vertAlign val="superscript"/>
        <sz val="11"/>
        <color theme="1"/>
        <rFont val="Calibri Light"/>
        <family val="2"/>
        <scheme val="major"/>
      </rPr>
      <t>3</t>
    </r>
    <r>
      <rPr>
        <sz val="11"/>
        <color theme="1"/>
        <rFont val="Calibri Light"/>
        <family val="2"/>
        <scheme val="major"/>
      </rPr>
      <t>-Km</t>
    </r>
  </si>
  <si>
    <t>Equipo manual para demarcación vial</t>
  </si>
  <si>
    <t>Camioneta D-300</t>
  </si>
  <si>
    <t>Canguro a gasolina</t>
  </si>
  <si>
    <t>Aspersor manual 16 l</t>
  </si>
  <si>
    <t>Flete Medellín-Santa Fe de Antioquia 3T</t>
  </si>
  <si>
    <t>Glb</t>
  </si>
  <si>
    <t>Sección completa de andamios</t>
  </si>
  <si>
    <t>Can zunchado en madera común de 5,0cmx20cmx3,0m (alquiler)</t>
  </si>
  <si>
    <t>Cortadora de ladrillo eléctrica sin disco (alquiler)</t>
  </si>
  <si>
    <t>Disco punta de diamante para pulidora 7" (alquiler)</t>
  </si>
  <si>
    <t>Compactador tipo Rana a gasolina</t>
  </si>
  <si>
    <t>Arnes de seguridad con eslingas (alquiler)</t>
  </si>
  <si>
    <t>Cortadora de Cerámica TX-900 TM-50 TS-60</t>
  </si>
  <si>
    <t xml:space="preserve">Buril para Cortadora de Cerámica </t>
  </si>
  <si>
    <t>Soldador Electrico MILLER XMT CC/W 300 AMP,</t>
  </si>
  <si>
    <t>Equipo oxicorte</t>
  </si>
  <si>
    <t>Chapeta tensora (alquiler). Incluye transporte.</t>
  </si>
  <si>
    <t>Taco metálico largo hasta 4,50 m, incluye transporte</t>
  </si>
  <si>
    <t>Motobomba Eléctrica Sumergible 2" - 17m prof. Incluye manguera flexible 2" (26m), extensión eléctrica encauchetada (50m) y transporte.</t>
  </si>
  <si>
    <t>Cortadora de ladrillo / disco y operador</t>
  </si>
  <si>
    <t>Motosierra a Gasolina + gasolina</t>
  </si>
  <si>
    <t>Chipiado de Arboles en sitio</t>
  </si>
  <si>
    <t>Trozado de Arboles en sitio</t>
  </si>
  <si>
    <t>Equipo de seguridad (Arnes, casco, guantes y gafas)</t>
  </si>
  <si>
    <t>Transporte externo Medellin-san jeronimo-vereda</t>
  </si>
  <si>
    <t>Pulidora de pisos duros de 6 piedras</t>
  </si>
  <si>
    <t>TRANSPORTES</t>
  </si>
  <si>
    <t>EQUIPO</t>
  </si>
  <si>
    <t>TARIFA</t>
  </si>
  <si>
    <t>Transporte de arena de concreto</t>
  </si>
  <si>
    <t>m3/km</t>
  </si>
  <si>
    <t>Transporte de material de excavación</t>
  </si>
  <si>
    <t>Transporte de material de recebo para relleno</t>
  </si>
  <si>
    <t>Transporte de material de base y subbase</t>
  </si>
  <si>
    <t>Transporte de agregado triturado</t>
  </si>
  <si>
    <t>Transporte de piedra para Ciclópeo</t>
  </si>
  <si>
    <t>Transporte de acero</t>
  </si>
  <si>
    <t>Kg/km</t>
  </si>
  <si>
    <t xml:space="preserve">Transporte de material </t>
  </si>
  <si>
    <t>Disposición final del material, derecho de botadero</t>
  </si>
  <si>
    <t>Camioneta D300</t>
  </si>
  <si>
    <t>viaje</t>
  </si>
  <si>
    <t>Transporte personal</t>
  </si>
  <si>
    <t>Transporte de material de demolición</t>
  </si>
  <si>
    <t>Transporte de Fresadora</t>
  </si>
  <si>
    <t>Transporte Finsher</t>
  </si>
  <si>
    <t>Transporte Compactador de Rodillo</t>
  </si>
  <si>
    <t>Transporte Compactador de Cilindro</t>
  </si>
  <si>
    <t>Transporte Mezcla asfaltica</t>
  </si>
  <si>
    <t>CAPÍTULO 1</t>
  </si>
  <si>
    <t>SECRETARIA DE DESARROLLO ESTRATEGICO DEL MUNICIPIO DE SAN JERONIMO ANTIOQUIANZÁ</t>
  </si>
  <si>
    <t>1</t>
  </si>
  <si>
    <t>CAPÍTULO 2</t>
  </si>
  <si>
    <t>I. Mano de Obra</t>
  </si>
  <si>
    <t>Ayudante raso</t>
  </si>
  <si>
    <t>II. Herramienta</t>
  </si>
  <si>
    <t>III. Equipo</t>
  </si>
  <si>
    <t>IV. Auxiliares</t>
  </si>
  <si>
    <t>Cargue (Paleros), transporte de materiales y derechos de botadero y/o almacenamiento en bodega.</t>
  </si>
  <si>
    <t>Tapón PVC-P soldado 1"</t>
  </si>
  <si>
    <t>Cuadrilla Retiros</t>
  </si>
  <si>
    <t>III. Auxiliares</t>
  </si>
  <si>
    <t>Transporte interno de materiales</t>
  </si>
  <si>
    <t>CAPÍTULO 4</t>
  </si>
  <si>
    <t>II. Equipo</t>
  </si>
  <si>
    <t>Retroexcavadora 320D</t>
  </si>
  <si>
    <t>hr</t>
  </si>
  <si>
    <t>Transporte de material y derecho de botadero.</t>
  </si>
  <si>
    <t>Sección completa de andamio (1.2m-1.5m) x 1.5 m. (+ 4 ruedas) Incluye transporte.</t>
  </si>
  <si>
    <t>Can zunchado en madera común de 5,0cmx20cmx3,0m (alquiler). Incluye transporte.</t>
  </si>
  <si>
    <t>Cuadrilla Demoliciones</t>
  </si>
  <si>
    <t>Acarreo interno de materiales</t>
  </si>
  <si>
    <t>CAPÍTULO 5</t>
  </si>
  <si>
    <t>CAPÍTULO 6</t>
  </si>
  <si>
    <t xml:space="preserve">Concreto de 21 Mpa preparado en obra (3000PSI) </t>
  </si>
  <si>
    <t>Super T de 19 mm. de 1,53 x 2,44 m.</t>
  </si>
  <si>
    <t>Clavo comun 2" con cabeza. Caja x 500gr</t>
  </si>
  <si>
    <t>Cuadrilla Urbanismo</t>
  </si>
  <si>
    <t>IV. Equipo</t>
  </si>
  <si>
    <t>Vibrador de concreto eléctrico a 110v (alquiler). Tipo aguja</t>
  </si>
  <si>
    <t>V. Auxiliares</t>
  </si>
  <si>
    <t>Tabla madera común de 1,7cm x 20cm x 3,0m. Incluye transporte.</t>
  </si>
  <si>
    <t>Cuadrilla 1Of + 1 Ay Obra Negra</t>
  </si>
  <si>
    <t>Clavo común de 1 1/2". Caja x 500gr.</t>
  </si>
  <si>
    <t>Acero refuerzo G-60 figurado</t>
  </si>
  <si>
    <t xml:space="preserve">Gato tensor </t>
  </si>
  <si>
    <t>Revoque 1:4 preparado en obra</t>
  </si>
  <si>
    <t>Transporte interno de mortero</t>
  </si>
  <si>
    <t>Tabla madera común de 2.5 cm x 20cm x 3,0m. Incluye transporte.</t>
  </si>
  <si>
    <t>Andamio metalico de tijera 1.50x1.50m, 1 cuerpo (alquiler)</t>
  </si>
  <si>
    <t>Taco metálico hasta 2.8m, incluye transporte</t>
  </si>
  <si>
    <t>Arenilla con transporte.</t>
  </si>
  <si>
    <t>CAPÍTULO 7</t>
  </si>
  <si>
    <t>Transporte externo</t>
  </si>
  <si>
    <t>CAPÍTULO 8</t>
  </si>
  <si>
    <t>Malla electrosoldada D-50</t>
  </si>
  <si>
    <t>Transporte esterno</t>
  </si>
  <si>
    <t>CAPÍTULO 9</t>
  </si>
  <si>
    <t>Pintura acrílica tipo Koraza o equivalente, Rendimiento 13m2/gl</t>
  </si>
  <si>
    <t>Cartón corrugado protección piso ancho 1.33m</t>
  </si>
  <si>
    <t>Cuadrilla obra blanca</t>
  </si>
  <si>
    <t>Lija 200</t>
  </si>
  <si>
    <t>Disolvente para Pinturas a Base de Aceite.</t>
  </si>
  <si>
    <t>Cuadrilla 1Of + 1 Ay Obra Blanca</t>
  </si>
  <si>
    <t>CAPÍTULO 10</t>
  </si>
  <si>
    <t>Sanitario linea económica blanco. Consumo 6lt.</t>
  </si>
  <si>
    <t>Soldadura PVC (1/4 gal) + Limpiador PVC (1/4 gal)</t>
  </si>
  <si>
    <t>Cuadrilla 1Of + 1 Ay Instalación</t>
  </si>
  <si>
    <t>Oficial Obra Blanca</t>
  </si>
  <si>
    <t>IV.Auxiliares</t>
  </si>
  <si>
    <t>I.  Materiales</t>
  </si>
  <si>
    <t>CAPÍTULO 11</t>
  </si>
  <si>
    <t>Mortero 1:4 en obra</t>
  </si>
  <si>
    <t>CAPÍTULO 12</t>
  </si>
  <si>
    <t>Oficial Obra Negra</t>
  </si>
  <si>
    <t>IV. Auxiliar</t>
  </si>
  <si>
    <t>Cuadrilla instalacion</t>
  </si>
  <si>
    <t>CAPÍTULO 13</t>
  </si>
  <si>
    <t>Cuadrilla Eléctrica 1: 1OfElec + 1Ayraso</t>
  </si>
  <si>
    <t>Transporte material eléctrico</t>
  </si>
  <si>
    <t>Pega PVC + limpiador</t>
  </si>
  <si>
    <t>global</t>
  </si>
  <si>
    <t>Resanes de las canchas</t>
  </si>
  <si>
    <t>Cable No12 AWG-CU-THHN/THWN-90ºC</t>
  </si>
  <si>
    <t>Conector de cobre 12, incluye encintada.</t>
  </si>
  <si>
    <t>Cable No14 AWG-CU-THHN/THWN-90ºC</t>
  </si>
  <si>
    <t>Conector de cobre 14, incluye encintada.</t>
  </si>
  <si>
    <t>Cable No10 AWG-CU-THHN/THWN-90ºC</t>
  </si>
  <si>
    <t>Conector de cobre 10, incluye encintada.</t>
  </si>
  <si>
    <t>Cable No8 AWG-CU-THHN/THWN-90ºC</t>
  </si>
  <si>
    <t>Conector de cobre 8, incluye encintada.</t>
  </si>
  <si>
    <t>CAPÍTULO 14</t>
  </si>
  <si>
    <t>Luminaria 2x32W pocket sobreponer pantalla en acrílico. Incluye bombillos</t>
  </si>
  <si>
    <t>Cable No 3x14 AWG encauchetado</t>
  </si>
  <si>
    <t>CAPÍTULO 15</t>
  </si>
  <si>
    <t>IV. EQUIPOS</t>
  </si>
  <si>
    <t>CAPÍTULO 16</t>
  </si>
  <si>
    <t>V. Auxiliar</t>
  </si>
  <si>
    <t>Ceramica pared. Blanca tipo Corona o Similar</t>
  </si>
  <si>
    <t>Transporte externa</t>
  </si>
  <si>
    <t>Piso Cerámico Cantera Duro Gris 51x51cm Caja 1.82 m2</t>
  </si>
  <si>
    <t>Concreto de pega y nivelación 1:3:2, cemento, arena de concreto y agregado de 3/8"-1/2". Preparado en obra.</t>
  </si>
  <si>
    <t>CAPÍTULO 17</t>
  </si>
  <si>
    <t>Pernos galvanizados de 1/2-1" Laprox,= 10 cm,</t>
  </si>
  <si>
    <t>Pintura base aceite</t>
  </si>
  <si>
    <t>Disolvente para pinturas a base de aceite,</t>
  </si>
  <si>
    <t>Cuadrilla de Montaje de Estructuras Metálicas</t>
  </si>
  <si>
    <t>Andamio metálico de tijera 1,50x1,50m, 1 cuerpo
(alquiler)</t>
  </si>
  <si>
    <t>Can zunchado, madera comun 2,5/2,7m (Alquiler) en
madera Kativo</t>
  </si>
  <si>
    <t>Transporte, acarreo zona urbana y rural</t>
  </si>
  <si>
    <t>Transporte de acero interno</t>
  </si>
  <si>
    <t>Cuadrilla Cubierta</t>
  </si>
  <si>
    <t>Sección completa de andamio 1,2 x 1,5 m,</t>
  </si>
  <si>
    <t>Amarres teja asbesto-cemento</t>
  </si>
  <si>
    <t>CAPÍTULO 3</t>
  </si>
  <si>
    <t>Cuadrilla nivelación</t>
  </si>
  <si>
    <t>Compactador tipo rana</t>
  </si>
  <si>
    <t>Compactador tipo Canguro. Incluye operador, combustible y transporte.</t>
  </si>
  <si>
    <t>Soldadura PVC (Unión simple) 1/4</t>
  </si>
  <si>
    <t>Cuadrilla de Instalaciones Hidrosanitarias</t>
  </si>
  <si>
    <t>Pintura anticorrosivo</t>
  </si>
  <si>
    <t>Cuadrilla Latoneria</t>
  </si>
  <si>
    <t>Equipo de soldadura eléctrica Lincoln AC-225 GLM 110 v. Incluye transporte.</t>
  </si>
  <si>
    <t>Mortero 1:4</t>
  </si>
  <si>
    <t>CAPÍTULO 18</t>
  </si>
  <si>
    <t>Cuadrilla Mampostería</t>
  </si>
  <si>
    <t>CAPÍTULO 19</t>
  </si>
  <si>
    <t xml:space="preserve">Cuadrilla </t>
  </si>
  <si>
    <t xml:space="preserve">Cicatrizante </t>
  </si>
  <si>
    <t>Cuadrilla  de Poda de árboles Adultos</t>
  </si>
  <si>
    <t>CAPÍTULO 20</t>
  </si>
  <si>
    <t>Acero 4200kg/cm2, suministro, corte, figuracion e instalacion</t>
  </si>
  <si>
    <t>Cuadrilla 1Of + 1 Ay Fabricación</t>
  </si>
  <si>
    <t>Equipo de soldura 110</t>
  </si>
  <si>
    <t>dia</t>
  </si>
  <si>
    <t>Cuerpo de andamios completos</t>
  </si>
  <si>
    <t>can</t>
  </si>
  <si>
    <t>VI. Auxiliares</t>
  </si>
  <si>
    <t>transporte externo</t>
  </si>
  <si>
    <t>MORTEROS Y CONCRETOS</t>
  </si>
  <si>
    <t>PRECIO ACTUAL DE CEMENTO</t>
  </si>
  <si>
    <t>Bulto 50 kg</t>
  </si>
  <si>
    <t>unitario</t>
  </si>
  <si>
    <t>PRECIO ACTUAL DE ARENA FINA</t>
  </si>
  <si>
    <t>PRECIO ACTUAL DE ARENA LAVADA DE PEÑA</t>
  </si>
  <si>
    <t xml:space="preserve">GRAVA </t>
  </si>
  <si>
    <t>AGUA</t>
  </si>
  <si>
    <t>mortero 1:4 con Arena de peña</t>
  </si>
  <si>
    <t>material</t>
  </si>
  <si>
    <t>Valor parcial</t>
  </si>
  <si>
    <t>Arena de Concreto</t>
  </si>
  <si>
    <t>Cemento gris</t>
  </si>
  <si>
    <t>Mano de obra (1 Ofi + 4 Ayu)</t>
  </si>
  <si>
    <t>T.Arena</t>
  </si>
  <si>
    <t xml:space="preserve">% m .o </t>
  </si>
  <si>
    <t>Concreto 4.000 psi</t>
  </si>
  <si>
    <t>280 kg/cm²</t>
  </si>
  <si>
    <t>T.triturado</t>
  </si>
  <si>
    <t>Concreto 3.500 psi</t>
  </si>
  <si>
    <t>246 kg/cm²</t>
  </si>
  <si>
    <t>Concreto 3.000 psi</t>
  </si>
  <si>
    <t>210 kg/cm²</t>
  </si>
  <si>
    <t>Desperdicio</t>
  </si>
  <si>
    <t>Concreto 2.500 psi</t>
  </si>
  <si>
    <t>175 kg/cm²</t>
  </si>
  <si>
    <t>Concreto 2.000 psi</t>
  </si>
  <si>
    <t>140 kg/cm²</t>
  </si>
  <si>
    <t>Concreto pobre 1.500 psi</t>
  </si>
  <si>
    <t>105 kg/cm²</t>
  </si>
  <si>
    <t>TIPO en psi</t>
  </si>
  <si>
    <t>1.500 Normal</t>
  </si>
  <si>
    <t>2.000 Normal</t>
  </si>
  <si>
    <t>2.500 Normal</t>
  </si>
  <si>
    <t>3.000 Normal</t>
  </si>
  <si>
    <t>3.500 Normal</t>
  </si>
  <si>
    <t>4.000 Normal</t>
  </si>
  <si>
    <t>FACTOR PRESTACIÓN DE ACUERDO CON SALARIO MÍNIMO DEVENGADO</t>
  </si>
  <si>
    <t>FACTOR PRESTACIONAL ADMINISTRACIÓN</t>
  </si>
  <si>
    <t>BASE</t>
  </si>
  <si>
    <t>FACTOR</t>
  </si>
  <si>
    <t>Salario mensual</t>
  </si>
  <si>
    <t>Subsidio de transporte mensual</t>
  </si>
  <si>
    <t>Total mensual</t>
  </si>
  <si>
    <t>Cesantías mensuales</t>
  </si>
  <si>
    <t>C*36/360</t>
  </si>
  <si>
    <t>Intereses sobre cesantías</t>
  </si>
  <si>
    <t>12%*D</t>
  </si>
  <si>
    <t>Prima - 30 días</t>
  </si>
  <si>
    <t>100%*C/12</t>
  </si>
  <si>
    <t>Vacaciones - 15 días</t>
  </si>
  <si>
    <t>50%*A/12</t>
  </si>
  <si>
    <t>Pensiones</t>
  </si>
  <si>
    <t>12%*A</t>
  </si>
  <si>
    <t>8.5%*A</t>
  </si>
  <si>
    <t>Riesgos laborales</t>
  </si>
  <si>
    <t>6.96%*A</t>
  </si>
  <si>
    <t>2%*A</t>
  </si>
  <si>
    <t>3%*A</t>
  </si>
  <si>
    <t>CCF</t>
  </si>
  <si>
    <t>4%*A</t>
  </si>
  <si>
    <t>FIC</t>
  </si>
  <si>
    <t>A/40</t>
  </si>
  <si>
    <t>DOTACIÓN Y SEGURIDAD INDUSTRIAL</t>
  </si>
  <si>
    <t>Dotación</t>
  </si>
  <si>
    <t>%A</t>
  </si>
  <si>
    <t>Implementos de seguridad industrial</t>
  </si>
  <si>
    <t>FACTOR PRESTACIONAL</t>
  </si>
  <si>
    <t>V. JORNAL</t>
  </si>
  <si>
    <t>1 AY + 1 OF</t>
  </si>
  <si>
    <t>1 OF + 1 AE</t>
  </si>
  <si>
    <t>1 OF + 2 AY</t>
  </si>
  <si>
    <t>1 OF +1 AE + 1 AY</t>
  </si>
  <si>
    <t>1 AY</t>
  </si>
  <si>
    <t>1 AE</t>
  </si>
  <si>
    <t>1 RASTRILLERO</t>
  </si>
  <si>
    <t>1 OF</t>
  </si>
  <si>
    <t>PRESUPUESTO</t>
  </si>
  <si>
    <t>INTERVENTORIA PARA EL MEJORAMIENTO Y ADECUACIÓN DE LAS VIAS URBANAS DEL MUNICIPIO DE SANTA FE DE ANTIOQUIA</t>
  </si>
  <si>
    <t>CANT.</t>
  </si>
  <si>
    <t>CARGO / OFICIO</t>
  </si>
  <si>
    <t>SUELDO MENSUAL</t>
  </si>
  <si>
    <t>PRIMA DE LOCALIZACIÓN</t>
  </si>
  <si>
    <t>DEDICACIÓN MENSUAL</t>
  </si>
  <si>
    <t>DURACIÓN</t>
  </si>
  <si>
    <t>DE PERSONAL</t>
  </si>
  <si>
    <t>REGIONAL</t>
  </si>
  <si>
    <t>(%)</t>
  </si>
  <si>
    <t>(meses)</t>
  </si>
  <si>
    <t>PARCIAL ($)</t>
  </si>
  <si>
    <t>(1)</t>
  </si>
  <si>
    <t>(2)</t>
  </si>
  <si>
    <t>(3)</t>
  </si>
  <si>
    <t>(4)</t>
  </si>
  <si>
    <t>(5)</t>
  </si>
  <si>
    <r>
      <t>(1)*[(2)+(3)]*(4)*(5) =</t>
    </r>
    <r>
      <rPr>
        <b/>
        <sz val="11"/>
        <color indexed="12"/>
        <rFont val="Arial"/>
        <family val="2"/>
      </rPr>
      <t xml:space="preserve"> (6)</t>
    </r>
  </si>
  <si>
    <t xml:space="preserve">COSTOS DIRECTOS DE PERSONAL </t>
  </si>
  <si>
    <t>PERSONAL PROFESIONAL</t>
  </si>
  <si>
    <t>PERSONAL TECNOLOGO Y TÉCNICO</t>
  </si>
  <si>
    <t>Tecnologo en construcciones civiles - Tecnologo 3</t>
  </si>
  <si>
    <t>PERSONAL ADMINISTRATIVO</t>
  </si>
  <si>
    <t>Secretaria - Auxiliar (H)</t>
  </si>
  <si>
    <t>LICENCIAS</t>
  </si>
  <si>
    <r>
      <t>SUBTOTAL COSTOS DE PERSONAL = SUMATORIA DE (6) =</t>
    </r>
    <r>
      <rPr>
        <b/>
        <sz val="11"/>
        <color indexed="12"/>
        <rFont val="Arial"/>
        <family val="2"/>
      </rPr>
      <t xml:space="preserve"> (7)</t>
    </r>
  </si>
  <si>
    <r>
      <t>FACTOR MULTIPLICADOR</t>
    </r>
    <r>
      <rPr>
        <b/>
        <sz val="11"/>
        <color indexed="12"/>
        <rFont val="Arial"/>
        <family val="2"/>
      </rPr>
      <t xml:space="preserve"> (8)</t>
    </r>
  </si>
  <si>
    <r>
      <t xml:space="preserve">SUBTOTAL COSTOS DE PERSONAL = (7) * (8) = </t>
    </r>
    <r>
      <rPr>
        <b/>
        <sz val="11"/>
        <color indexed="12"/>
        <rFont val="Arial"/>
        <family val="2"/>
      </rPr>
      <t xml:space="preserve">(A) </t>
    </r>
  </si>
  <si>
    <t>COSTO MENSUAL</t>
  </si>
  <si>
    <t>DURACIÓN (meses)</t>
  </si>
  <si>
    <t>VALOR PARCIAL ($)</t>
  </si>
  <si>
    <t>($)</t>
  </si>
  <si>
    <t>(9)</t>
  </si>
  <si>
    <t>(10)</t>
  </si>
  <si>
    <t>(11)</t>
  </si>
  <si>
    <t>(12)</t>
  </si>
  <si>
    <r>
      <t xml:space="preserve">(9)*(10)*(11)*(12) = </t>
    </r>
    <r>
      <rPr>
        <b/>
        <sz val="11"/>
        <color indexed="12"/>
        <rFont val="Arial"/>
        <family val="2"/>
      </rPr>
      <t>(13)</t>
    </r>
  </si>
  <si>
    <t>OTROS COSTOS DIRECTOS</t>
  </si>
  <si>
    <t>VIÁTICOS (si no se hace uso de valor estimado para gastos de alojamiento)</t>
  </si>
  <si>
    <t>COSTOS DE ALQUILER DE EQUIPOS Y OFICINA</t>
  </si>
  <si>
    <r>
      <t>Instalaciones en obra (Incluye arrendamiento, enseres, servicios públicos</t>
    </r>
    <r>
      <rPr>
        <sz val="12"/>
        <color indexed="8"/>
        <rFont val="Arial"/>
        <family val="2"/>
      </rPr>
      <t>)</t>
    </r>
  </si>
  <si>
    <t>Kit</t>
  </si>
  <si>
    <t>COSTOS MENSUALES</t>
  </si>
  <si>
    <t>Mes</t>
  </si>
  <si>
    <t>Informe</t>
  </si>
  <si>
    <t>COSTO DÍA</t>
  </si>
  <si>
    <t>DÍAS - MES</t>
  </si>
  <si>
    <t>(14)</t>
  </si>
  <si>
    <t>(15)</t>
  </si>
  <si>
    <t>(16)</t>
  </si>
  <si>
    <t>(17)</t>
  </si>
  <si>
    <r>
      <t xml:space="preserve">(14)*(15)*(16)*(17) = </t>
    </r>
    <r>
      <rPr>
        <b/>
        <sz val="11"/>
        <color indexed="12"/>
        <rFont val="Arial"/>
        <family val="2"/>
      </rPr>
      <t>(18)</t>
    </r>
  </si>
  <si>
    <t>COSTOS POR DÍA</t>
  </si>
  <si>
    <t>Comisión de Topografía, (incluye personal, equipo y vehículo). 
Comisión de topografía para localización, trazado y replanteo con equipo de precisión con estación total,  topógrafo, 2 cadeneros, obrero; incluye demarcación, pintura línea de trazado, memorias de cálculo, copia de carteras, también transporte, salarios, prestaciones sociales, imprevistos y utilidades. Se paga por dia efectivamente utilizado .</t>
  </si>
  <si>
    <t>COSTO POR PROYECTO</t>
  </si>
  <si>
    <t>´</t>
  </si>
  <si>
    <t>(19)</t>
  </si>
  <si>
    <t>(20)</t>
  </si>
  <si>
    <r>
      <t xml:space="preserve">(19)*(20) = </t>
    </r>
    <r>
      <rPr>
        <b/>
        <sz val="11"/>
        <color indexed="12"/>
        <rFont val="Arial"/>
        <family val="2"/>
      </rPr>
      <t>(21)</t>
    </r>
  </si>
  <si>
    <t>COSTOS DE UN SOLO PAGO</t>
  </si>
  <si>
    <t>COSTOS ESTIMADOS</t>
  </si>
  <si>
    <t>Valor estimado para provisión de horas extras del equipo de Tecnólogos</t>
  </si>
  <si>
    <t>Estimado</t>
  </si>
  <si>
    <t>Gastos de alojamiento, transporte y alimentación, se reconocerán según costo real y contra factura</t>
  </si>
  <si>
    <t>Ensayos de laboratorio:  Límites de Atterberg, granulometría, CBR, compresión simple, entre otros que se soliciten por parte de la Entidad. (Se pagan contra factura y resultados)</t>
  </si>
  <si>
    <t>REVISION AJUSTES Y DISEÑOS</t>
  </si>
  <si>
    <t>PROVISIÓN PARA ACTUALIZACION DE PRECIOS</t>
  </si>
  <si>
    <r>
      <t xml:space="preserve">SUBTOTAL OTROS COSTOS DIRECTOS = SUMATORIA DE (13) + SUMATORIA DE (18) + SUMATORIA DE (21) = </t>
    </r>
    <r>
      <rPr>
        <b/>
        <sz val="10"/>
        <color indexed="12"/>
        <rFont val="Arial"/>
        <family val="2"/>
      </rPr>
      <t>(B)</t>
    </r>
  </si>
  <si>
    <r>
      <t xml:space="preserve">SUBTOTAL COSTOS BASICOS = (A) + (B) = </t>
    </r>
    <r>
      <rPr>
        <b/>
        <sz val="10"/>
        <color indexed="12"/>
        <rFont val="Arial"/>
        <family val="2"/>
      </rPr>
      <t>(C)</t>
    </r>
  </si>
  <si>
    <r>
      <t xml:space="preserve">IVA = 19% * (C) = </t>
    </r>
    <r>
      <rPr>
        <b/>
        <sz val="10"/>
        <color indexed="12"/>
        <rFont val="Arial"/>
        <family val="2"/>
      </rPr>
      <t>(D)</t>
    </r>
  </si>
  <si>
    <r>
      <t xml:space="preserve">COSTO TOTAL (C) + (D) = </t>
    </r>
    <r>
      <rPr>
        <b/>
        <sz val="10"/>
        <color indexed="12"/>
        <rFont val="Arial"/>
        <family val="2"/>
      </rPr>
      <t>(E)</t>
    </r>
  </si>
  <si>
    <r>
      <rPr>
        <b/>
        <sz val="8"/>
        <rFont val="Arial"/>
        <family val="2"/>
      </rPr>
      <t>1</t>
    </r>
    <r>
      <rPr>
        <sz val="8"/>
        <rFont val="Arial"/>
        <family val="2"/>
      </rPr>
      <t>.   Los costos de personal se reembolsarán según la dedicación efectiva que hubiere tenido en la ejecución de los trabajos</t>
    </r>
  </si>
  <si>
    <r>
      <rPr>
        <b/>
        <sz val="8"/>
        <color theme="1"/>
        <rFont val="Arial"/>
        <family val="2"/>
      </rPr>
      <t>2</t>
    </r>
    <r>
      <rPr>
        <sz val="8"/>
        <color theme="1"/>
        <rFont val="Arial"/>
        <family val="2"/>
      </rPr>
      <t>.   Para la determinación de las tarifas unitarias correspondientes a "OTROS COSTOS DIRECTOS", se entiende que el oferente incluyó todas las variables que inciden en su cálculo y además el porcentaje de honorarios que haya establecido dentro de su Factor Multiplicador. Estos valores se reembolsarán según su costo real y previa presentación y aprobación de la factura o documento equivalente por parte de la supervisión del contrato.</t>
    </r>
  </si>
  <si>
    <r>
      <rPr>
        <b/>
        <sz val="8"/>
        <rFont val="Arial"/>
        <family val="2"/>
      </rPr>
      <t xml:space="preserve">3.   </t>
    </r>
    <r>
      <rPr>
        <sz val="8"/>
        <rFont val="Arial"/>
        <family val="2"/>
      </rPr>
      <t>El valor a pagar por  "Provisión de horas extras del Tecnólogo", se utilizará siempre y cuando las horas extras hayan sido debidamente autorizadas por parte del Supervisor designado por El Departamento de Antioquia y sólo para los casos en que estrictamente se requieran. El valor de la hora se calculará de acuerdo con el salario de los tecnólogos ofrecido en este formulario por el contratista, el cual y el mismo será afectado por el Factor Multiplicador presentado por éste. Por ningún motivo podrán superar el monto establecido.</t>
    </r>
  </si>
  <si>
    <r>
      <rPr>
        <b/>
        <sz val="8"/>
        <rFont val="Arial"/>
        <family val="2"/>
      </rPr>
      <t>4.</t>
    </r>
    <r>
      <rPr>
        <sz val="8"/>
        <rFont val="Arial"/>
        <family val="2"/>
      </rPr>
      <t xml:space="preserve">   El valor a pagar por  "Gastos de Alojamiento, transporte  y alimentación" corresponden a montos estimados  con los cuales se atenderán los gastos descritos del personal profesional y técnico, las cuales se reembolsarán según su costo real, previa presentación de la factura. En todo caso solo se reconocerá hasta el valor establecido en el presente formulario.  </t>
    </r>
  </si>
  <si>
    <r>
      <rPr>
        <b/>
        <sz val="8"/>
        <color theme="1"/>
        <rFont val="Arial"/>
        <family val="2"/>
      </rPr>
      <t>5.</t>
    </r>
    <r>
      <rPr>
        <sz val="8"/>
        <color theme="1"/>
        <rFont val="Arial"/>
        <family val="2"/>
      </rPr>
      <t xml:space="preserve">   El valor a pagar por COSTOS ESTIMADOS se reconocerán mensualmente previa presentación de la factura o documento equivalente, según su costo real el cual deberá estar ajustado a los precios de mercado.</t>
    </r>
  </si>
  <si>
    <r>
      <rPr>
        <b/>
        <sz val="8"/>
        <rFont val="Arial"/>
        <family val="2"/>
      </rPr>
      <t>6.</t>
    </r>
    <r>
      <rPr>
        <sz val="8"/>
        <rFont val="Arial"/>
        <family val="2"/>
      </rPr>
      <t xml:space="preserve">   El valor a pagar en el ítem "Ensayos de Laboratorio" incluirá el porcentaje de honorarios establecido dentro de su Factor Multiplicador, los costos de transporte y demás gastos necesarios para el cumplimiento de las especificaciones solicitadas, así como el estudio de mercado correspondiente a las tarifas unitarias que se estén estudiando, dicho  valor (ensayo) será acordado previamente entre las partes, a saber: Interventor y Supervisor. En todo caso solo se reconocerá hasta el valor establecido en el presente formulario. Se pagará contra factura.</t>
    </r>
  </si>
  <si>
    <t>7.  El valor a pagar por "Asesorías especializadas" será por hora de especialista, la cual incluirá el Factor Multiplicador, los costos de transporte y demás gastos del especialista. Dicho  valor (hora) será acordado previamente entre las partes, a saber: Interventor, Especialista y Supervisor, para lo cual se tendrá en cuenta  el cumplimiento de las especificaciones solicitadas y el estudio de mercado correspondiente a las tarifas unitarias que se estén estudiando. En todo caso solo se reconocerá hasta el valor establecido en el presente formulario. Se pagará contra factura.</t>
  </si>
  <si>
    <r>
      <rPr>
        <b/>
        <sz val="8"/>
        <color theme="1"/>
        <rFont val="Arial"/>
        <family val="2"/>
      </rPr>
      <t>8.</t>
    </r>
    <r>
      <rPr>
        <sz val="8"/>
        <color theme="1"/>
        <rFont val="Arial"/>
        <family val="2"/>
      </rPr>
      <t xml:space="preserve"> Si durante la ejecución del contrato la Entidad  llegase a evidenciar pagos inferiores a los valores registrados por el adjudicatario en el presente documento o cuyo valor sea superior a los precios del mercado, ésta podrá realizar las deducciones del caso.</t>
    </r>
  </si>
  <si>
    <t>9.    Los valores subrayados no se modifican, corresponden a montos Estimados con los cuales se atenderán las actividades correspondientes.</t>
  </si>
  <si>
    <t>NOTA FINAL: El valor del FACTOR MULTIPLICADOR, el cual afecta los costos de personal, NO PODRÁ en ningún caso ser superior al establecido por la entidad en el Presupuesto Oficial.</t>
  </si>
  <si>
    <t>Auxilio_Alojamiento-Alimentación</t>
  </si>
  <si>
    <t>Personal</t>
  </si>
  <si>
    <t>Dedicación</t>
  </si>
  <si>
    <t>Rec_Mes</t>
  </si>
  <si>
    <t>Director de Interventoría</t>
  </si>
  <si>
    <t xml:space="preserve">Profesional Residente de Interventoría </t>
  </si>
  <si>
    <t>Ingeniero Especialista  Pavimento</t>
  </si>
  <si>
    <t>Profesional Ambiental</t>
  </si>
  <si>
    <t>Profesional social</t>
  </si>
  <si>
    <t>Profesional SISO</t>
  </si>
  <si>
    <t xml:space="preserve">Tecnólogo en Construcciones Civiles </t>
  </si>
  <si>
    <t>Tecnólogo SISO</t>
  </si>
  <si>
    <t>Profesional  en calidad.Profesional Pregrado 2</t>
  </si>
  <si>
    <t>Topografo</t>
  </si>
  <si>
    <t xml:space="preserve">Cadenero 1 </t>
  </si>
  <si>
    <t>Cadenero 2</t>
  </si>
  <si>
    <t>COSTO TOTAL GASTOS DE VIAJE</t>
  </si>
  <si>
    <t>(Ver cómo se hace)</t>
  </si>
  <si>
    <t>El Factor Multiplicador es un método de calculo de costos y no un sistema de retribución a ser pactado en el contrato. En la Entidad, su calculo se basa en la expectativa que se tiene del tamaño de las posibles empresas interesadas en participar, de acuerdo a su tamaño, lo que define los valores del componente flexible del FM (Componente 3)</t>
  </si>
  <si>
    <t xml:space="preserve">FACTOR MULTIPLICADOR </t>
  </si>
  <si>
    <t>Sueldo Básico</t>
  </si>
  <si>
    <t>NOMINA DE INTERVENTORIA</t>
  </si>
  <si>
    <t>PLAZO</t>
  </si>
  <si>
    <t>Subtotal 1</t>
  </si>
  <si>
    <t>Digitar</t>
  </si>
  <si>
    <t>Prestaciones Sociales, aporte a Seguridad social, Aportes parafiscales y descanso remunerado</t>
  </si>
  <si>
    <t>Prestaciones sociales</t>
  </si>
  <si>
    <t>Prima anual</t>
  </si>
  <si>
    <t>No modificar</t>
  </si>
  <si>
    <t>VALOR BÁSICO</t>
  </si>
  <si>
    <t xml:space="preserve">Cesantía anual </t>
  </si>
  <si>
    <t xml:space="preserve">VR IVA </t>
  </si>
  <si>
    <t>Interés a las cesantías</t>
  </si>
  <si>
    <t xml:space="preserve">VR TOTAL </t>
  </si>
  <si>
    <t>2.2</t>
  </si>
  <si>
    <t>Aportes a la Seguridad social</t>
  </si>
  <si>
    <t>Salud (EPS)</t>
  </si>
  <si>
    <t>Pensiones (AFP)</t>
  </si>
  <si>
    <t>Riesgos (ARL) 6,96 % (obra civil)</t>
  </si>
  <si>
    <t>2.3</t>
  </si>
  <si>
    <t>Aportes parafiscales</t>
  </si>
  <si>
    <t>Servicio Nacional de Aprendizaje (SENA)</t>
  </si>
  <si>
    <t>Instituto Colombiano de Bienestar Familiar (ICBF)</t>
  </si>
  <si>
    <t>Cajas de compensación familiar</t>
  </si>
  <si>
    <t>2.4</t>
  </si>
  <si>
    <t>Descanso remunerado (vacaciones)</t>
  </si>
  <si>
    <t>Vacaciones anuales</t>
  </si>
  <si>
    <t>2.5</t>
  </si>
  <si>
    <t>Dotación e Implementos de seguridad</t>
  </si>
  <si>
    <t>Implementos de seguridad - Elementos de protección personal</t>
  </si>
  <si>
    <t>Exámenes de ingreso y egreso</t>
  </si>
  <si>
    <t>Subtotal 2</t>
  </si>
  <si>
    <t>Costos Indirectos</t>
  </si>
  <si>
    <t>CHEQUEO RECONOCIMIENTO EN LA TOTALIDAD DEL CONTRATO</t>
  </si>
  <si>
    <t>VALOR MES</t>
  </si>
  <si>
    <t>Digitar columnas E75 a E80 de acuerdo al porcentaje de reconocimiento</t>
  </si>
  <si>
    <t>Subtotal 3</t>
  </si>
  <si>
    <t>Gastos de legalización y perfeccionamiento del contrato. Costos Impuestos, Tasas y Contribuciones</t>
  </si>
  <si>
    <r>
      <t>Honorarios  o Utilidad (</t>
    </r>
    <r>
      <rPr>
        <b/>
        <sz val="10"/>
        <color rgb="FF0000FF"/>
        <rFont val="Arial"/>
        <family val="2"/>
      </rPr>
      <t>_10</t>
    </r>
    <r>
      <rPr>
        <b/>
        <sz val="10"/>
        <rFont val="Arial"/>
        <family val="2"/>
      </rPr>
      <t xml:space="preserve">_  % de (1+2+3+4)) 
Indicar en el </t>
    </r>
    <r>
      <rPr>
        <b/>
        <u/>
        <sz val="10"/>
        <rFont val="Arial"/>
        <family val="2"/>
      </rPr>
      <t>espacio subrayado el valor del porcentaje</t>
    </r>
    <r>
      <rPr>
        <b/>
        <sz val="10"/>
        <rFont val="Arial"/>
        <family val="2"/>
      </rPr>
      <t xml:space="preserve"> </t>
    </r>
    <r>
      <rPr>
        <b/>
        <u/>
        <sz val="10"/>
        <rFont val="Arial"/>
        <family val="2"/>
      </rPr>
      <t>que estime como</t>
    </r>
    <r>
      <rPr>
        <b/>
        <sz val="10"/>
        <rFont val="Arial"/>
        <family val="2"/>
      </rPr>
      <t xml:space="preserve"> </t>
    </r>
    <r>
      <rPr>
        <b/>
        <u/>
        <sz val="10"/>
        <rFont val="Arial"/>
        <family val="2"/>
      </rPr>
      <t>honorarios</t>
    </r>
    <r>
      <rPr>
        <b/>
        <sz val="10"/>
        <rFont val="Arial"/>
        <family val="2"/>
      </rPr>
      <t xml:space="preserve"> y el resultado de afectar la suma de (1+2+3+4) por dicho porcentaje, lo deberá colocar en la celda a la derecha</t>
    </r>
  </si>
  <si>
    <t>Ver hojas INTERV_POLIZAS y INTERV_TASAS</t>
  </si>
  <si>
    <t>Subtotal   1+2+3+4+5</t>
  </si>
  <si>
    <t>Factor Multiplicador ajustado a dos cifras decimales</t>
  </si>
  <si>
    <t>Se aclara que se esta tomando el 10% de honorarios.  Los honorarios a reconocer pueden fluctuar entre el 10 y el 40% según  análisis de algunas entidades y un estudio de la PWC a la CCI. Depende de la complejidad de lo que se pretende contratar.  Este valor esta calculado de la sumatoria de 1+2+3+4 multiplicado por el % definido</t>
  </si>
  <si>
    <t>TOPE DE RECONOCIMIENTO</t>
  </si>
  <si>
    <t>VALOR ESTABLECIDO MENSUAL HASTA S.M.M.L.V</t>
  </si>
  <si>
    <t>% DE RECONOCIMIENTO EN EL FACTOR</t>
  </si>
  <si>
    <t>UTILIZADO EN EL CÁLCULO</t>
  </si>
  <si>
    <t>Observaciones</t>
  </si>
  <si>
    <t>Costos oficina (arrendamiento,administración y servicios púlbicos, mantenimiento de oficinas, aseo, vigilancia, seguros de robo e incendio, alquiler (o depreciación)  y mantenimiento de vehículos de administración y gerencia,   asociaciones profesionales, documentación técnica, revistas, representación y promoción, preparación y edición de propuestas, gastos de viaje, gastos de representación)</t>
  </si>
  <si>
    <t>HASTA 3 SMMLV</t>
  </si>
  <si>
    <t>Se debe tener en cuenta que este tope es mensual y se paga por la duración del proyecto. Porcentaje reconocido se estima de acuerdo a requerimiento de oficina central para la obra, tamaño de la empresa, entre otros (entre el 20% y el 50%)</t>
  </si>
  <si>
    <t>Papelería de la oficina del consultor para uso del proyecto (cafetería y otros gastos funcionamiento</t>
  </si>
  <si>
    <t>Calculable</t>
  </si>
  <si>
    <t>Porcentaje reconocido: __. Porcentaje reconocido se estima de acuerdo a requerimiento de oficina central para la obra, tamaño de la empresa, entre otros (entre el 20% y el 50%)</t>
  </si>
  <si>
    <t>Muebles y equipos de oficina, pago programas, sistematización  y actualización tecnológica, rack.</t>
  </si>
  <si>
    <t>Se define el valor a reconocer y se calcula según la tabla adjunta. Se asume depreciación de 18 meses y un porcentaje de uso que se estima de acuerdo a requerimiento de oficina central para la obra, tamaño de la empresa, entre otros (entre el 20% y el 50%)</t>
  </si>
  <si>
    <t>Personal administrativo, técnico y no técnico, no facturable, entrenamiento de personal, capacitación y actualización técnica (cursos, seminarios, congresos).</t>
  </si>
  <si>
    <t>Se debe definir el tipo de personal que se va a reconocer y se calcula. Se estima de acuerdo a requerimiento de oficina central para la obra, tamaño de la empresa, entre otros (entre el 20% y el 50%)</t>
  </si>
  <si>
    <t>Asesoría jurídica, contable, tributaria (revisoría fiscal) y médica</t>
  </si>
  <si>
    <t>Se cancela un solo valor por todo el proyecto.  Porcentaje reconocido: 30%</t>
  </si>
  <si>
    <t>Depreciación</t>
  </si>
  <si>
    <t>Nota: Estos valores de equipos de oficina para uso del proyeto, es un reconocimiento a los equipos de la empresa como tal, más no los equipos que estan en la obra directamente.</t>
  </si>
  <si>
    <t>Equipo de oficina central</t>
  </si>
  <si>
    <t>Descripción / Detalle</t>
  </si>
  <si>
    <t>% de Dedicación</t>
  </si>
  <si>
    <t>valor antes de IVA</t>
  </si>
  <si>
    <t>IVA</t>
  </si>
  <si>
    <t>Plazo 
(Meses)</t>
  </si>
  <si>
    <t>Valor Total</t>
  </si>
  <si>
    <t>Alquiler computador portatil + Base + Refrigerante + Teclado</t>
  </si>
  <si>
    <t>Sofware ofimatica</t>
  </si>
  <si>
    <t>Impresora Láser</t>
  </si>
  <si>
    <t>Quemador de CD y DVD</t>
  </si>
  <si>
    <t xml:space="preserve">Video Beam </t>
  </si>
  <si>
    <t>Cámara digital</t>
  </si>
  <si>
    <t>Archivador de Escritorio Metálico</t>
  </si>
  <si>
    <t>Locker Metálico 2 X 3</t>
  </si>
  <si>
    <t>Archivador vertical metálico 4 gavetas</t>
  </si>
  <si>
    <t>Estante con Puertas</t>
  </si>
  <si>
    <t>Biblioteca Doble</t>
  </si>
  <si>
    <t>Puestos de Trabajo</t>
  </si>
  <si>
    <t>Mesa de Juntas Ovalada con dos Patas</t>
  </si>
  <si>
    <t>Mesa Para Televisor en Madera Aglomerada</t>
  </si>
  <si>
    <t>Mesa Redonda Grande</t>
  </si>
  <si>
    <t>Silla Ergonómica  con Brazos</t>
  </si>
  <si>
    <t>Silla Ergonómica Ejecutiva sin Descansa Cabeza</t>
  </si>
  <si>
    <t xml:space="preserve">Silla Interlocutora Abollonada </t>
  </si>
  <si>
    <t>Tablero en Corcho y Marco en Aluminio</t>
  </si>
  <si>
    <t>Se debe borrar</t>
  </si>
  <si>
    <t>Personal administrativo, técnico y no técnico, no facturable</t>
  </si>
  <si>
    <t>Descricpión</t>
  </si>
  <si>
    <t>Nivel Riesgo 
ARL</t>
  </si>
  <si>
    <t>Salario</t>
  </si>
  <si>
    <t>F.P</t>
  </si>
  <si>
    <t>Secretaria</t>
  </si>
  <si>
    <t>Mensajero</t>
  </si>
  <si>
    <t>Gerente de la empresa</t>
  </si>
  <si>
    <t xml:space="preserve">Contador </t>
  </si>
  <si>
    <t>Revisor fiscal</t>
  </si>
  <si>
    <t>Profesional de licitaciones</t>
  </si>
  <si>
    <t>Abogado</t>
  </si>
  <si>
    <t>Auxiliar administrativo</t>
  </si>
  <si>
    <t>CÁLCULO DEL VALOR DE LAS PRIMAS DE LOS SEGUROS</t>
  </si>
  <si>
    <t>Costo total (CT):</t>
  </si>
  <si>
    <t>Plazo contractual en meses (PC):</t>
  </si>
  <si>
    <t>Tipo de garantía</t>
  </si>
  <si>
    <t>Valor asegurado</t>
  </si>
  <si>
    <t>Vigencia</t>
  </si>
  <si>
    <t>Prima</t>
  </si>
  <si>
    <t>Porcentaje</t>
  </si>
  <si>
    <t>De</t>
  </si>
  <si>
    <t>Según pliego</t>
  </si>
  <si>
    <t>Meses</t>
  </si>
  <si>
    <t>Tasa anual</t>
  </si>
  <si>
    <t>Valor total para el proyecto</t>
  </si>
  <si>
    <t>CT</t>
  </si>
  <si>
    <t>PC + 6 m</t>
  </si>
  <si>
    <t>EL % DEL VALOR ASEGURADO NO DEBE SER MENOR AL 10% DEL VALOR DEL CONTRATO. (Para ampliación Ver artículo 2.2.1.2.3.1.12 Dto 1082/2015). PORCENTAJES A ASEGURAR Y VIGENCIA DE ACUERDO A LO DEFINIDO EN LOS ESTUDIOS PREVIOS Y OTROS DOCUMENTOS CONTRACTUALES. (Vigencias sugeridas).</t>
  </si>
  <si>
    <t>Salarios y prestaciones sociales</t>
  </si>
  <si>
    <t>PC + 36 m</t>
  </si>
  <si>
    <t>EL % DEL VALOR ASEGURADO NO DEBE SER MENOR AL 5% DEL VALOR DEL CONTRATO (Ver Artículo 2.2.1.2.3.1.13 Dto 1082/2015). PORCENTAJES A ASEGURAR Y VIGENCIA DE ACUERDO A LO DEFINIDO EN LOS ESTUDIOS PREVIOS Y OTROS DOCUMENTOS CONTRACTUALES. (Vigencias sugeridas).</t>
  </si>
  <si>
    <t>Calidad en el Servicio</t>
  </si>
  <si>
    <t>60 m</t>
  </si>
  <si>
    <t>LA ENTIDAD DEFINE EL VALOR DEL % A ASEGURAR CON RESPECTO AL VALOR DEL CONTRATO (Ver artículo 2.2.1.2.3.1.15 Dto 1082/2015). PORCENTAJES A ASEGURAR Y VIGENCIA DE ACUERDO A LO DEFINIDO EN LOS ESTUDIOS PREVIOS Y OTROS DOCUMENTOS CONTRACTUALES. (Vigencias sugeridas).</t>
  </si>
  <si>
    <t>MONTO - 1082 EN SMMLV</t>
  </si>
  <si>
    <t>VR SMMLV</t>
  </si>
  <si>
    <t>VIGENCIA MESES</t>
  </si>
  <si>
    <t xml:space="preserve">RESPONSABILIDAD CIVIL EXTRACONTRACTUAL </t>
  </si>
  <si>
    <t>LA ENTIDAD DEFINE SI APLICA LA PÓLIZA DE RCE PARA EL PROYECTO. PORCENTAJES A ASEGURAR Y VIGENCIA DE ACUERDO A LO DEFINIDO EN LOS ESTUDIOS PREVIOS Y OTROS DOCUMENTOS CONTRACTUALES. (Vigencias sugeridas)</t>
  </si>
  <si>
    <t>VALOR TOTAL DE LAS PRIMAS + IVA</t>
  </si>
  <si>
    <t>No va al FM</t>
  </si>
  <si>
    <t>VALOR INCUMPLIMIENTP 50% o 100% incumplimiento SAL Y PRES</t>
  </si>
  <si>
    <t>* Plazo del contrato es igual o superior a seis (6) meses se toma el 50% del valor para asegurar.  * Plazo del contrato es inferior a seis (6) meses se toma el 100% del valor para asegurar.</t>
  </si>
  <si>
    <t>VALOR GASTOS LEGALIZACION - TASAS Y CONTRIBUCIONES</t>
  </si>
  <si>
    <t>VALOR BÁSICO (A + B)</t>
  </si>
  <si>
    <t>Estampilla pro-anciano</t>
  </si>
  <si>
    <t>Las estampillas deben ser consideradas las que apliquen</t>
  </si>
  <si>
    <t>Estampilla pro-cultura</t>
  </si>
  <si>
    <t>Estampilla pro-Hospital</t>
  </si>
  <si>
    <t>Valor para el FM</t>
  </si>
  <si>
    <t>En construcción</t>
  </si>
  <si>
    <t>Determinación del contenido de humedad natural</t>
  </si>
  <si>
    <t>ACERO DE REFUERZO LONGITUDINAL 
Ref Long (C/0,15)</t>
  </si>
  <si>
    <t>Ancho Placas</t>
  </si>
  <si>
    <t>Inicio</t>
  </si>
  <si>
    <t>Fin</t>
  </si>
  <si>
    <t>Longitud [m]</t>
  </si>
  <si>
    <t>Izquierda [m]</t>
  </si>
  <si>
    <t>Derecha [m]</t>
  </si>
  <si>
    <t>Ancho via [m]</t>
  </si>
  <si>
    <t># Varillas 1 pulgada</t>
  </si>
  <si>
    <t># Varillas  1/2 CENTRAL</t>
  </si>
  <si>
    <t>Peso Varilla de pulgas(Kg/m)</t>
  </si>
  <si>
    <t>Peso Varilla de media (Kg/m)</t>
  </si>
  <si>
    <t>Peso total De pulgada(Kg)</t>
  </si>
  <si>
    <t>Peso total De Media(Kg)</t>
  </si>
  <si>
    <t>Cant de pulgada Varillas</t>
  </si>
  <si>
    <t>Cant de media Varillas</t>
  </si>
  <si>
    <t>0+00</t>
  </si>
  <si>
    <t>0+03</t>
  </si>
  <si>
    <t>0+06</t>
  </si>
  <si>
    <t>0+09</t>
  </si>
  <si>
    <t>0+12</t>
  </si>
  <si>
    <t>0+15</t>
  </si>
  <si>
    <t>0+18</t>
  </si>
  <si>
    <t>0+21</t>
  </si>
  <si>
    <t>0+24</t>
  </si>
  <si>
    <t>0+27</t>
  </si>
  <si>
    <t>0+30</t>
  </si>
  <si>
    <t>0+33</t>
  </si>
  <si>
    <t>0+36</t>
  </si>
  <si>
    <t>0+39</t>
  </si>
  <si>
    <t>0+42</t>
  </si>
  <si>
    <t>0+45</t>
  </si>
  <si>
    <t>0+48</t>
  </si>
  <si>
    <t>0+51</t>
  </si>
  <si>
    <t>0+54</t>
  </si>
  <si>
    <t>0+57</t>
  </si>
  <si>
    <t>0+60</t>
  </si>
  <si>
    <t>0+63</t>
  </si>
  <si>
    <t>0+66</t>
  </si>
  <si>
    <t>0+69</t>
  </si>
  <si>
    <t>0+72</t>
  </si>
  <si>
    <t>0+75</t>
  </si>
  <si>
    <t>0+78</t>
  </si>
  <si>
    <t>0+81</t>
  </si>
  <si>
    <t>0+84</t>
  </si>
  <si>
    <t>0+87</t>
  </si>
  <si>
    <t>0+90</t>
  </si>
  <si>
    <t>0+93</t>
  </si>
  <si>
    <t>0+96</t>
  </si>
  <si>
    <t>0+99</t>
  </si>
  <si>
    <t>0+102</t>
  </si>
  <si>
    <t>0+105</t>
  </si>
  <si>
    <t>0+108</t>
  </si>
  <si>
    <t>0+111</t>
  </si>
  <si>
    <t>0+114</t>
  </si>
  <si>
    <t>0+117</t>
  </si>
  <si>
    <t>0+120</t>
  </si>
  <si>
    <t>0+123</t>
  </si>
  <si>
    <t>0+126</t>
  </si>
  <si>
    <t>0+129</t>
  </si>
  <si>
    <t>0+132</t>
  </si>
  <si>
    <t>0+135</t>
  </si>
  <si>
    <t>0+138</t>
  </si>
  <si>
    <t>0+141</t>
  </si>
  <si>
    <t>0+144</t>
  </si>
  <si>
    <t>0+147</t>
  </si>
  <si>
    <t>0+150</t>
  </si>
  <si>
    <t>0+153</t>
  </si>
  <si>
    <t>0+156</t>
  </si>
  <si>
    <t>0+159</t>
  </si>
  <si>
    <t>0+162</t>
  </si>
  <si>
    <t>0+165</t>
  </si>
  <si>
    <t>0+168</t>
  </si>
  <si>
    <t>0+171</t>
  </si>
  <si>
    <t>0+174</t>
  </si>
  <si>
    <t>0+177</t>
  </si>
  <si>
    <t>0+180</t>
  </si>
  <si>
    <t>0+183</t>
  </si>
  <si>
    <t>0+186</t>
  </si>
  <si>
    <t>0+189</t>
  </si>
  <si>
    <t>0+192</t>
  </si>
  <si>
    <t>0+195</t>
  </si>
  <si>
    <t>0+198</t>
  </si>
  <si>
    <t>0+201</t>
  </si>
  <si>
    <t>0+204</t>
  </si>
  <si>
    <t>0+207</t>
  </si>
  <si>
    <t>0+210</t>
  </si>
  <si>
    <t>0+213</t>
  </si>
  <si>
    <t>0+216</t>
  </si>
  <si>
    <t>0+219</t>
  </si>
  <si>
    <t>0+222</t>
  </si>
  <si>
    <t>0+225</t>
  </si>
  <si>
    <t>0+228</t>
  </si>
  <si>
    <t>0+231</t>
  </si>
  <si>
    <t>0+234</t>
  </si>
  <si>
    <t>0+237</t>
  </si>
  <si>
    <t>0+240</t>
  </si>
  <si>
    <t>0+243</t>
  </si>
  <si>
    <t>0+246</t>
  </si>
  <si>
    <t>0+249</t>
  </si>
  <si>
    <t>0+252</t>
  </si>
  <si>
    <t>0+255</t>
  </si>
  <si>
    <t>0+258</t>
  </si>
  <si>
    <t>0+261</t>
  </si>
  <si>
    <t>0+264</t>
  </si>
  <si>
    <t>0+267</t>
  </si>
  <si>
    <t>0+270</t>
  </si>
  <si>
    <t>0+273</t>
  </si>
  <si>
    <t>0+276</t>
  </si>
  <si>
    <t>0+279</t>
  </si>
  <si>
    <t>0+282</t>
  </si>
  <si>
    <t>0+285</t>
  </si>
  <si>
    <t>0+288</t>
  </si>
  <si>
    <t>0+291</t>
  </si>
  <si>
    <t>ANDEN</t>
  </si>
  <si>
    <t>Longitud total cuneta [m]</t>
  </si>
  <si>
    <t>CUNETA</t>
  </si>
  <si>
    <t>Refuerzo longitudinal</t>
  </si>
  <si>
    <t>MEMORIAS DE CALCULO ACERO LOSA, CABEZOTE, CANALES</t>
  </si>
  <si>
    <t>MEMORIA ACERO CABEZOTES, CANALES ESCALONADOS Y LOSAS</t>
  </si>
  <si>
    <t>VALOR REAL DEL SALARIO 2025 - AFECTACIÓN PRESTACIONAL ANUAL</t>
  </si>
  <si>
    <t>Timbre</t>
  </si>
  <si>
    <t>Profesional Residente Proyecto, Ambiental, Profesional Residente Social, Profesional prediador, Ingeniero civil.</t>
  </si>
  <si>
    <t>Profesional Residente de obra. Profesional pregrado 1 (Residente de costos-Programación)</t>
  </si>
  <si>
    <t xml:space="preserve">Profesional Residente proyecto, obra, interventoría, Ambiental, Profesional Residente Social, Profesional prediador, Antropólogo. Profesional SISO. </t>
  </si>
  <si>
    <t>Profesional Residente de Interventoría - Profesional Pregrado 1</t>
  </si>
  <si>
    <t>Profesional SST.Profesional Pregrado 1</t>
  </si>
  <si>
    <t>Profesional Social .Profesional Pregrado 1</t>
  </si>
  <si>
    <t>SALARIO AÑO 2025</t>
  </si>
  <si>
    <t xml:space="preserve">&gt;5 &lt; 10 años
</t>
  </si>
  <si>
    <t>Director de Obra y/o interventoria, Ingeniero Especialista (en todos los campos).
Profesional Universitario en: Ingeniería Civil o de Vías y Transportes Y/O arquitecto y/o arquitecto constructor</t>
  </si>
  <si>
    <t>Lleno tubería</t>
  </si>
  <si>
    <t>vía</t>
  </si>
  <si>
    <t>tecnico sisoma</t>
  </si>
  <si>
    <t>Tecnologo SISOMA</t>
  </si>
  <si>
    <t xml:space="preserve">LARGO </t>
  </si>
  <si>
    <t xml:space="preserve">ANCHO </t>
  </si>
  <si>
    <t>VÍA</t>
  </si>
  <si>
    <t xml:space="preserve">BORDILLO </t>
  </si>
  <si>
    <t xml:space="preserve">ANDEN </t>
  </si>
  <si>
    <t>ML</t>
  </si>
  <si>
    <t>Bordillo</t>
  </si>
  <si>
    <t>Suministro, transporte y colocación de cordón prefabricado de 0.15 x 0.45 x 0.80 m de concreto de 21 Mpa, tres caras, juntas ranuradas, referencia Bordillo Barrera Recto Tipo U10 (según M.E.P). Incluye excavación, conformación del terreno, ajustes de concreto o pavimento donde sea necesario, mortero 1:4 de asiento y pega en las longitudes más adecuadas para el desarrollo de la obra, y todo lo necesario para su correcta construcción y funcionamiento. Según diseño.</t>
  </si>
  <si>
    <t xml:space="preserve">Cuneta </t>
  </si>
  <si>
    <t xml:space="preserve">Anden </t>
  </si>
  <si>
    <t>Cuadrilla 1 Oficial + 2 ayudante</t>
  </si>
  <si>
    <t>VIA</t>
  </si>
  <si>
    <t xml:space="preserve">Concreto clase D (210 kg/cm2 ó 3000 PSI) - para anden </t>
  </si>
  <si>
    <t>Profesional Director 1</t>
  </si>
  <si>
    <t>2,3</t>
  </si>
  <si>
    <t>Honorarios</t>
  </si>
  <si>
    <t>ACTA MODIFICATORIA N°1</t>
  </si>
  <si>
    <t>OBJETO: OBJETO: MEJORAMIENTO Y ADECUACIÓN DE LAS VIAS URBANAS DEL MUNICIPIO DE SANTA FE DE ANTIOQUIA</t>
  </si>
  <si>
    <r>
      <t xml:space="preserve">DEPARTAMENTO: </t>
    </r>
    <r>
      <rPr>
        <b/>
        <sz val="9"/>
        <color theme="1"/>
        <rFont val="Calibri"/>
        <family val="2"/>
        <scheme val="minor"/>
      </rPr>
      <t>ANTIOQUIA</t>
    </r>
  </si>
  <si>
    <r>
      <t xml:space="preserve">ENTIDAD CONTRATANTE: </t>
    </r>
    <r>
      <rPr>
        <b/>
        <sz val="9"/>
        <color theme="1"/>
        <rFont val="Calibri"/>
        <family val="2"/>
        <scheme val="minor"/>
      </rPr>
      <t>ALCALDÍA DE SANTA FE DE ANTIOQUIA</t>
    </r>
  </si>
  <si>
    <r>
      <t xml:space="preserve">CONTRATISTA: </t>
    </r>
    <r>
      <rPr>
        <b/>
        <sz val="9"/>
        <color theme="1"/>
        <rFont val="Calibri"/>
        <family val="2"/>
        <scheme val="minor"/>
      </rPr>
      <t>GRUPO BAW S.A.S</t>
    </r>
  </si>
  <si>
    <r>
      <t xml:space="preserve">REPRESENTANTE LEGAL: </t>
    </r>
    <r>
      <rPr>
        <b/>
        <sz val="9"/>
        <color theme="1"/>
        <rFont val="Calibri"/>
        <family val="2"/>
        <scheme val="minor"/>
      </rPr>
      <t>ANDERSON STEVE BARRERA ARIAS</t>
    </r>
  </si>
  <si>
    <t>CONDICIONES CONTRACTUALES</t>
  </si>
  <si>
    <t>CONDICIONES REALES</t>
  </si>
  <si>
    <t>MODIFICACIONES</t>
  </si>
  <si>
    <t>CONDICIONES ACTUALIZADAS</t>
  </si>
  <si>
    <t>UND.</t>
  </si>
  <si>
    <t>V/UNIT.</t>
  </si>
  <si>
    <t>CANT. REAL A EJEC.</t>
  </si>
  <si>
    <t>(+/-)  CANT</t>
  </si>
  <si>
    <t>NP</t>
  </si>
  <si>
    <t>NO PREVISTOS</t>
  </si>
  <si>
    <t>NP1</t>
  </si>
  <si>
    <t>Suministro, transporte e instalación de malla electrosoldada. Hueco 15X15Cm. Diametro 4.0Mm (Xx-084) en el area de anden</t>
  </si>
  <si>
    <t>NP2</t>
  </si>
  <si>
    <t>Suministro, transporte e aplicación de antisol sobre concreto para anden</t>
  </si>
  <si>
    <t>NP3</t>
  </si>
  <si>
    <t>Suministro, transporte y colocación de base granular de máximo Ø 1½", reacomodado con medios mecánicos y compactado al  100% mínimo del ensayo del proctor modificado, según normas para la construcción de andenes, y todo lo necesario para su correcta construcción y funcionamiento Su medida sera tomada en sitio ya compactado.</t>
  </si>
  <si>
    <t>NP4</t>
  </si>
  <si>
    <t>.</t>
  </si>
  <si>
    <t>Kg</t>
  </si>
  <si>
    <t>KM</t>
  </si>
  <si>
    <r>
      <t xml:space="preserve">PLAZO INICIAL: </t>
    </r>
    <r>
      <rPr>
        <b/>
        <sz val="9"/>
        <color theme="1"/>
        <rFont val="Calibri"/>
        <family val="2"/>
        <scheme val="minor"/>
      </rPr>
      <t>UN (01) MES Y QUINCE (15) DIAS A PARTIR DE LA FIRMA DEL ACTA DE INICIO</t>
    </r>
  </si>
  <si>
    <r>
      <t>FECHA DE TERMINACION:</t>
    </r>
    <r>
      <rPr>
        <b/>
        <sz val="9"/>
        <color theme="1"/>
        <rFont val="Calibri"/>
        <family val="2"/>
        <scheme val="minor"/>
      </rPr>
      <t xml:space="preserve"> 13 DE JUNIO DE 2026</t>
    </r>
  </si>
  <si>
    <r>
      <t xml:space="preserve">VALOR CONTRATO: </t>
    </r>
    <r>
      <rPr>
        <b/>
        <sz val="9"/>
        <color theme="1"/>
        <rFont val="Calibri"/>
        <family val="2"/>
        <scheme val="minor"/>
      </rPr>
      <t>$ 319.722.077 (TRESCIENTOS DIECINUEVE SETESCIENTOS VEINTIDOS MIL SETENTA Y SIETE  PESOS M/CTE</t>
    </r>
    <r>
      <rPr>
        <sz val="9"/>
        <color theme="1"/>
        <rFont val="Calibri"/>
        <family val="2"/>
        <scheme val="minor"/>
      </rPr>
      <t>)</t>
    </r>
  </si>
  <si>
    <r>
      <t xml:space="preserve">CONTRATO DE OBRA PUBLICA No: </t>
    </r>
    <r>
      <rPr>
        <b/>
        <sz val="9"/>
        <color theme="1"/>
        <rFont val="Calibri"/>
        <family val="2"/>
        <scheme val="minor"/>
      </rPr>
      <t xml:space="preserve">CD-020-2026 </t>
    </r>
  </si>
  <si>
    <t xml:space="preserve">
</t>
  </si>
  <si>
    <r>
      <t xml:space="preserve">SUPERVISOR: </t>
    </r>
    <r>
      <rPr>
        <b/>
        <sz val="9"/>
        <color theme="1"/>
        <rFont val="Calibri"/>
        <family val="2"/>
        <scheme val="minor"/>
      </rPr>
      <t>VALENTINA</t>
    </r>
  </si>
  <si>
    <t xml:space="preserve">REPRESENTANTE LEGAL: </t>
  </si>
  <si>
    <t>Cuadrilla 1 Oficial + 1 ayudante Entendido + 2 ayudantes</t>
  </si>
  <si>
    <t>2,2</t>
  </si>
  <si>
    <t>2,4</t>
  </si>
  <si>
    <t xml:space="preserve">Cuadrilla 1 Oficial </t>
  </si>
  <si>
    <t>HONORARIOS</t>
  </si>
  <si>
    <t xml:space="preserve">VALOR ACTA ANTICIPADA  : </t>
  </si>
  <si>
    <t>MORTERO 1:4</t>
  </si>
  <si>
    <t>BATEA</t>
  </si>
  <si>
    <t>Cuadrilla 1 Oficial + AYU ENTENDIDO</t>
  </si>
  <si>
    <t>VALOR TOTAL DEL PROYECTO CON NO PREVISTOS Y CON CANTIDADES REALES</t>
  </si>
  <si>
    <t>VALOR TOTAL DEL PROYECTO CON NO PREVISTOS Y CON CANTIDADES CONTRACTUALES</t>
  </si>
  <si>
    <t>CARRETA BUGGIE, PALA, BALDES</t>
  </si>
  <si>
    <t>Muro de contención aligerado en bloque de 20 cm</t>
  </si>
  <si>
    <t>DIFERENCIA DEL VALOR DE CONTRATO PARA AJUSTE CON NO PREVISTOS , CANTIDADES REALES, AIU MAS HONORARIOS</t>
  </si>
  <si>
    <t>SE SOLICITA FECHA DE TERMINACÍON PARA EL 30 DE JUNIO YA QUE EL NO PREVISTO DE MUROS DE CONTENCIÓN EXIGE TIEMPO DEMAS PARA EJECUTAR ESTE ITEM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</si>
</sst>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5">
    <numFmt numFmtId="5" formatCode="&quot;$&quot;\ #,##0;\-&quot;$&quot;\ #,##0"/>
    <numFmt numFmtId="6" formatCode="&quot;$&quot;\ #,##0;[Red]\-&quot;$&quot;\ #,##0"/>
    <numFmt numFmtId="7" formatCode="&quot;$&quot;\ #,##0.00;\-&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_);_(&quot;$&quot;* \(#,##0\);_(&quot;$&quot;* &quot;-&quot;_);_(@_)"/>
    <numFmt numFmtId="165" formatCode="_(* #,##0_);_(* \(#,##0\);_(* &quot;-&quot;_);_(@_)"/>
    <numFmt numFmtId="166" formatCode="_(&quot;$&quot;* #,##0.00_);_(&quot;$&quot;* \(#,##0.00\);_(&quot;$&quot;* &quot;-&quot;??_);_(@_)"/>
    <numFmt numFmtId="167" formatCode="_(* #,##0.00_);_(* \(#,##0.00\);_(* &quot;-&quot;??_);_(@_)"/>
    <numFmt numFmtId="168" formatCode="_([$$-240A]\ * #,##0.00_);_([$$-240A]\ * \(#,##0.00\);_([$$-240A]\ * &quot;-&quot;??_);_(@_)"/>
    <numFmt numFmtId="169" formatCode="_(&quot;$&quot;\ * #,##0.00_);_(&quot;$&quot;\ * \(#,##0.00\);_(&quot;$&quot;\ * &quot;-&quot;??_);_(@_)"/>
    <numFmt numFmtId="170" formatCode="_-[$$-240A]\ * #,##0.00_-;\-[$$-240A]\ * #,##0.00_-;_-[$$-240A]\ * &quot;-&quot;??_-;_-@_-"/>
    <numFmt numFmtId="171" formatCode="0.000"/>
    <numFmt numFmtId="172" formatCode="0.0"/>
    <numFmt numFmtId="173" formatCode="&quot;$&quot;\ #,##0"/>
    <numFmt numFmtId="174" formatCode="&quot;$&quot;\ #,##0.00"/>
    <numFmt numFmtId="175" formatCode="000"/>
    <numFmt numFmtId="176" formatCode="_-&quot;$&quot;* #,##0.00_-;\-&quot;$&quot;* #,##0.00_-;_-&quot;$&quot;* &quot;-&quot;??_-;_-@_-"/>
    <numFmt numFmtId="177" formatCode="_(&quot;$&quot;\ * #,##0_);_(&quot;$&quot;\ * \(#,##0\);_(&quot;$&quot;\ * &quot;-&quot;??_);_(@_)"/>
    <numFmt numFmtId="178" formatCode="#,##0.00\ _€"/>
    <numFmt numFmtId="179" formatCode="[$-240A]General"/>
    <numFmt numFmtId="180" formatCode="d/m/yyyy"/>
    <numFmt numFmtId="181" formatCode="0.00&quot;kg/ml&quot;"/>
    <numFmt numFmtId="182" formatCode="[$-F800]dddd\,\ mmmm\ dd\,\ yyyy"/>
    <numFmt numFmtId="183" formatCode="0.0000"/>
    <numFmt numFmtId="184" formatCode="0.0%"/>
    <numFmt numFmtId="185" formatCode="_(* #,##0_);_(* \(#,##0\);_(* &quot;-&quot;??_);_(@_)"/>
    <numFmt numFmtId="186" formatCode="###,###,##0.0"/>
    <numFmt numFmtId="187" formatCode="_([$$-240A]\ * #,##0_);_([$$-240A]\ * \(#,##0\);_([$$-240A]\ * &quot;-&quot;_);_(@_)"/>
    <numFmt numFmtId="188" formatCode="###,###,##0.00000"/>
    <numFmt numFmtId="189" formatCode="_(* ##0.00&quot;%&quot;_)"/>
    <numFmt numFmtId="190" formatCode="#,##0.00000"/>
    <numFmt numFmtId="191" formatCode="dd/mmm/yyyy"/>
    <numFmt numFmtId="192" formatCode="###0.0;###0.0"/>
    <numFmt numFmtId="193" formatCode="_(&quot;$&quot;* #,##0_);_(&quot;$&quot;* \(#,##0\);_(&quot;$&quot;* &quot;-&quot;??_);_(@_)"/>
    <numFmt numFmtId="194" formatCode="_ * #,##0.00_ ;_ * \-#,##0.00_ ;_ * &quot;-&quot;??_ ;_ @_ "/>
    <numFmt numFmtId="195" formatCode="_-&quot;$&quot;\ * #,##0.00_-;\-&quot;$&quot;\ * #,##0.00_-;_-&quot;$&quot;\ * &quot;-&quot;_-;_-@_-"/>
    <numFmt numFmtId="196" formatCode="###,###,##0.00"/>
    <numFmt numFmtId="197" formatCode="_-&quot;$&quot;\ * #,##0_-;\-&quot;$&quot;\ * #,##0_-;_-&quot;$&quot;\ * &quot;-&quot;_-;_-@"/>
    <numFmt numFmtId="198" formatCode="_-* #,##0_-;\-* #,##0_-;_-* &quot;-&quot;_-;_-@"/>
    <numFmt numFmtId="199" formatCode="#,##0_ ;\-#,##0\ "/>
    <numFmt numFmtId="200" formatCode="_-&quot;$&quot;\ * #,##0_-;\-&quot;$&quot;\ * #,##0_-;_-&quot;$&quot;\ * &quot;-&quot;??_-;_-@_-"/>
    <numFmt numFmtId="201" formatCode="_ &quot;$&quot;\ * #,##0.00_ ;_ &quot;$&quot;\ * \-#,##0.00_ ;_ &quot;$&quot;\ * &quot;-&quot;??_ ;_ @_ "/>
    <numFmt numFmtId="202" formatCode="_ &quot;$&quot;\ * #,##0_ ;_ &quot;$&quot;\ * \-#,##0_ ;_ &quot;$&quot;\ * &quot;-&quot;??_ ;_ @_ "/>
    <numFmt numFmtId="203" formatCode="_ &quot;$&quot;\ * #,##0.0_ ;_ &quot;$&quot;\ * \-#,##0.0_ ;_ &quot;$&quot;\ * &quot;-&quot;??_ ;_ @_ "/>
    <numFmt numFmtId="204" formatCode="0.000%"/>
    <numFmt numFmtId="205" formatCode="&quot;$&quot;\ #,##0.0"/>
    <numFmt numFmtId="206" formatCode="&quot;$&quot;\ #,##0.000"/>
    <numFmt numFmtId="207" formatCode="#,##0.0"/>
    <numFmt numFmtId="208" formatCode="0.000000%"/>
    <numFmt numFmtId="209" formatCode="0.0000%"/>
    <numFmt numFmtId="210" formatCode="0.00000000"/>
    <numFmt numFmtId="211" formatCode="0.00000000%"/>
    <numFmt numFmtId="212" formatCode="0.00000%"/>
    <numFmt numFmtId="213" formatCode="_-* #,##0.00\ _$_-;\-* #,##0.00\ _$_-;_-* &quot;-&quot;??\ _$_-;_-@_-"/>
    <numFmt numFmtId="214" formatCode="_-* #,##0.00\ &quot;$&quot;_-;\-* #,##0.00\ &quot;$&quot;_-;_-* &quot;-&quot;??\ &quot;$&quot;_-;_-@_-"/>
    <numFmt numFmtId="215" formatCode="&quot;$&quot;#,##0.00"/>
    <numFmt numFmtId="216" formatCode="_-[$$-240A]\ * #,##0.00_ ;_-[$$-240A]\ * \-#,##0.00\ ;_-[$$-240A]\ * &quot;-&quot;??_ ;_-@_ "/>
    <numFmt numFmtId="217" formatCode="_ &quot;$&quot;\ * #,##0.0000_ ;_ &quot;$&quot;\ * \-#,##0.0000_ ;_ &quot;$&quot;\ * &quot;-&quot;??_ ;_ @_ "/>
    <numFmt numFmtId="218" formatCode="_-&quot;$&quot;\ * #,##0.0000_-;\-&quot;$&quot;\ * #,##0.0000_-;_-&quot;$&quot;\ * &quot;-&quot;??_-;_-@_-"/>
    <numFmt numFmtId="219" formatCode="_([$$-240A]\ * #,##0.00_);_([$$-240A]\ * \(#,##0.00\);_([$$-240A]\ * &quot;-&quot;_);_(@_)"/>
    <numFmt numFmtId="220" formatCode="_(* #,##0.0000000_);_(* \(#,##0.0000000\);_(* &quot;-&quot;_);_(@_)"/>
    <numFmt numFmtId="221" formatCode="&quot;$&quot;#,##0"/>
  </numFmts>
  <fonts count="123">
    <font>
      <sz val="11"/>
      <color theme="1"/>
      <name val="Calibri"/>
      <family val="2"/>
      <scheme val="minor"/>
    </font>
    <font>
      <sz val="11"/>
      <color theme="1"/>
      <name val="Calibri"/>
      <family val="2"/>
      <scheme val="minor"/>
    </font>
    <font>
      <sz val="10"/>
      <name val="Arial"/>
      <family val="2"/>
    </font>
    <font>
      <sz val="11"/>
      <color theme="1"/>
      <name val="Calibri Light"/>
      <family val="2"/>
      <scheme val="major"/>
    </font>
    <font>
      <sz val="12"/>
      <color theme="1"/>
      <name val="Calibri Light"/>
      <family val="2"/>
      <scheme val="major"/>
    </font>
    <font>
      <b/>
      <sz val="12"/>
      <color theme="1"/>
      <name val="Calibri Light"/>
      <family val="2"/>
      <scheme val="major"/>
    </font>
    <font>
      <sz val="8"/>
      <name val="Calibri"/>
      <family val="2"/>
      <scheme val="minor"/>
    </font>
    <font>
      <sz val="11"/>
      <color indexed="8"/>
      <name val="Calibri"/>
      <family val="2"/>
    </font>
    <font>
      <b/>
      <sz val="11"/>
      <color theme="1"/>
      <name val="Calibri Light"/>
      <family val="2"/>
      <scheme val="major"/>
    </font>
    <font>
      <b/>
      <sz val="10"/>
      <color theme="1"/>
      <name val="Calibri Light"/>
      <family val="2"/>
      <scheme val="major"/>
    </font>
    <font>
      <sz val="10"/>
      <color theme="1"/>
      <name val="Calibri Light"/>
      <family val="2"/>
      <scheme val="major"/>
    </font>
    <font>
      <sz val="11"/>
      <name val="Calibri Light"/>
      <family val="2"/>
      <scheme val="major"/>
    </font>
    <font>
      <sz val="10"/>
      <color rgb="FF000000"/>
      <name val="Times New Roman"/>
      <family val="1"/>
    </font>
    <font>
      <sz val="10"/>
      <name val="Phinster"/>
    </font>
    <font>
      <b/>
      <sz val="14"/>
      <color theme="1"/>
      <name val="Calibri Light"/>
      <family val="2"/>
      <scheme val="major"/>
    </font>
    <font>
      <b/>
      <sz val="16"/>
      <color theme="1"/>
      <name val="Calibri Light"/>
      <family val="2"/>
      <scheme val="major"/>
    </font>
    <font>
      <b/>
      <sz val="11"/>
      <name val="Calibri Light"/>
      <family val="2"/>
      <scheme val="major"/>
    </font>
    <font>
      <sz val="11"/>
      <color rgb="FF000000"/>
      <name val="Calibri Light"/>
      <family val="2"/>
      <scheme val="major"/>
    </font>
    <font>
      <b/>
      <sz val="11"/>
      <color theme="0"/>
      <name val="Calibri Light"/>
      <family val="2"/>
      <scheme val="major"/>
    </font>
    <font>
      <vertAlign val="superscript"/>
      <sz val="11"/>
      <color theme="1"/>
      <name val="Calibri Light"/>
      <family val="2"/>
      <scheme val="major"/>
    </font>
    <font>
      <b/>
      <sz val="9"/>
      <color indexed="81"/>
      <name val="Tahoma"/>
      <family val="2"/>
    </font>
    <font>
      <sz val="9"/>
      <color indexed="81"/>
      <name val="Tahoma"/>
      <family val="2"/>
    </font>
    <font>
      <b/>
      <sz val="11"/>
      <color rgb="FF000000"/>
      <name val="Calibri Light"/>
      <family val="2"/>
      <scheme val="major"/>
    </font>
    <font>
      <b/>
      <sz val="11"/>
      <color indexed="8"/>
      <name val="Calibri Light"/>
      <family val="2"/>
      <scheme val="major"/>
    </font>
    <font>
      <b/>
      <sz val="10"/>
      <name val="Arial"/>
      <family val="2"/>
    </font>
    <font>
      <sz val="11"/>
      <color rgb="FFFF0000"/>
      <name val="Calibri"/>
      <family val="2"/>
      <scheme val="minor"/>
    </font>
    <font>
      <b/>
      <sz val="11"/>
      <color theme="1"/>
      <name val="Calibri"/>
      <family val="2"/>
      <scheme val="minor"/>
    </font>
    <font>
      <sz val="11"/>
      <color theme="1"/>
      <name val="Calibri"/>
      <family val="2"/>
    </font>
    <font>
      <b/>
      <sz val="12"/>
      <color theme="1"/>
      <name val="Arial"/>
      <family val="2"/>
    </font>
    <font>
      <sz val="11"/>
      <name val="Calibri"/>
      <family val="2"/>
    </font>
    <font>
      <b/>
      <sz val="11"/>
      <color theme="1"/>
      <name val="Arial"/>
      <family val="2"/>
    </font>
    <font>
      <b/>
      <sz val="10"/>
      <color theme="1"/>
      <name val="Arial"/>
      <family val="2"/>
    </font>
    <font>
      <sz val="10"/>
      <color theme="1"/>
      <name val="Arial"/>
      <family val="2"/>
    </font>
    <font>
      <sz val="11"/>
      <color theme="1"/>
      <name val="Arial"/>
      <family val="2"/>
    </font>
    <font>
      <sz val="10"/>
      <color rgb="FF000000"/>
      <name val="Arial"/>
      <family val="2"/>
    </font>
    <font>
      <b/>
      <sz val="11"/>
      <name val="Arial"/>
      <family val="2"/>
    </font>
    <font>
      <sz val="10"/>
      <color theme="0"/>
      <name val="Arial"/>
      <family val="2"/>
    </font>
    <font>
      <sz val="11"/>
      <name val="Calibri"/>
      <family val="2"/>
      <scheme val="minor"/>
    </font>
    <font>
      <b/>
      <sz val="12"/>
      <name val="Arial"/>
      <family val="2"/>
    </font>
    <font>
      <sz val="12"/>
      <name val="Arial"/>
      <family val="2"/>
    </font>
    <font>
      <sz val="12"/>
      <color indexed="8"/>
      <name val="Arial"/>
      <family val="2"/>
    </font>
    <font>
      <sz val="12"/>
      <color theme="1"/>
      <name val="Arial"/>
      <family val="2"/>
    </font>
    <font>
      <b/>
      <sz val="12"/>
      <color indexed="8"/>
      <name val="Arial"/>
      <family val="2"/>
    </font>
    <font>
      <sz val="8"/>
      <name val="Arial"/>
      <family val="2"/>
    </font>
    <font>
      <b/>
      <u/>
      <sz val="11"/>
      <color rgb="FFC00000"/>
      <name val="Arial"/>
      <family val="2"/>
    </font>
    <font>
      <sz val="12"/>
      <color rgb="FFFF0000"/>
      <name val="Arial"/>
      <family val="2"/>
    </font>
    <font>
      <sz val="11"/>
      <color indexed="8"/>
      <name val="Arial"/>
      <family val="2"/>
    </font>
    <font>
      <sz val="9"/>
      <name val="Arial"/>
      <family val="2"/>
    </font>
    <font>
      <b/>
      <u/>
      <sz val="10"/>
      <color rgb="FFC00000"/>
      <name val="Arial"/>
      <family val="2"/>
    </font>
    <font>
      <b/>
      <sz val="11"/>
      <color rgb="FFFF0000"/>
      <name val="Calibri"/>
      <family val="2"/>
      <scheme val="minor"/>
    </font>
    <font>
      <i/>
      <sz val="9"/>
      <name val="Arial"/>
      <family val="2"/>
    </font>
    <font>
      <u/>
      <sz val="11"/>
      <color theme="10"/>
      <name val="Calibri"/>
      <family val="2"/>
      <scheme val="minor"/>
    </font>
    <font>
      <b/>
      <i/>
      <sz val="11"/>
      <color theme="1"/>
      <name val="Arial Narrow"/>
      <family val="2"/>
    </font>
    <font>
      <sz val="11"/>
      <color theme="1"/>
      <name val="Arial Narrow"/>
      <family val="2"/>
    </font>
    <font>
      <sz val="11"/>
      <name val="Arial Narrow"/>
      <family val="2"/>
    </font>
    <font>
      <b/>
      <sz val="11"/>
      <color theme="1"/>
      <name val="Arial Narrow"/>
      <family val="2"/>
    </font>
    <font>
      <sz val="11"/>
      <color rgb="FFFF0000"/>
      <name val="Arial Narrow"/>
      <family val="2"/>
    </font>
    <font>
      <b/>
      <sz val="10"/>
      <name val="Franklin Gothic Book"/>
      <family val="2"/>
    </font>
    <font>
      <sz val="10"/>
      <name val="Franklin Gothic Book"/>
      <family val="2"/>
    </font>
    <font>
      <b/>
      <sz val="10"/>
      <color indexed="8"/>
      <name val="Franklin Gothic Book"/>
      <family val="2"/>
    </font>
    <font>
      <sz val="10"/>
      <color indexed="8"/>
      <name val="Franklin Gothic Book"/>
      <family val="2"/>
    </font>
    <font>
      <b/>
      <u/>
      <sz val="8"/>
      <color rgb="FFC00000"/>
      <name val="Arial"/>
      <family val="2"/>
    </font>
    <font>
      <b/>
      <sz val="10"/>
      <color theme="0"/>
      <name val="Franklin Gothic Book"/>
      <family val="2"/>
    </font>
    <font>
      <b/>
      <u/>
      <sz val="8"/>
      <color rgb="FFFF0000"/>
      <name val="Arial"/>
      <family val="2"/>
    </font>
    <font>
      <b/>
      <i/>
      <sz val="10"/>
      <color rgb="FFFF0000"/>
      <name val="Calibri"/>
      <family val="2"/>
    </font>
    <font>
      <b/>
      <sz val="16"/>
      <color rgb="FF00B050"/>
      <name val="Arial"/>
      <family val="2"/>
    </font>
    <font>
      <sz val="9"/>
      <color rgb="FF333333"/>
      <name val="Arial"/>
      <family val="2"/>
    </font>
    <font>
      <sz val="12"/>
      <name val="Arial Narrow"/>
      <family val="2"/>
    </font>
    <font>
      <b/>
      <u/>
      <sz val="7"/>
      <color rgb="FFC00000"/>
      <name val="Arial"/>
      <family val="2"/>
    </font>
    <font>
      <sz val="9"/>
      <color rgb="FFFF0000"/>
      <name val="Arial"/>
      <family val="2"/>
    </font>
    <font>
      <sz val="10"/>
      <color rgb="FFFF0000"/>
      <name val="Arial"/>
      <family val="2"/>
    </font>
    <font>
      <b/>
      <sz val="10"/>
      <color rgb="FFFF0000"/>
      <name val="Arial"/>
      <family val="2"/>
    </font>
    <font>
      <u/>
      <sz val="12"/>
      <name val="Arial"/>
      <family val="2"/>
    </font>
    <font>
      <b/>
      <sz val="12"/>
      <name val="Franklin Gothic Book"/>
      <family val="2"/>
    </font>
    <font>
      <sz val="10"/>
      <color indexed="8"/>
      <name val="Arial"/>
      <family val="2"/>
    </font>
    <font>
      <sz val="11"/>
      <name val="Arial"/>
      <family val="2"/>
    </font>
    <font>
      <b/>
      <sz val="11"/>
      <color theme="3"/>
      <name val="Arial Narrow"/>
      <family val="2"/>
    </font>
    <font>
      <b/>
      <u/>
      <sz val="11"/>
      <color rgb="FFC00000"/>
      <name val="Arial Narrow"/>
      <family val="2"/>
    </font>
    <font>
      <u/>
      <sz val="10"/>
      <color theme="10"/>
      <name val="Arial"/>
      <family val="2"/>
    </font>
    <font>
      <b/>
      <sz val="11"/>
      <color rgb="FFC00000"/>
      <name val="Arial Narrow"/>
      <family val="2"/>
    </font>
    <font>
      <sz val="9"/>
      <color indexed="8"/>
      <name val="Calibri"/>
      <family val="2"/>
    </font>
    <font>
      <b/>
      <u/>
      <sz val="10"/>
      <name val="Arial"/>
      <family val="2"/>
    </font>
    <font>
      <b/>
      <sz val="9"/>
      <color indexed="8"/>
      <name val="Arial"/>
      <family val="2"/>
    </font>
    <font>
      <sz val="9"/>
      <color rgb="FF0000FF"/>
      <name val="Arial"/>
      <family val="2"/>
    </font>
    <font>
      <sz val="9"/>
      <color indexed="8"/>
      <name val="Arial"/>
      <family val="2"/>
    </font>
    <font>
      <b/>
      <u/>
      <sz val="14"/>
      <color rgb="FFC00000"/>
      <name val="Arial"/>
      <family val="2"/>
    </font>
    <font>
      <sz val="8"/>
      <color indexed="8"/>
      <name val="Arial"/>
      <family val="2"/>
    </font>
    <font>
      <u/>
      <sz val="10"/>
      <color indexed="8"/>
      <name val="Arial"/>
      <family val="2"/>
    </font>
    <font>
      <u/>
      <sz val="10"/>
      <color rgb="FFFF0000"/>
      <name val="Arial"/>
      <family val="2"/>
    </font>
    <font>
      <u/>
      <sz val="10"/>
      <name val="Arial"/>
      <family val="2"/>
    </font>
    <font>
      <b/>
      <sz val="10"/>
      <color rgb="FF0000FF"/>
      <name val="Arial"/>
      <family val="2"/>
    </font>
    <font>
      <b/>
      <sz val="9"/>
      <name val="Arial"/>
      <family val="2"/>
    </font>
    <font>
      <b/>
      <sz val="11"/>
      <color rgb="FF0000FF"/>
      <name val="Arial"/>
      <family val="2"/>
    </font>
    <font>
      <sz val="10"/>
      <color rgb="FFFF00FF"/>
      <name val="Arial"/>
      <family val="2"/>
    </font>
    <font>
      <b/>
      <sz val="14"/>
      <color theme="0"/>
      <name val="Arial"/>
      <family val="2"/>
    </font>
    <font>
      <sz val="12"/>
      <color indexed="8"/>
      <name val="Verdana"/>
      <family val="2"/>
    </font>
    <font>
      <b/>
      <sz val="8"/>
      <name val="Arial"/>
      <family val="2"/>
    </font>
    <font>
      <b/>
      <sz val="12"/>
      <name val="Arial Narrow"/>
      <family val="2"/>
    </font>
    <font>
      <b/>
      <sz val="11"/>
      <color indexed="12"/>
      <name val="Arial"/>
      <family val="2"/>
    </font>
    <font>
      <b/>
      <u/>
      <sz val="11"/>
      <name val="Arial"/>
      <family val="2"/>
    </font>
    <font>
      <b/>
      <sz val="9"/>
      <color rgb="FFFF0000"/>
      <name val="Arial Narrow"/>
      <family val="2"/>
    </font>
    <font>
      <b/>
      <u/>
      <sz val="12"/>
      <color rgb="FFC00000"/>
      <name val="Arial"/>
      <family val="2"/>
    </font>
    <font>
      <i/>
      <u/>
      <sz val="10"/>
      <name val="Arial"/>
      <family val="2"/>
    </font>
    <font>
      <b/>
      <sz val="10"/>
      <color indexed="12"/>
      <name val="Arial"/>
      <family val="2"/>
    </font>
    <font>
      <sz val="8"/>
      <color theme="1"/>
      <name val="Arial"/>
      <family val="2"/>
    </font>
    <font>
      <b/>
      <sz val="8"/>
      <color theme="1"/>
      <name val="Arial"/>
      <family val="2"/>
    </font>
    <font>
      <b/>
      <sz val="11"/>
      <color indexed="8"/>
      <name val="Arial"/>
      <family val="2"/>
    </font>
    <font>
      <b/>
      <i/>
      <sz val="7"/>
      <color rgb="FFFF0000"/>
      <name val="Calibri"/>
      <family val="2"/>
    </font>
    <font>
      <b/>
      <sz val="16"/>
      <color theme="1"/>
      <name val="Calibri"/>
      <family val="2"/>
      <scheme val="minor"/>
    </font>
    <font>
      <b/>
      <sz val="9"/>
      <color theme="1"/>
      <name val="Calibri"/>
      <family val="2"/>
      <scheme val="minor"/>
    </font>
    <font>
      <sz val="9"/>
      <color theme="1"/>
      <name val="Calibri"/>
      <family val="2"/>
      <scheme val="minor"/>
    </font>
    <font>
      <b/>
      <sz val="10"/>
      <name val="Calibri"/>
      <family val="2"/>
    </font>
    <font>
      <b/>
      <sz val="10"/>
      <color rgb="FF000000"/>
      <name val="Calibri"/>
      <family val="2"/>
    </font>
    <font>
      <sz val="10"/>
      <color rgb="FF000000"/>
      <name val="Calibri"/>
      <family val="2"/>
    </font>
    <font>
      <sz val="10"/>
      <name val="Calibri"/>
      <family val="2"/>
      <scheme val="minor"/>
    </font>
    <font>
      <sz val="10"/>
      <color theme="1"/>
      <name val="Calibri"/>
      <family val="2"/>
      <scheme val="minor"/>
    </font>
    <font>
      <b/>
      <sz val="10"/>
      <name val="Calibri"/>
      <family val="2"/>
      <scheme val="minor"/>
    </font>
    <font>
      <sz val="10"/>
      <color rgb="FF000000"/>
      <name val="Calibri"/>
      <family val="2"/>
      <scheme val="minor"/>
    </font>
    <font>
      <b/>
      <sz val="10"/>
      <color theme="1"/>
      <name val="Calibri"/>
      <family val="2"/>
    </font>
    <font>
      <sz val="10"/>
      <color theme="1"/>
      <name val="Calibri"/>
      <family val="2"/>
    </font>
    <font>
      <sz val="10"/>
      <color indexed="8"/>
      <name val="Calibri"/>
      <family val="2"/>
    </font>
    <font>
      <sz val="10"/>
      <name val="Calibri"/>
      <family val="2"/>
    </font>
    <font>
      <sz val="8"/>
      <color indexed="8"/>
      <name val="Calibri"/>
      <family val="2"/>
    </font>
  </fonts>
  <fills count="48">
    <fill>
      <patternFill patternType="none"/>
    </fill>
    <fill>
      <patternFill patternType="gray125"/>
    </fill>
    <fill>
      <patternFill patternType="solid">
        <fgColor theme="0" tint="-0.14999847407452621"/>
        <bgColor indexed="64"/>
      </patternFill>
    </fill>
    <fill>
      <patternFill patternType="solid">
        <fgColor theme="2" tint="-9.9978637043366805E-2"/>
        <bgColor indexed="64"/>
      </patternFill>
    </fill>
    <fill>
      <patternFill patternType="solid">
        <fgColor theme="2" tint="-0.249977111117893"/>
        <bgColor indexed="64"/>
      </patternFill>
    </fill>
    <fill>
      <patternFill patternType="solid">
        <fgColor theme="0"/>
        <bgColor indexed="64"/>
      </patternFill>
    </fill>
    <fill>
      <patternFill patternType="solid">
        <fgColor theme="1"/>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0"/>
        <bgColor theme="0"/>
      </patternFill>
    </fill>
    <fill>
      <patternFill patternType="solid">
        <fgColor rgb="FFD9E2F3"/>
        <bgColor rgb="FFD9E2F3"/>
      </patternFill>
    </fill>
    <fill>
      <patternFill patternType="solid">
        <fgColor theme="4" tint="0.59999389629810485"/>
        <bgColor indexed="64"/>
      </patternFill>
    </fill>
    <fill>
      <patternFill patternType="solid">
        <fgColor theme="3" tint="0.79998168889431442"/>
        <bgColor indexed="64"/>
      </patternFill>
    </fill>
    <fill>
      <patternFill patternType="solid">
        <fgColor rgb="FFFFFF00"/>
        <bgColor indexed="64"/>
      </patternFill>
    </fill>
    <fill>
      <patternFill patternType="solid">
        <fgColor indexed="22"/>
        <bgColor indexed="64"/>
      </patternFill>
    </fill>
    <fill>
      <patternFill patternType="solid">
        <fgColor rgb="FFD9D9D9"/>
      </patternFill>
    </fill>
    <fill>
      <patternFill patternType="solid">
        <fgColor rgb="FF92D050"/>
        <bgColor indexed="64"/>
      </patternFill>
    </fill>
    <fill>
      <patternFill patternType="solid">
        <fgColor theme="4" tint="0.79998168889431442"/>
        <bgColor indexed="64"/>
      </patternFill>
    </fill>
    <fill>
      <patternFill patternType="solid">
        <fgColor rgb="FFBFBFBF"/>
        <bgColor rgb="FFBFBFBF"/>
      </patternFill>
    </fill>
    <fill>
      <patternFill patternType="solid">
        <fgColor rgb="FFD8D8D8"/>
        <bgColor rgb="FFD8D8D8"/>
      </patternFill>
    </fill>
    <fill>
      <patternFill patternType="solid">
        <fgColor rgb="FFF2F2F2"/>
        <bgColor rgb="FFF2F2F2"/>
      </patternFill>
    </fill>
    <fill>
      <patternFill patternType="solid">
        <fgColor rgb="FF00FF00"/>
        <bgColor indexed="64"/>
      </patternFill>
    </fill>
    <fill>
      <patternFill patternType="solid">
        <fgColor theme="9" tint="0.79998168889431442"/>
        <bgColor indexed="64"/>
      </patternFill>
    </fill>
    <fill>
      <patternFill patternType="solid">
        <fgColor theme="5" tint="0.59999389629810485"/>
        <bgColor indexed="64"/>
      </patternFill>
    </fill>
    <fill>
      <patternFill patternType="solid">
        <fgColor rgb="FFFFC000"/>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rgb="FFFF9999"/>
        <bgColor indexed="64"/>
      </patternFill>
    </fill>
    <fill>
      <patternFill patternType="solid">
        <fgColor theme="5" tint="0.39997558519241921"/>
        <bgColor indexed="64"/>
      </patternFill>
    </fill>
    <fill>
      <patternFill patternType="solid">
        <fgColor rgb="FFCC9900"/>
        <bgColor indexed="64"/>
      </patternFill>
    </fill>
    <fill>
      <patternFill patternType="solid">
        <fgColor rgb="FFFF0066"/>
        <bgColor indexed="64"/>
      </patternFill>
    </fill>
    <fill>
      <patternFill patternType="solid">
        <fgColor theme="3" tint="0.39997558519241921"/>
        <bgColor indexed="64"/>
      </patternFill>
    </fill>
    <fill>
      <patternFill patternType="solid">
        <fgColor theme="7" tint="0.39997558519241921"/>
        <bgColor indexed="64"/>
      </patternFill>
    </fill>
    <fill>
      <patternFill patternType="solid">
        <fgColor theme="9" tint="0.59999389629810485"/>
        <bgColor indexed="64"/>
      </patternFill>
    </fill>
    <fill>
      <patternFill patternType="solid">
        <fgColor rgb="FFFF0000"/>
        <bgColor indexed="64"/>
      </patternFill>
    </fill>
    <fill>
      <patternFill patternType="solid">
        <fgColor theme="8" tint="0.59999389629810485"/>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6" tint="0.59999389629810485"/>
        <bgColor indexed="64"/>
      </patternFill>
    </fill>
    <fill>
      <patternFill patternType="solid">
        <fgColor rgb="FF9A0000"/>
        <bgColor indexed="64"/>
      </patternFill>
    </fill>
    <fill>
      <gradientFill degree="90">
        <stop position="0">
          <color theme="0" tint="-5.0965910824915313E-2"/>
        </stop>
        <stop position="1">
          <color theme="0" tint="-0.1490218817712943"/>
        </stop>
      </gradientFill>
    </fill>
    <fill>
      <patternFill patternType="solid">
        <fgColor rgb="FFFFFF00"/>
        <bgColor auto="1"/>
      </patternFill>
    </fill>
    <fill>
      <patternFill patternType="solid">
        <fgColor rgb="FFFFFFCC"/>
        <bgColor auto="1"/>
      </patternFill>
    </fill>
    <fill>
      <patternFill patternType="gray125">
        <fgColor auto="1"/>
      </patternFill>
    </fill>
    <fill>
      <patternFill patternType="solid">
        <fgColor theme="2"/>
        <bgColor theme="0"/>
      </patternFill>
    </fill>
    <fill>
      <patternFill patternType="solid">
        <fgColor theme="7" tint="0.59999389629810485"/>
        <bgColor indexed="64"/>
      </patternFill>
    </fill>
    <fill>
      <patternFill patternType="solid">
        <fgColor rgb="FFF296F0"/>
        <bgColor indexed="64"/>
      </patternFill>
    </fill>
    <fill>
      <patternFill patternType="solid">
        <fgColor rgb="FFFF4343"/>
        <bgColor indexed="64"/>
      </patternFill>
    </fill>
  </fills>
  <borders count="151">
    <border>
      <left/>
      <right/>
      <top/>
      <bottom/>
      <diagonal/>
    </border>
    <border>
      <left style="thin">
        <color indexed="64"/>
      </left>
      <right style="thin">
        <color indexed="64"/>
      </right>
      <top style="thin">
        <color indexed="64"/>
      </top>
      <bottom style="thin">
        <color indexed="64"/>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auto="1"/>
      </right>
      <top style="medium">
        <color auto="1"/>
      </top>
      <bottom style="thin">
        <color auto="1"/>
      </bottom>
      <diagonal/>
    </border>
    <border>
      <left style="thin">
        <color auto="1"/>
      </left>
      <right/>
      <top style="medium">
        <color auto="1"/>
      </top>
      <bottom style="thin">
        <color auto="1"/>
      </bottom>
      <diagonal/>
    </border>
    <border>
      <left/>
      <right style="medium">
        <color indexed="64"/>
      </right>
      <top style="thin">
        <color auto="1"/>
      </top>
      <bottom style="thin">
        <color auto="1"/>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style="thin">
        <color indexed="64"/>
      </right>
      <top/>
      <bottom style="thin">
        <color indexed="64"/>
      </bottom>
      <diagonal/>
    </border>
    <border>
      <left style="medium">
        <color auto="1"/>
      </left>
      <right style="medium">
        <color auto="1"/>
      </right>
      <top/>
      <bottom/>
      <diagonal/>
    </border>
    <border>
      <left style="medium">
        <color indexed="64"/>
      </left>
      <right style="medium">
        <color indexed="64"/>
      </right>
      <top/>
      <bottom style="medium">
        <color indexed="64"/>
      </bottom>
      <diagonal/>
    </border>
    <border>
      <left/>
      <right style="medium">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medium">
        <color indexed="64"/>
      </left>
      <right style="thin">
        <color indexed="64"/>
      </right>
      <top style="thin">
        <color indexed="64"/>
      </top>
      <bottom/>
      <diagonal/>
    </border>
    <border>
      <left style="thin">
        <color auto="1"/>
      </left>
      <right style="thin">
        <color auto="1"/>
      </right>
      <top style="thin">
        <color auto="1"/>
      </top>
      <bottom/>
      <diagonal/>
    </border>
    <border>
      <left style="thin">
        <color indexed="64"/>
      </left>
      <right style="medium">
        <color indexed="64"/>
      </right>
      <top style="thin">
        <color indexed="64"/>
      </top>
      <bottom/>
      <diagonal/>
    </border>
    <border>
      <left style="thin">
        <color auto="1"/>
      </left>
      <right style="thin">
        <color auto="1"/>
      </right>
      <top/>
      <bottom/>
      <diagonal/>
    </border>
    <border>
      <left style="thin">
        <color indexed="64"/>
      </left>
      <right/>
      <top/>
      <bottom/>
      <diagonal/>
    </border>
    <border>
      <left/>
      <right style="thin">
        <color auto="1"/>
      </right>
      <top/>
      <bottom/>
      <diagonal/>
    </border>
    <border>
      <left style="medium">
        <color auto="1"/>
      </left>
      <right/>
      <top/>
      <bottom style="thin">
        <color auto="1"/>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medium">
        <color auto="1"/>
      </left>
      <right style="thin">
        <color auto="1"/>
      </right>
      <top style="medium">
        <color auto="1"/>
      </top>
      <bottom/>
      <diagonal/>
    </border>
    <border>
      <left style="medium">
        <color indexed="64"/>
      </left>
      <right style="thin">
        <color indexed="64"/>
      </right>
      <top/>
      <bottom style="medium">
        <color indexed="64"/>
      </bottom>
      <diagonal/>
    </border>
    <border>
      <left style="medium">
        <color auto="1"/>
      </left>
      <right/>
      <top/>
      <bottom/>
      <diagonal/>
    </border>
    <border>
      <left/>
      <right style="medium">
        <color indexed="64"/>
      </right>
      <top/>
      <bottom style="thin">
        <color indexed="64"/>
      </bottom>
      <diagonal/>
    </border>
    <border>
      <left/>
      <right style="thin">
        <color indexed="64"/>
      </right>
      <top style="medium">
        <color indexed="64"/>
      </top>
      <bottom style="medium">
        <color indexed="64"/>
      </bottom>
      <diagonal/>
    </border>
    <border>
      <left style="thin">
        <color auto="1"/>
      </left>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medium">
        <color indexed="64"/>
      </left>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auto="1"/>
      </left>
      <right style="medium">
        <color auto="1"/>
      </right>
      <top/>
      <bottom/>
      <diagonal/>
    </border>
    <border>
      <left style="thin">
        <color auto="1"/>
      </left>
      <right/>
      <top style="medium">
        <color auto="1"/>
      </top>
      <bottom/>
      <diagonal/>
    </border>
    <border>
      <left style="thin">
        <color auto="1"/>
      </left>
      <right/>
      <top/>
      <bottom style="medium">
        <color indexed="64"/>
      </bottom>
      <diagonal/>
    </border>
    <border>
      <left style="thin">
        <color rgb="FF000000"/>
      </left>
      <right style="thin">
        <color rgb="FF000000"/>
      </right>
      <top style="medium">
        <color rgb="FF000000"/>
      </top>
      <bottom/>
      <diagonal/>
    </border>
    <border>
      <left style="thin">
        <color rgb="FF000000"/>
      </left>
      <right/>
      <top style="medium">
        <color rgb="FF000000"/>
      </top>
      <bottom style="medium">
        <color rgb="FF000000"/>
      </bottom>
      <diagonal/>
    </border>
    <border>
      <left/>
      <right style="thin">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right/>
      <top style="medium">
        <color rgb="FF000000"/>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style="thin">
        <color rgb="FF000000"/>
      </top>
      <bottom/>
      <diagonal/>
    </border>
    <border>
      <left style="thin">
        <color indexed="64"/>
      </left>
      <right style="thin">
        <color rgb="FF000000"/>
      </right>
      <top style="thin">
        <color rgb="FF000000"/>
      </top>
      <bottom style="medium">
        <color rgb="FF000000"/>
      </bottom>
      <diagonal/>
    </border>
    <border>
      <left style="thin">
        <color rgb="FF000000"/>
      </left>
      <right/>
      <top style="thin">
        <color rgb="FF000000"/>
      </top>
      <bottom/>
      <diagonal/>
    </border>
    <border>
      <left style="thin">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right style="thin">
        <color rgb="FF000000"/>
      </right>
      <top style="thin">
        <color rgb="FF000000"/>
      </top>
      <bottom/>
      <diagonal/>
    </border>
    <border>
      <left/>
      <right style="thin">
        <color rgb="FF000000"/>
      </right>
      <top/>
      <bottom style="thin">
        <color rgb="FF000000"/>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right style="thin">
        <color indexed="64"/>
      </right>
      <top style="thin">
        <color rgb="FF000000"/>
      </top>
      <bottom style="medium">
        <color rgb="FF000000"/>
      </bottom>
      <diagonal/>
    </border>
    <border>
      <left style="medium">
        <color indexed="64"/>
      </left>
      <right style="thin">
        <color rgb="FF000000"/>
      </right>
      <top style="medium">
        <color rgb="FF000000"/>
      </top>
      <bottom/>
      <diagonal/>
    </border>
    <border>
      <left style="thin">
        <color rgb="FF000000"/>
      </left>
      <right style="medium">
        <color indexed="64"/>
      </right>
      <top style="medium">
        <color rgb="FF000000"/>
      </top>
      <bottom/>
      <diagonal/>
    </border>
    <border>
      <left style="medium">
        <color indexed="64"/>
      </left>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indexed="64"/>
      </left>
      <right/>
      <top/>
      <bottom style="thin">
        <color rgb="FF000000"/>
      </bottom>
      <diagonal/>
    </border>
    <border>
      <left/>
      <right style="medium">
        <color indexed="64"/>
      </right>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style="medium">
        <color indexed="64"/>
      </left>
      <right style="thin">
        <color rgb="FF000000"/>
      </right>
      <top style="thin">
        <color rgb="FF000000"/>
      </top>
      <bottom/>
      <diagonal/>
    </border>
    <border>
      <left style="thin">
        <color rgb="FF000000"/>
      </left>
      <right style="medium">
        <color indexed="64"/>
      </right>
      <top style="thin">
        <color rgb="FF000000"/>
      </top>
      <bottom/>
      <diagonal/>
    </border>
    <border>
      <left style="thin">
        <color rgb="FF000000"/>
      </left>
      <right style="medium">
        <color indexed="64"/>
      </right>
      <top style="medium">
        <color rgb="FF000000"/>
      </top>
      <bottom style="medium">
        <color rgb="FF000000"/>
      </bottom>
      <diagonal/>
    </border>
    <border>
      <left style="medium">
        <color indexed="64"/>
      </left>
      <right/>
      <top style="medium">
        <color rgb="FF000000"/>
      </top>
      <bottom/>
      <diagonal/>
    </border>
    <border>
      <left/>
      <right style="medium">
        <color indexed="64"/>
      </right>
      <top style="medium">
        <color rgb="FF000000"/>
      </top>
      <bottom/>
      <diagonal/>
    </border>
    <border>
      <left style="medium">
        <color indexed="64"/>
      </left>
      <right style="thin">
        <color rgb="FF000000"/>
      </right>
      <top/>
      <bottom style="thin">
        <color rgb="FF000000"/>
      </bottom>
      <diagonal/>
    </border>
    <border>
      <left style="thin">
        <color rgb="FF000000"/>
      </left>
      <right style="medium">
        <color indexed="64"/>
      </right>
      <top/>
      <bottom/>
      <diagonal/>
    </border>
    <border>
      <left style="medium">
        <color indexed="64"/>
      </left>
      <right/>
      <top style="thin">
        <color rgb="FF000000"/>
      </top>
      <bottom/>
      <diagonal/>
    </border>
    <border>
      <left/>
      <right style="medium">
        <color indexed="64"/>
      </right>
      <top style="thin">
        <color rgb="FF000000"/>
      </top>
      <bottom/>
      <diagonal/>
    </border>
    <border>
      <left style="thin">
        <color rgb="FF000000"/>
      </left>
      <right style="medium">
        <color indexed="64"/>
      </right>
      <top/>
      <bottom style="thin">
        <color rgb="FF000000"/>
      </bottom>
      <diagonal/>
    </border>
    <border>
      <left style="medium">
        <color rgb="FF000000"/>
      </left>
      <right style="medium">
        <color indexed="64"/>
      </right>
      <top style="medium">
        <color rgb="FF000000"/>
      </top>
      <bottom style="medium">
        <color rgb="FF000000"/>
      </bottom>
      <diagonal/>
    </border>
    <border>
      <left style="medium">
        <color rgb="FF000000"/>
      </left>
      <right style="medium">
        <color indexed="64"/>
      </right>
      <top style="thin">
        <color rgb="FF000000"/>
      </top>
      <bottom style="thin">
        <color rgb="FF000000"/>
      </bottom>
      <diagonal/>
    </border>
    <border>
      <left style="medium">
        <color indexed="64"/>
      </left>
      <right/>
      <top style="medium">
        <color rgb="FF000000"/>
      </top>
      <bottom style="medium">
        <color indexed="64"/>
      </bottom>
      <diagonal/>
    </border>
    <border>
      <left/>
      <right/>
      <top style="medium">
        <color rgb="FF000000"/>
      </top>
      <bottom style="medium">
        <color indexed="64"/>
      </bottom>
      <diagonal/>
    </border>
    <border>
      <left style="thin">
        <color rgb="FF000000"/>
      </left>
      <right style="thin">
        <color rgb="FF000000"/>
      </right>
      <top style="medium">
        <color rgb="FF000000"/>
      </top>
      <bottom style="medium">
        <color indexed="64"/>
      </bottom>
      <diagonal/>
    </border>
    <border>
      <left style="thin">
        <color rgb="FF000000"/>
      </left>
      <right style="medium">
        <color indexed="64"/>
      </right>
      <top style="medium">
        <color rgb="FF000000"/>
      </top>
      <bottom style="medium">
        <color indexed="64"/>
      </bottom>
      <diagonal/>
    </border>
    <border>
      <left style="medium">
        <color indexed="64"/>
      </left>
      <right/>
      <top style="thin">
        <color indexed="64"/>
      </top>
      <bottom style="medium">
        <color rgb="FF000000"/>
      </bottom>
      <diagonal/>
    </border>
    <border>
      <left/>
      <right/>
      <top style="thin">
        <color indexed="64"/>
      </top>
      <bottom style="medium">
        <color rgb="FF000000"/>
      </bottom>
      <diagonal/>
    </border>
    <border>
      <left/>
      <right style="medium">
        <color indexed="64"/>
      </right>
      <top style="thin">
        <color indexed="64"/>
      </top>
      <bottom style="medium">
        <color rgb="FF000000"/>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right style="medium">
        <color auto="1"/>
      </right>
      <top style="thin">
        <color auto="1"/>
      </top>
      <bottom/>
      <diagonal/>
    </border>
    <border>
      <left/>
      <right/>
      <top style="thin">
        <color auto="1"/>
      </top>
      <bottom style="medium">
        <color auto="1"/>
      </bottom>
      <diagonal/>
    </border>
    <border>
      <left style="medium">
        <color indexed="64"/>
      </left>
      <right style="thin">
        <color indexed="64"/>
      </right>
      <top/>
      <bottom/>
      <diagonal/>
    </border>
    <border>
      <left style="medium">
        <color theme="0" tint="-0.14996795556505021"/>
      </left>
      <right style="thin">
        <color theme="0" tint="-0.24994659260841701"/>
      </right>
      <top style="thin">
        <color theme="0" tint="-0.2499465926084170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medium">
        <color theme="0" tint="-0.14996795556505021"/>
      </left>
      <right/>
      <top style="thin">
        <color theme="0" tint="-0.24994659260841701"/>
      </top>
      <bottom style="thin">
        <color theme="0" tint="-0.24994659260841701"/>
      </bottom>
      <diagonal/>
    </border>
    <border>
      <left style="thin">
        <color theme="0" tint="-0.24994659260841701"/>
      </left>
      <right style="medium">
        <color theme="0" tint="-0.24994659260841701"/>
      </right>
      <top style="thin">
        <color theme="0" tint="-0.24994659260841701"/>
      </top>
      <bottom style="thin">
        <color theme="0" tint="-0.24994659260841701"/>
      </bottom>
      <diagonal/>
    </border>
    <border>
      <left style="thin">
        <color theme="0" tint="-0.14996795556505021"/>
      </left>
      <right style="thin">
        <color theme="0" tint="-0.14996795556505021"/>
      </right>
      <top style="thin">
        <color theme="0" tint="-0.24994659260841701"/>
      </top>
      <bottom style="thin">
        <color theme="0" tint="-0.24994659260841701"/>
      </bottom>
      <diagonal/>
    </border>
    <border>
      <left/>
      <right/>
      <top style="thin">
        <color theme="0" tint="-0.24994659260841701"/>
      </top>
      <bottom/>
      <diagonal/>
    </border>
    <border>
      <left/>
      <right style="thin">
        <color theme="0" tint="-0.24994659260841701"/>
      </right>
      <top style="thin">
        <color theme="0" tint="-0.24994659260841701"/>
      </top>
      <bottom/>
      <diagonal/>
    </border>
    <border>
      <left/>
      <right/>
      <top style="thin">
        <color theme="0" tint="-0.24994659260841701"/>
      </top>
      <bottom style="thin">
        <color theme="0" tint="-0.24994659260841701"/>
      </bottom>
      <diagonal/>
    </border>
    <border>
      <left style="thin">
        <color theme="0" tint="-0.14996795556505021"/>
      </left>
      <right/>
      <top style="thin">
        <color theme="0" tint="-0.24994659260841701"/>
      </top>
      <bottom style="thin">
        <color theme="0" tint="-0.24994659260841701"/>
      </bottom>
      <diagonal/>
    </border>
    <border>
      <left/>
      <right style="thin">
        <color indexed="64"/>
      </right>
      <top/>
      <bottom style="medium">
        <color indexed="64"/>
      </bottom>
      <diagonal/>
    </border>
  </borders>
  <cellStyleXfs count="96">
    <xf numFmtId="0" fontId="0" fillId="0" borderId="0"/>
    <xf numFmtId="44" fontId="1" fillId="0" borderId="0" applyFont="0" applyFill="0" applyBorder="0" applyAlignment="0" applyProtection="0"/>
    <xf numFmtId="9" fontId="1" fillId="0" borderId="0" applyFont="0" applyFill="0" applyBorder="0" applyAlignment="0" applyProtection="0"/>
    <xf numFmtId="169" fontId="2"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169" fontId="1" fillId="0" borderId="0" applyFont="0" applyFill="0" applyBorder="0" applyAlignment="0" applyProtection="0"/>
    <xf numFmtId="0" fontId="1" fillId="0" borderId="0"/>
    <xf numFmtId="0" fontId="2" fillId="0" borderId="0"/>
    <xf numFmtId="169" fontId="2" fillId="0" borderId="0" applyFont="0" applyFill="0" applyBorder="0" applyAlignment="0" applyProtection="0"/>
    <xf numFmtId="167" fontId="2" fillId="0" borderId="0" applyFont="0" applyFill="0" applyBorder="0" applyAlignment="0" applyProtection="0"/>
    <xf numFmtId="0" fontId="7" fillId="0" borderId="0"/>
    <xf numFmtId="0" fontId="2" fillId="0" borderId="0"/>
    <xf numFmtId="0" fontId="1" fillId="0" borderId="0"/>
    <xf numFmtId="169" fontId="1" fillId="0" borderId="0" applyFont="0" applyFill="0" applyBorder="0" applyAlignment="0" applyProtection="0"/>
    <xf numFmtId="9" fontId="1" fillId="0" borderId="0" applyFont="0" applyFill="0" applyBorder="0" applyAlignment="0" applyProtection="0"/>
    <xf numFmtId="169" fontId="1" fillId="0" borderId="0" applyFont="0" applyFill="0" applyBorder="0" applyAlignment="0" applyProtection="0"/>
    <xf numFmtId="167" fontId="1" fillId="0" borderId="0" applyFont="0" applyFill="0" applyBorder="0" applyAlignment="0" applyProtection="0"/>
    <xf numFmtId="9" fontId="2" fillId="0" borderId="0" applyFont="0" applyFill="0" applyBorder="0" applyAlignment="0" applyProtection="0"/>
    <xf numFmtId="0" fontId="12" fillId="0" borderId="0"/>
    <xf numFmtId="0" fontId="13" fillId="0" borderId="0"/>
    <xf numFmtId="166" fontId="1" fillId="0" borderId="0" applyFont="0" applyFill="0" applyBorder="0" applyAlignment="0" applyProtection="0"/>
    <xf numFmtId="0" fontId="2" fillId="0" borderId="0"/>
    <xf numFmtId="0" fontId="1" fillId="0" borderId="0"/>
    <xf numFmtId="176" fontId="1" fillId="0" borderId="0" applyFont="0" applyFill="0" applyBorder="0" applyAlignment="0" applyProtection="0"/>
    <xf numFmtId="164" fontId="1" fillId="0" borderId="0" applyFont="0" applyFill="0" applyBorder="0" applyAlignment="0" applyProtection="0"/>
    <xf numFmtId="0" fontId="1" fillId="0" borderId="0"/>
    <xf numFmtId="0" fontId="2" fillId="0" borderId="0"/>
    <xf numFmtId="0" fontId="1" fillId="0" borderId="0"/>
    <xf numFmtId="169" fontId="1" fillId="0" borderId="0" applyFont="0" applyFill="0" applyBorder="0" applyAlignment="0" applyProtection="0"/>
    <xf numFmtId="169" fontId="1" fillId="0" borderId="0" applyFont="0" applyFill="0" applyBorder="0" applyAlignment="0" applyProtection="0"/>
    <xf numFmtId="0" fontId="1" fillId="0" borderId="0"/>
    <xf numFmtId="0" fontId="2" fillId="0" borderId="0"/>
    <xf numFmtId="169" fontId="1" fillId="0" borderId="0" applyFont="0" applyFill="0" applyBorder="0" applyAlignment="0" applyProtection="0"/>
    <xf numFmtId="16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176" fontId="1" fillId="0" borderId="0" applyFont="0" applyFill="0" applyBorder="0" applyAlignment="0" applyProtection="0"/>
    <xf numFmtId="0" fontId="2" fillId="0" borderId="0"/>
    <xf numFmtId="0" fontId="2" fillId="0" borderId="0"/>
    <xf numFmtId="0" fontId="2" fillId="0" borderId="0"/>
    <xf numFmtId="43" fontId="12" fillId="0" borderId="0" applyFont="0" applyFill="0" applyBorder="0" applyAlignment="0" applyProtection="0"/>
    <xf numFmtId="166" fontId="12" fillId="0" borderId="0" applyFont="0" applyFill="0" applyBorder="0" applyAlignment="0" applyProtection="0"/>
    <xf numFmtId="0" fontId="2" fillId="0" borderId="0"/>
    <xf numFmtId="194" fontId="2" fillId="0" borderId="0" applyFont="0" applyFill="0" applyBorder="0" applyAlignment="0" applyProtection="0"/>
    <xf numFmtId="41" fontId="1" fillId="0" borderId="0" applyFont="0" applyFill="0" applyBorder="0" applyAlignment="0" applyProtection="0"/>
    <xf numFmtId="0" fontId="1" fillId="0" borderId="0"/>
    <xf numFmtId="0" fontId="1" fillId="0" borderId="0"/>
    <xf numFmtId="0" fontId="2" fillId="0" borderId="0"/>
    <xf numFmtId="0" fontId="2" fillId="0" borderId="0"/>
    <xf numFmtId="0" fontId="2" fillId="0" borderId="0"/>
    <xf numFmtId="42" fontId="2" fillId="0" borderId="0" applyFont="0" applyFill="0" applyBorder="0" applyAlignment="0" applyProtection="0"/>
    <xf numFmtId="0" fontId="2" fillId="0" borderId="0"/>
    <xf numFmtId="9" fontId="7" fillId="0" borderId="0" applyFont="0" applyFill="0" applyBorder="0" applyAlignment="0" applyProtection="0"/>
    <xf numFmtId="42" fontId="2" fillId="0" borderId="0" applyFont="0" applyFill="0" applyBorder="0" applyAlignment="0" applyProtection="0"/>
    <xf numFmtId="201" fontId="2" fillId="0" borderId="0" applyFont="0" applyFill="0" applyBorder="0" applyAlignment="0" applyProtection="0"/>
    <xf numFmtId="0" fontId="2" fillId="0" borderId="0"/>
    <xf numFmtId="0" fontId="51" fillId="0" borderId="0" applyNumberFormat="0" applyFill="0" applyBorder="0" applyAlignment="0" applyProtection="0"/>
    <xf numFmtId="0" fontId="2" fillId="0" borderId="0"/>
    <xf numFmtId="9" fontId="2" fillId="0" borderId="0" applyFont="0" applyFill="0" applyBorder="0" applyAlignment="0" applyProtection="0"/>
    <xf numFmtId="0" fontId="7" fillId="0" borderId="0"/>
    <xf numFmtId="169" fontId="40" fillId="0" borderId="0" applyFont="0" applyFill="0" applyBorder="0" applyAlignment="0" applyProtection="0"/>
    <xf numFmtId="0" fontId="1" fillId="0" borderId="0"/>
    <xf numFmtId="201"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0" fontId="2" fillId="0" borderId="0"/>
    <xf numFmtId="0" fontId="1" fillId="0" borderId="0"/>
    <xf numFmtId="0" fontId="7" fillId="0" borderId="0"/>
    <xf numFmtId="0" fontId="7" fillId="0" borderId="0"/>
    <xf numFmtId="194" fontId="2" fillId="0" borderId="0" applyFont="0" applyFill="0" applyBorder="0" applyAlignment="0" applyProtection="0"/>
    <xf numFmtId="41" fontId="1" fillId="0" borderId="0" applyFont="0" applyFill="0" applyBorder="0" applyAlignment="0" applyProtection="0"/>
    <xf numFmtId="213" fontId="2" fillId="0" borderId="0" applyFont="0" applyFill="0" applyBorder="0" applyAlignment="0" applyProtection="0"/>
    <xf numFmtId="214" fontId="2" fillId="0" borderId="0" applyFont="0" applyFill="0" applyBorder="0" applyAlignment="0" applyProtection="0"/>
    <xf numFmtId="0" fontId="95" fillId="0" borderId="0" applyNumberFormat="0" applyFill="0" applyBorder="0" applyProtection="0">
      <alignment vertical="top"/>
    </xf>
    <xf numFmtId="0" fontId="53" fillId="0" borderId="0"/>
    <xf numFmtId="9" fontId="1" fillId="0" borderId="0" applyFont="0" applyFill="0" applyBorder="0" applyAlignment="0" applyProtection="0"/>
    <xf numFmtId="167" fontId="2" fillId="0" borderId="0" applyFont="0" applyFill="0" applyBorder="0" applyAlignment="0" applyProtection="0"/>
    <xf numFmtId="169" fontId="7" fillId="0" borderId="0" applyFont="0" applyFill="0" applyBorder="0" applyAlignment="0" applyProtection="0"/>
    <xf numFmtId="42" fontId="1" fillId="0" borderId="0" applyFont="0" applyFill="0" applyBorder="0" applyAlignment="0" applyProtection="0"/>
    <xf numFmtId="169" fontId="7" fillId="0" borderId="0" applyFont="0" applyFill="0" applyBorder="0" applyAlignment="0" applyProtection="0"/>
    <xf numFmtId="169" fontId="1"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167" fontId="1" fillId="0" borderId="0" applyFont="0" applyFill="0" applyBorder="0" applyAlignment="0" applyProtection="0"/>
    <xf numFmtId="0" fontId="2" fillId="0" borderId="0"/>
    <xf numFmtId="44" fontId="1" fillId="0" borderId="0" applyFont="0" applyFill="0" applyBorder="0" applyAlignment="0" applyProtection="0"/>
    <xf numFmtId="9" fontId="2" fillId="0" borderId="0" applyFont="0" applyFill="0" applyBorder="0" applyAlignment="0" applyProtection="0"/>
    <xf numFmtId="9" fontId="1" fillId="0" borderId="0" applyFont="0" applyFill="0" applyBorder="0" applyAlignment="0" applyProtection="0"/>
    <xf numFmtId="0" fontId="78" fillId="0" borderId="0" applyNumberFormat="0" applyFill="0" applyBorder="0" applyAlignment="0" applyProtection="0"/>
    <xf numFmtId="194" fontId="2" fillId="0" borderId="0" applyFont="0" applyFill="0" applyBorder="0" applyAlignment="0" applyProtection="0"/>
    <xf numFmtId="42" fontId="1" fillId="0" borderId="0" applyFont="0" applyFill="0" applyBorder="0" applyAlignment="0" applyProtection="0"/>
  </cellStyleXfs>
  <cellXfs count="2215">
    <xf numFmtId="0" fontId="0" fillId="0" borderId="0" xfId="0"/>
    <xf numFmtId="0" fontId="3" fillId="0" borderId="0" xfId="0" applyFont="1"/>
    <xf numFmtId="169" fontId="3" fillId="0" borderId="1" xfId="5" applyNumberFormat="1" applyFont="1" applyBorder="1" applyAlignment="1">
      <alignment vertical="center"/>
    </xf>
    <xf numFmtId="170" fontId="3" fillId="0" borderId="1" xfId="4" applyNumberFormat="1" applyFont="1" applyBorder="1" applyAlignment="1">
      <alignment horizontal="center" vertical="center"/>
    </xf>
    <xf numFmtId="9" fontId="3" fillId="0" borderId="0" xfId="2" applyFont="1"/>
    <xf numFmtId="44" fontId="3" fillId="0" borderId="0" xfId="0" applyNumberFormat="1" applyFont="1"/>
    <xf numFmtId="169" fontId="3" fillId="0" borderId="0" xfId="0" applyNumberFormat="1" applyFont="1"/>
    <xf numFmtId="0" fontId="3" fillId="0" borderId="1" xfId="0" applyFont="1" applyBorder="1" applyAlignment="1">
      <alignment horizontal="center" vertical="center"/>
    </xf>
    <xf numFmtId="0" fontId="3" fillId="0" borderId="5" xfId="5" applyFont="1" applyBorder="1" applyAlignment="1">
      <alignment horizontal="center" vertical="center"/>
    </xf>
    <xf numFmtId="0" fontId="3" fillId="0" borderId="5" xfId="4" applyFont="1" applyBorder="1" applyAlignment="1">
      <alignment horizontal="center" vertical="center"/>
    </xf>
    <xf numFmtId="0" fontId="3" fillId="0" borderId="5" xfId="0" applyFont="1" applyBorder="1"/>
    <xf numFmtId="0" fontId="3" fillId="0" borderId="12" xfId="0" applyFont="1" applyBorder="1" applyAlignment="1">
      <alignment horizontal="center" vertical="center"/>
    </xf>
    <xf numFmtId="170" fontId="3" fillId="0" borderId="12" xfId="4" applyNumberFormat="1" applyFont="1" applyBorder="1" applyAlignment="1">
      <alignment horizontal="center" vertical="center"/>
    </xf>
    <xf numFmtId="169" fontId="3" fillId="0" borderId="12" xfId="5" applyNumberFormat="1" applyFont="1" applyBorder="1" applyAlignment="1">
      <alignment vertical="center"/>
    </xf>
    <xf numFmtId="0" fontId="3" fillId="0" borderId="15" xfId="5" applyFont="1" applyBorder="1" applyAlignment="1">
      <alignment horizontal="center" vertical="center"/>
    </xf>
    <xf numFmtId="169" fontId="3" fillId="0" borderId="14" xfId="7" applyFont="1" applyFill="1" applyBorder="1" applyAlignment="1">
      <alignment vertical="center"/>
    </xf>
    <xf numFmtId="0" fontId="3" fillId="0" borderId="14" xfId="0" applyFont="1" applyBorder="1" applyAlignment="1">
      <alignment horizontal="center" vertical="center"/>
    </xf>
    <xf numFmtId="170" fontId="3" fillId="0" borderId="14" xfId="4" applyNumberFormat="1" applyFont="1" applyBorder="1" applyAlignment="1">
      <alignment horizontal="center" vertical="center"/>
    </xf>
    <xf numFmtId="44" fontId="3" fillId="0" borderId="33" xfId="1" applyFont="1" applyBorder="1"/>
    <xf numFmtId="0" fontId="8" fillId="0" borderId="19" xfId="5" applyFont="1" applyBorder="1" applyAlignment="1">
      <alignment horizontal="center" vertical="center" wrapText="1"/>
    </xf>
    <xf numFmtId="0" fontId="8" fillId="0" borderId="20" xfId="5" applyFont="1" applyBorder="1" applyAlignment="1">
      <alignment horizontal="center" vertical="center"/>
    </xf>
    <xf numFmtId="0" fontId="8" fillId="0" borderId="20" xfId="5" applyFont="1" applyBorder="1" applyAlignment="1">
      <alignment horizontal="center" vertical="center" wrapText="1"/>
    </xf>
    <xf numFmtId="0" fontId="8" fillId="0" borderId="21" xfId="5" applyFont="1" applyBorder="1" applyAlignment="1">
      <alignment horizontal="center" vertical="center" wrapText="1"/>
    </xf>
    <xf numFmtId="4" fontId="11" fillId="0" borderId="5" xfId="14" applyNumberFormat="1" applyFont="1" applyBorder="1" applyAlignment="1">
      <alignment horizontal="center" vertical="center"/>
    </xf>
    <xf numFmtId="3" fontId="11" fillId="0" borderId="6" xfId="14" applyNumberFormat="1" applyFont="1" applyBorder="1" applyAlignment="1">
      <alignment horizontal="center" vertical="center"/>
    </xf>
    <xf numFmtId="4" fontId="11" fillId="0" borderId="11" xfId="14" applyNumberFormat="1" applyFont="1" applyBorder="1" applyAlignment="1">
      <alignment horizontal="center" vertical="center"/>
    </xf>
    <xf numFmtId="3" fontId="11" fillId="0" borderId="13" xfId="14" applyNumberFormat="1" applyFont="1" applyBorder="1" applyAlignment="1">
      <alignment horizontal="center" vertical="center"/>
    </xf>
    <xf numFmtId="4" fontId="11" fillId="0" borderId="15" xfId="14" applyNumberFormat="1" applyFont="1" applyBorder="1" applyAlignment="1">
      <alignment horizontal="center" vertical="center"/>
    </xf>
    <xf numFmtId="3" fontId="11" fillId="0" borderId="33" xfId="14" applyNumberFormat="1" applyFont="1" applyBorder="1" applyAlignment="1">
      <alignment horizontal="center" vertical="center"/>
    </xf>
    <xf numFmtId="169" fontId="3" fillId="0" borderId="34" xfId="7" applyFont="1" applyFill="1" applyBorder="1" applyAlignment="1">
      <alignment vertical="center"/>
    </xf>
    <xf numFmtId="44" fontId="3" fillId="0" borderId="35" xfId="1" applyFont="1" applyBorder="1"/>
    <xf numFmtId="170" fontId="3" fillId="0" borderId="0" xfId="0" applyNumberFormat="1" applyFont="1"/>
    <xf numFmtId="0" fontId="3" fillId="0" borderId="1" xfId="0" applyFont="1" applyBorder="1" applyAlignment="1">
      <alignment horizontal="center"/>
    </xf>
    <xf numFmtId="173" fontId="3" fillId="0" borderId="1" xfId="0" applyNumberFormat="1" applyFont="1" applyBorder="1" applyAlignment="1">
      <alignment horizontal="center"/>
    </xf>
    <xf numFmtId="0" fontId="3" fillId="0" borderId="0" xfId="0" applyFont="1" applyAlignment="1">
      <alignment horizontal="center"/>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169" fontId="3" fillId="0" borderId="6" xfId="17" applyFont="1" applyFill="1" applyBorder="1" applyAlignment="1">
      <alignment horizontal="center" vertical="center" wrapText="1"/>
    </xf>
    <xf numFmtId="0" fontId="3" fillId="0" borderId="47" xfId="0" applyFont="1" applyBorder="1"/>
    <xf numFmtId="0" fontId="3" fillId="0" borderId="48" xfId="0" applyFont="1" applyBorder="1" applyAlignment="1">
      <alignment horizontal="center"/>
    </xf>
    <xf numFmtId="169" fontId="3" fillId="0" borderId="49" xfId="17" applyFont="1" applyFill="1" applyBorder="1" applyAlignment="1">
      <alignment horizontal="center" vertical="center" wrapText="1"/>
    </xf>
    <xf numFmtId="173" fontId="3" fillId="0" borderId="48" xfId="0" applyNumberFormat="1" applyFont="1" applyBorder="1" applyAlignment="1">
      <alignment horizontal="center"/>
    </xf>
    <xf numFmtId="2" fontId="3" fillId="0" borderId="48" xfId="0" applyNumberFormat="1" applyFont="1" applyBorder="1" applyAlignment="1">
      <alignment horizontal="center"/>
    </xf>
    <xf numFmtId="0" fontId="3" fillId="0" borderId="11" xfId="0" applyFont="1" applyBorder="1" applyAlignment="1">
      <alignment horizontal="center"/>
    </xf>
    <xf numFmtId="0" fontId="3" fillId="0" borderId="12" xfId="0" applyFont="1" applyBorder="1" applyAlignment="1">
      <alignment horizontal="center"/>
    </xf>
    <xf numFmtId="169" fontId="8" fillId="0" borderId="13" xfId="17" applyFont="1" applyFill="1" applyBorder="1" applyAlignment="1">
      <alignment horizontal="center" vertical="center" wrapText="1"/>
    </xf>
    <xf numFmtId="169" fontId="3" fillId="0" borderId="0" xfId="17" applyFont="1" applyFill="1" applyBorder="1" applyAlignment="1">
      <alignment horizontal="center" vertical="center" wrapText="1"/>
    </xf>
    <xf numFmtId="0" fontId="3" fillId="0" borderId="19"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21" xfId="0" applyFont="1" applyBorder="1" applyAlignment="1">
      <alignment horizontal="center" vertical="center" wrapText="1"/>
    </xf>
    <xf numFmtId="0" fontId="3" fillId="0" borderId="2" xfId="0" applyFont="1" applyBorder="1" applyAlignment="1">
      <alignment horizontal="center"/>
    </xf>
    <xf numFmtId="0" fontId="3" fillId="0" borderId="3" xfId="0" applyFont="1" applyBorder="1" applyAlignment="1">
      <alignment horizontal="center"/>
    </xf>
    <xf numFmtId="172" fontId="3" fillId="0" borderId="3" xfId="0" applyNumberFormat="1" applyFont="1" applyBorder="1" applyAlignment="1">
      <alignment horizontal="center"/>
    </xf>
    <xf numFmtId="169" fontId="3" fillId="0" borderId="3" xfId="17" applyFont="1" applyFill="1" applyBorder="1" applyAlignment="1">
      <alignment horizontal="center" vertical="center" wrapText="1"/>
    </xf>
    <xf numFmtId="169" fontId="3" fillId="0" borderId="4" xfId="17" applyFont="1" applyFill="1" applyBorder="1" applyAlignment="1">
      <alignment horizontal="center" vertical="center" wrapText="1"/>
    </xf>
    <xf numFmtId="0" fontId="3" fillId="0" borderId="5" xfId="0" applyFont="1" applyBorder="1" applyAlignment="1">
      <alignment horizontal="center"/>
    </xf>
    <xf numFmtId="172" fontId="3" fillId="0" borderId="1" xfId="0" applyNumberFormat="1" applyFont="1" applyBorder="1" applyAlignment="1">
      <alignment horizontal="center"/>
    </xf>
    <xf numFmtId="169" fontId="3" fillId="0" borderId="1" xfId="17" applyFont="1" applyFill="1" applyBorder="1" applyAlignment="1">
      <alignment horizontal="center" vertical="center" wrapText="1"/>
    </xf>
    <xf numFmtId="172" fontId="3" fillId="0" borderId="12" xfId="0" applyNumberFormat="1" applyFont="1" applyBorder="1" applyAlignment="1">
      <alignment horizontal="center"/>
    </xf>
    <xf numFmtId="169" fontId="3" fillId="0" borderId="12" xfId="17" applyFont="1" applyFill="1" applyBorder="1" applyAlignment="1">
      <alignment horizontal="center" vertical="center" wrapText="1"/>
    </xf>
    <xf numFmtId="169" fontId="3" fillId="0" borderId="13" xfId="17" applyFont="1" applyFill="1" applyBorder="1" applyAlignment="1">
      <alignment horizontal="center" vertical="center" wrapText="1"/>
    </xf>
    <xf numFmtId="49" fontId="3" fillId="0" borderId="36" xfId="0" applyNumberFormat="1" applyFont="1" applyBorder="1" applyAlignment="1">
      <alignment horizontal="center" vertical="center"/>
    </xf>
    <xf numFmtId="44" fontId="3" fillId="0" borderId="0" xfId="1" applyFont="1"/>
    <xf numFmtId="2" fontId="3" fillId="0" borderId="0" xfId="0" applyNumberFormat="1" applyFont="1"/>
    <xf numFmtId="0" fontId="3" fillId="0" borderId="0" xfId="0" applyFont="1" applyAlignment="1">
      <alignment horizontal="center" vertical="center"/>
    </xf>
    <xf numFmtId="183" fontId="3" fillId="0" borderId="0" xfId="0" applyNumberFormat="1" applyFont="1" applyAlignment="1">
      <alignment horizontal="center" vertical="center"/>
    </xf>
    <xf numFmtId="0" fontId="8" fillId="0" borderId="0" xfId="0" applyFont="1" applyAlignment="1">
      <alignment horizontal="center" vertical="center"/>
    </xf>
    <xf numFmtId="0" fontId="3" fillId="0" borderId="58" xfId="0" applyFont="1" applyBorder="1" applyAlignment="1">
      <alignment horizontal="center" vertical="center"/>
    </xf>
    <xf numFmtId="0" fontId="3" fillId="0" borderId="41" xfId="0" applyFont="1" applyBorder="1" applyAlignment="1">
      <alignment horizontal="center" vertical="center"/>
    </xf>
    <xf numFmtId="0" fontId="4" fillId="0" borderId="37" xfId="0" applyFont="1" applyBorder="1" applyAlignment="1">
      <alignment horizontal="center" vertical="center" wrapText="1"/>
    </xf>
    <xf numFmtId="0" fontId="3" fillId="0" borderId="37" xfId="0" applyFont="1" applyBorder="1" applyAlignment="1">
      <alignment horizontal="center" vertical="center" wrapText="1"/>
    </xf>
    <xf numFmtId="172" fontId="3" fillId="0" borderId="1" xfId="0" applyNumberFormat="1"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172" fontId="3" fillId="0" borderId="3" xfId="0" applyNumberFormat="1" applyFont="1" applyBorder="1" applyAlignment="1">
      <alignment horizontal="center" vertical="center"/>
    </xf>
    <xf numFmtId="172" fontId="3" fillId="0" borderId="4" xfId="0" applyNumberFormat="1" applyFont="1" applyBorder="1" applyAlignment="1">
      <alignment horizontal="center" vertical="center"/>
    </xf>
    <xf numFmtId="0" fontId="3" fillId="0" borderId="5" xfId="0" applyFont="1" applyBorder="1" applyAlignment="1">
      <alignment horizontal="center" vertical="center"/>
    </xf>
    <xf numFmtId="172" fontId="3" fillId="0" borderId="6" xfId="0" applyNumberFormat="1" applyFont="1" applyBorder="1" applyAlignment="1">
      <alignment horizontal="center" vertical="center"/>
    </xf>
    <xf numFmtId="0" fontId="3" fillId="0" borderId="11" xfId="0" applyFont="1" applyBorder="1" applyAlignment="1">
      <alignment horizontal="center" vertical="center"/>
    </xf>
    <xf numFmtId="172" fontId="3" fillId="0" borderId="12" xfId="0" applyNumberFormat="1" applyFont="1" applyBorder="1" applyAlignment="1">
      <alignment horizontal="center" vertical="center"/>
    </xf>
    <xf numFmtId="172" fontId="3" fillId="0" borderId="13" xfId="0" applyNumberFormat="1" applyFont="1" applyBorder="1" applyAlignment="1">
      <alignment horizontal="center" vertical="center"/>
    </xf>
    <xf numFmtId="179" fontId="8" fillId="10" borderId="5" xfId="0" applyNumberFormat="1" applyFont="1" applyFill="1" applyBorder="1" applyAlignment="1">
      <alignment horizontal="center" vertical="center" wrapText="1"/>
    </xf>
    <xf numFmtId="179" fontId="8" fillId="10" borderId="1" xfId="0" applyNumberFormat="1" applyFont="1" applyFill="1" applyBorder="1" applyAlignment="1">
      <alignment horizontal="center" vertical="center" wrapText="1"/>
    </xf>
    <xf numFmtId="179" fontId="3" fillId="9" borderId="5" xfId="0" applyNumberFormat="1" applyFont="1" applyFill="1" applyBorder="1" applyAlignment="1">
      <alignment horizontal="center" vertical="center" wrapText="1"/>
    </xf>
    <xf numFmtId="179" fontId="3" fillId="9" borderId="1" xfId="0" applyNumberFormat="1" applyFont="1" applyFill="1" applyBorder="1" applyAlignment="1">
      <alignment horizontal="center" vertical="center" wrapText="1"/>
    </xf>
    <xf numFmtId="180" fontId="5" fillId="0" borderId="1" xfId="0" applyNumberFormat="1" applyFont="1" applyBorder="1" applyAlignment="1">
      <alignment horizontal="center" vertical="center" wrapText="1"/>
    </xf>
    <xf numFmtId="0" fontId="16" fillId="0" borderId="6" xfId="0" applyFont="1" applyBorder="1" applyAlignment="1">
      <alignment horizontal="center" vertical="center"/>
    </xf>
    <xf numFmtId="0" fontId="8" fillId="0" borderId="1" xfId="0" applyFont="1" applyBorder="1" applyAlignment="1">
      <alignment horizontal="center" vertical="center" wrapText="1"/>
    </xf>
    <xf numFmtId="13" fontId="9" fillId="9" borderId="1" xfId="0" applyNumberFormat="1" applyFont="1" applyFill="1" applyBorder="1" applyAlignment="1">
      <alignment horizontal="center" vertical="center"/>
    </xf>
    <xf numFmtId="0" fontId="9" fillId="0" borderId="1" xfId="0" applyFont="1" applyBorder="1" applyAlignment="1">
      <alignment horizontal="center" vertical="center"/>
    </xf>
    <xf numFmtId="13" fontId="9" fillId="9" borderId="6" xfId="0" applyNumberFormat="1" applyFont="1" applyFill="1" applyBorder="1" applyAlignment="1">
      <alignment horizontal="center" vertical="center"/>
    </xf>
    <xf numFmtId="181" fontId="10" fillId="9" borderId="1" xfId="0" applyNumberFormat="1" applyFont="1" applyFill="1" applyBorder="1" applyAlignment="1">
      <alignment horizontal="center" vertical="center"/>
    </xf>
    <xf numFmtId="181" fontId="10" fillId="9" borderId="6" xfId="0" applyNumberFormat="1" applyFont="1" applyFill="1" applyBorder="1" applyAlignment="1">
      <alignment horizontal="center" vertical="center"/>
    </xf>
    <xf numFmtId="12" fontId="10" fillId="9" borderId="1" xfId="0" applyNumberFormat="1" applyFont="1" applyFill="1" applyBorder="1" applyAlignment="1">
      <alignment horizontal="center" vertical="center"/>
    </xf>
    <xf numFmtId="2" fontId="10" fillId="9" borderId="1" xfId="0" applyNumberFormat="1" applyFont="1" applyFill="1" applyBorder="1" applyAlignment="1">
      <alignment horizontal="center" vertical="center"/>
    </xf>
    <xf numFmtId="1" fontId="10" fillId="9" borderId="1" xfId="0" applyNumberFormat="1" applyFont="1" applyFill="1" applyBorder="1" applyAlignment="1">
      <alignment horizontal="center" vertical="center"/>
    </xf>
    <xf numFmtId="4" fontId="10" fillId="9" borderId="1" xfId="0" applyNumberFormat="1" applyFont="1" applyFill="1" applyBorder="1" applyAlignment="1">
      <alignment horizontal="center" vertical="center" wrapText="1"/>
    </xf>
    <xf numFmtId="4" fontId="10" fillId="9" borderId="6" xfId="0" applyNumberFormat="1" applyFont="1" applyFill="1" applyBorder="1" applyAlignment="1">
      <alignment horizontal="center" vertical="center" wrapText="1"/>
    </xf>
    <xf numFmtId="12" fontId="10" fillId="9" borderId="48" xfId="0" applyNumberFormat="1" applyFont="1" applyFill="1" applyBorder="1" applyAlignment="1">
      <alignment horizontal="center" vertical="center"/>
    </xf>
    <xf numFmtId="2" fontId="10" fillId="9" borderId="48" xfId="0" applyNumberFormat="1" applyFont="1" applyFill="1" applyBorder="1" applyAlignment="1">
      <alignment horizontal="center" vertical="center"/>
    </xf>
    <xf numFmtId="1" fontId="10" fillId="9" borderId="48" xfId="0" applyNumberFormat="1" applyFont="1" applyFill="1" applyBorder="1" applyAlignment="1">
      <alignment horizontal="center" vertical="center"/>
    </xf>
    <xf numFmtId="4" fontId="10" fillId="9" borderId="48" xfId="0" applyNumberFormat="1" applyFont="1" applyFill="1" applyBorder="1" applyAlignment="1">
      <alignment horizontal="center" vertical="center" wrapText="1"/>
    </xf>
    <xf numFmtId="4" fontId="10" fillId="9" borderId="49" xfId="0" applyNumberFormat="1" applyFont="1" applyFill="1" applyBorder="1" applyAlignment="1">
      <alignment horizontal="center" vertical="center" wrapText="1"/>
    </xf>
    <xf numFmtId="4" fontId="9" fillId="9" borderId="20" xfId="0" applyNumberFormat="1" applyFont="1" applyFill="1" applyBorder="1" applyAlignment="1">
      <alignment horizontal="center" vertical="center" wrapText="1"/>
    </xf>
    <xf numFmtId="4" fontId="9" fillId="9" borderId="21" xfId="0" applyNumberFormat="1" applyFont="1" applyFill="1" applyBorder="1" applyAlignment="1">
      <alignment horizontal="center" vertical="center" wrapText="1"/>
    </xf>
    <xf numFmtId="0" fontId="8" fillId="0" borderId="2" xfId="0" applyFont="1" applyBorder="1" applyAlignment="1">
      <alignment horizontal="center" vertical="center"/>
    </xf>
    <xf numFmtId="2" fontId="3" fillId="0" borderId="4" xfId="0" applyNumberFormat="1" applyFont="1" applyBorder="1" applyAlignment="1">
      <alignment vertical="center"/>
    </xf>
    <xf numFmtId="0" fontId="3" fillId="0" borderId="5" xfId="0" applyFont="1" applyBorder="1" applyAlignment="1">
      <alignment horizontal="left" vertical="center" wrapText="1"/>
    </xf>
    <xf numFmtId="2" fontId="3" fillId="0" borderId="1" xfId="0" applyNumberFormat="1" applyFont="1" applyBorder="1" applyAlignment="1">
      <alignment horizontal="center" vertical="center"/>
    </xf>
    <xf numFmtId="167" fontId="3" fillId="0" borderId="1" xfId="18" applyFont="1" applyFill="1" applyBorder="1" applyAlignment="1">
      <alignment horizontal="center" vertical="center"/>
    </xf>
    <xf numFmtId="167" fontId="3" fillId="0" borderId="6" xfId="18" applyFont="1" applyFill="1" applyBorder="1" applyAlignment="1">
      <alignment horizontal="center" vertical="center"/>
    </xf>
    <xf numFmtId="2" fontId="3" fillId="0" borderId="48" xfId="0" applyNumberFormat="1" applyFont="1" applyBorder="1" applyAlignment="1">
      <alignment vertical="center"/>
    </xf>
    <xf numFmtId="2" fontId="3" fillId="0" borderId="48" xfId="0" applyNumberFormat="1" applyFont="1" applyBorder="1" applyAlignment="1">
      <alignment horizontal="center" vertical="center"/>
    </xf>
    <xf numFmtId="171" fontId="3" fillId="0" borderId="48" xfId="0" applyNumberFormat="1" applyFont="1" applyBorder="1" applyAlignment="1">
      <alignment vertical="center"/>
    </xf>
    <xf numFmtId="2" fontId="3" fillId="0" borderId="1" xfId="0" applyNumberFormat="1" applyFont="1" applyBorder="1" applyAlignment="1">
      <alignment vertical="center"/>
    </xf>
    <xf numFmtId="167" fontId="3" fillId="0" borderId="6" xfId="18" applyFont="1" applyFill="1" applyBorder="1" applyAlignment="1">
      <alignment vertical="center"/>
    </xf>
    <xf numFmtId="0" fontId="3" fillId="0" borderId="47" xfId="0" applyFont="1" applyBorder="1" applyAlignment="1">
      <alignment horizontal="left" vertical="center" wrapText="1"/>
    </xf>
    <xf numFmtId="167" fontId="3" fillId="0" borderId="1" xfId="18" applyFont="1" applyFill="1" applyBorder="1" applyAlignment="1">
      <alignment vertical="center"/>
    </xf>
    <xf numFmtId="167" fontId="3" fillId="0" borderId="49" xfId="18" applyFont="1" applyFill="1" applyBorder="1" applyAlignment="1">
      <alignment vertical="center"/>
    </xf>
    <xf numFmtId="171" fontId="3" fillId="0" borderId="1" xfId="0" applyNumberFormat="1" applyFont="1" applyBorder="1" applyAlignment="1">
      <alignment vertical="center"/>
    </xf>
    <xf numFmtId="0" fontId="3" fillId="0" borderId="11" xfId="0" applyFont="1" applyBorder="1" applyAlignment="1">
      <alignment horizontal="left" vertical="center" wrapText="1"/>
    </xf>
    <xf numFmtId="2" fontId="3" fillId="0" borderId="12" xfId="0" applyNumberFormat="1" applyFont="1" applyBorder="1" applyAlignment="1">
      <alignment vertical="center"/>
    </xf>
    <xf numFmtId="171" fontId="3" fillId="0" borderId="12" xfId="0" applyNumberFormat="1" applyFont="1" applyBorder="1" applyAlignment="1">
      <alignment vertical="center"/>
    </xf>
    <xf numFmtId="167" fontId="3" fillId="0" borderId="13" xfId="18" applyFont="1" applyFill="1" applyBorder="1" applyAlignment="1">
      <alignment vertical="center"/>
    </xf>
    <xf numFmtId="168" fontId="16" fillId="2" borderId="1" xfId="0" applyNumberFormat="1" applyFont="1" applyFill="1" applyBorder="1" applyAlignment="1">
      <alignment horizontal="center" vertical="center" wrapText="1"/>
    </xf>
    <xf numFmtId="169" fontId="11" fillId="0" borderId="1" xfId="0" applyNumberFormat="1" applyFont="1" applyBorder="1" applyAlignment="1">
      <alignment horizontal="left" vertical="center" wrapText="1"/>
    </xf>
    <xf numFmtId="169" fontId="11" fillId="0" borderId="1" xfId="0" applyNumberFormat="1" applyFont="1" applyBorder="1" applyAlignment="1">
      <alignment horizontal="center" vertical="center" wrapText="1"/>
    </xf>
    <xf numFmtId="3" fontId="11" fillId="0" borderId="1" xfId="0" applyNumberFormat="1" applyFont="1" applyBorder="1" applyAlignment="1">
      <alignment horizontal="center" vertical="center"/>
    </xf>
    <xf numFmtId="168" fontId="11" fillId="0" borderId="1" xfId="0" applyNumberFormat="1" applyFont="1" applyBorder="1" applyAlignment="1">
      <alignment horizontal="center" vertical="center" wrapText="1"/>
    </xf>
    <xf numFmtId="0" fontId="11" fillId="0" borderId="1" xfId="40" applyFont="1" applyBorder="1" applyAlignment="1">
      <alignment horizontal="center" vertical="center" wrapText="1"/>
    </xf>
    <xf numFmtId="0" fontId="3" fillId="0" borderId="0" xfId="0" applyFont="1" applyAlignment="1">
      <alignment wrapText="1"/>
    </xf>
    <xf numFmtId="186" fontId="11" fillId="0" borderId="1" xfId="40" applyNumberFormat="1" applyFont="1" applyBorder="1" applyAlignment="1">
      <alignment horizontal="center" vertical="center" wrapText="1"/>
    </xf>
    <xf numFmtId="187" fontId="11" fillId="0" borderId="1" xfId="40" applyNumberFormat="1" applyFont="1" applyBorder="1" applyAlignment="1">
      <alignment horizontal="center" vertical="center" wrapText="1"/>
    </xf>
    <xf numFmtId="44" fontId="3" fillId="0" borderId="0" xfId="1" applyFont="1" applyAlignment="1">
      <alignment wrapText="1"/>
    </xf>
    <xf numFmtId="44" fontId="3" fillId="0" borderId="0" xfId="0" applyNumberFormat="1" applyFont="1" applyAlignment="1">
      <alignment wrapText="1"/>
    </xf>
    <xf numFmtId="0" fontId="11" fillId="8" borderId="1" xfId="40" applyFont="1" applyFill="1" applyBorder="1" applyAlignment="1">
      <alignment horizontal="center" vertical="center" wrapText="1"/>
    </xf>
    <xf numFmtId="186" fontId="11" fillId="8" borderId="1" xfId="40" applyNumberFormat="1" applyFont="1" applyFill="1" applyBorder="1" applyAlignment="1">
      <alignment horizontal="center" vertical="center" wrapText="1"/>
    </xf>
    <xf numFmtId="187" fontId="11" fillId="8" borderId="1" xfId="40" applyNumberFormat="1" applyFont="1" applyFill="1" applyBorder="1" applyAlignment="1">
      <alignment horizontal="center" vertical="center" wrapText="1"/>
    </xf>
    <xf numFmtId="0" fontId="3" fillId="0" borderId="37" xfId="0" applyFont="1" applyBorder="1"/>
    <xf numFmtId="0" fontId="3" fillId="0" borderId="39" xfId="0" applyFont="1" applyBorder="1" applyAlignment="1">
      <alignment horizontal="center" vertical="center"/>
    </xf>
    <xf numFmtId="0" fontId="3" fillId="0" borderId="40" xfId="0" applyFont="1" applyBorder="1" applyAlignment="1">
      <alignment horizontal="center" vertical="center"/>
    </xf>
    <xf numFmtId="0" fontId="3" fillId="0" borderId="40" xfId="0" applyFont="1" applyBorder="1"/>
    <xf numFmtId="0" fontId="3" fillId="0" borderId="24" xfId="0" applyFont="1" applyBorder="1"/>
    <xf numFmtId="0" fontId="3" fillId="0" borderId="27" xfId="0" applyFont="1" applyBorder="1"/>
    <xf numFmtId="0" fontId="3" fillId="0" borderId="36" xfId="0" applyFont="1" applyBorder="1" applyAlignment="1">
      <alignment horizontal="center" vertical="center"/>
    </xf>
    <xf numFmtId="173" fontId="3" fillId="0" borderId="0" xfId="0" applyNumberFormat="1" applyFont="1"/>
    <xf numFmtId="0" fontId="3" fillId="0" borderId="39" xfId="0" applyFont="1" applyBorder="1"/>
    <xf numFmtId="187" fontId="3" fillId="0" borderId="36" xfId="0" applyNumberFormat="1" applyFont="1" applyBorder="1"/>
    <xf numFmtId="187" fontId="3" fillId="0" borderId="40" xfId="0" applyNumberFormat="1" applyFont="1" applyBorder="1"/>
    <xf numFmtId="44" fontId="3" fillId="0" borderId="1" xfId="1" applyFont="1" applyBorder="1" applyAlignment="1">
      <alignment horizontal="center" vertical="center"/>
    </xf>
    <xf numFmtId="0" fontId="3" fillId="0" borderId="0" xfId="0" applyFont="1" applyAlignment="1">
      <alignment horizontal="justify" vertical="top"/>
    </xf>
    <xf numFmtId="187" fontId="3" fillId="0" borderId="0" xfId="0" applyNumberFormat="1" applyFont="1" applyAlignment="1">
      <alignment wrapText="1"/>
    </xf>
    <xf numFmtId="44" fontId="8" fillId="0" borderId="36" xfId="1" applyFont="1" applyBorder="1"/>
    <xf numFmtId="0" fontId="8" fillId="0" borderId="0" xfId="0" applyFont="1"/>
    <xf numFmtId="0" fontId="8" fillId="0" borderId="0" xfId="0" applyFont="1" applyAlignment="1">
      <alignment horizontal="left"/>
    </xf>
    <xf numFmtId="44" fontId="3" fillId="0" borderId="0" xfId="1" applyFont="1" applyAlignment="1">
      <alignment horizontal="center" vertical="center"/>
    </xf>
    <xf numFmtId="0" fontId="3" fillId="0" borderId="0" xfId="0" applyFont="1" applyAlignment="1">
      <alignment horizontal="left" vertical="center"/>
    </xf>
    <xf numFmtId="187" fontId="3" fillId="0" borderId="36" xfId="0" applyNumberFormat="1" applyFont="1" applyBorder="1" applyAlignment="1">
      <alignment horizontal="center" vertical="center"/>
    </xf>
    <xf numFmtId="0" fontId="3" fillId="0" borderId="37" xfId="0" applyFont="1" applyBorder="1" applyAlignment="1">
      <alignment horizontal="center" vertical="center"/>
    </xf>
    <xf numFmtId="44" fontId="8" fillId="0" borderId="36" xfId="1" applyFont="1" applyBorder="1" applyAlignment="1">
      <alignment horizontal="center" vertical="center"/>
    </xf>
    <xf numFmtId="9" fontId="3" fillId="0" borderId="0" xfId="2" applyFont="1" applyAlignment="1">
      <alignment horizontal="center" vertical="center"/>
    </xf>
    <xf numFmtId="0" fontId="3" fillId="0" borderId="41" xfId="0" applyFont="1" applyBorder="1"/>
    <xf numFmtId="0" fontId="11" fillId="0" borderId="9" xfId="41" applyFont="1" applyBorder="1" applyAlignment="1">
      <alignment vertical="top" wrapText="1"/>
    </xf>
    <xf numFmtId="187" fontId="11" fillId="0" borderId="1" xfId="41" applyNumberFormat="1" applyFont="1" applyBorder="1" applyAlignment="1">
      <alignment horizontal="right" vertical="top"/>
    </xf>
    <xf numFmtId="0" fontId="11" fillId="0" borderId="31" xfId="41" applyFont="1" applyBorder="1" applyAlignment="1">
      <alignment vertical="top" wrapText="1"/>
    </xf>
    <xf numFmtId="187" fontId="11" fillId="0" borderId="12" xfId="41" applyNumberFormat="1" applyFont="1" applyBorder="1" applyAlignment="1">
      <alignment horizontal="right" vertical="top"/>
    </xf>
    <xf numFmtId="0" fontId="16" fillId="3" borderId="36" xfId="21" quotePrefix="1" applyFont="1" applyFill="1" applyBorder="1" applyAlignment="1">
      <alignment horizontal="center" vertical="center"/>
    </xf>
    <xf numFmtId="175" fontId="16" fillId="3" borderId="36" xfId="21" applyNumberFormat="1" applyFont="1" applyFill="1" applyBorder="1" applyAlignment="1">
      <alignment horizontal="center" vertical="center"/>
    </xf>
    <xf numFmtId="4" fontId="11" fillId="0" borderId="36" xfId="21" applyNumberFormat="1" applyFont="1" applyBorder="1" applyAlignment="1">
      <alignment horizontal="center" vertical="center"/>
    </xf>
    <xf numFmtId="0" fontId="16" fillId="0" borderId="2" xfId="9" applyFont="1" applyBorder="1" applyAlignment="1">
      <alignment horizontal="justify" vertical="top"/>
    </xf>
    <xf numFmtId="0" fontId="16" fillId="0" borderId="3" xfId="9" applyFont="1" applyBorder="1" applyAlignment="1">
      <alignment horizontal="centerContinuous"/>
    </xf>
    <xf numFmtId="0" fontId="16" fillId="0" borderId="29" xfId="9" applyFont="1" applyBorder="1" applyAlignment="1">
      <alignment horizontal="centerContinuous"/>
    </xf>
    <xf numFmtId="0" fontId="11" fillId="0" borderId="5" xfId="9" applyFont="1" applyBorder="1" applyAlignment="1">
      <alignment horizontal="justify" vertical="top" wrapText="1"/>
    </xf>
    <xf numFmtId="0" fontId="11" fillId="0" borderId="1" xfId="9" applyFont="1" applyBorder="1" applyAlignment="1">
      <alignment horizontal="center" vertical="center"/>
    </xf>
    <xf numFmtId="188" fontId="11" fillId="0" borderId="1" xfId="9" applyNumberFormat="1" applyFont="1" applyBorder="1" applyAlignment="1">
      <alignment horizontal="center" vertical="center"/>
    </xf>
    <xf numFmtId="187" fontId="11" fillId="0" borderId="1" xfId="9" applyNumberFormat="1" applyFont="1" applyBorder="1" applyAlignment="1">
      <alignment horizontal="center" vertical="center"/>
    </xf>
    <xf numFmtId="187" fontId="11" fillId="0" borderId="7" xfId="9" applyNumberFormat="1" applyFont="1" applyBorder="1" applyAlignment="1">
      <alignment horizontal="center" vertical="center"/>
    </xf>
    <xf numFmtId="0" fontId="11" fillId="0" borderId="11" xfId="9" applyFont="1" applyBorder="1" applyAlignment="1">
      <alignment horizontal="justify" vertical="top" wrapText="1"/>
    </xf>
    <xf numFmtId="0" fontId="11" fillId="0" borderId="12" xfId="9" applyFont="1" applyBorder="1" applyAlignment="1">
      <alignment horizontal="center" vertical="center"/>
    </xf>
    <xf numFmtId="188" fontId="11" fillId="0" borderId="12" xfId="9" applyNumberFormat="1" applyFont="1" applyBorder="1" applyAlignment="1">
      <alignment horizontal="center" vertical="center"/>
    </xf>
    <xf numFmtId="187" fontId="11" fillId="0" borderId="12" xfId="9" applyNumberFormat="1" applyFont="1" applyBorder="1" applyAlignment="1">
      <alignment horizontal="center" vertical="center"/>
    </xf>
    <xf numFmtId="187" fontId="11" fillId="0" borderId="62" xfId="9" applyNumberFormat="1" applyFont="1" applyBorder="1" applyAlignment="1">
      <alignment horizontal="center" vertical="center"/>
    </xf>
    <xf numFmtId="0" fontId="16" fillId="0" borderId="0" xfId="9" applyFont="1" applyAlignment="1">
      <alignment horizontal="justify" vertical="top"/>
    </xf>
    <xf numFmtId="9" fontId="11" fillId="0" borderId="0" xfId="2" applyFont="1" applyAlignment="1">
      <alignment horizontal="center" vertical="center"/>
    </xf>
    <xf numFmtId="0" fontId="11" fillId="0" borderId="0" xfId="9" applyFont="1" applyAlignment="1">
      <alignment horizontal="center" vertical="center"/>
    </xf>
    <xf numFmtId="0" fontId="16" fillId="0" borderId="0" xfId="9" applyFont="1" applyAlignment="1">
      <alignment horizontal="center" vertical="center"/>
    </xf>
    <xf numFmtId="0" fontId="16" fillId="0" borderId="4" xfId="9" applyFont="1" applyBorder="1" applyAlignment="1">
      <alignment horizontal="centerContinuous"/>
    </xf>
    <xf numFmtId="0" fontId="11" fillId="0" borderId="31" xfId="9" applyFont="1" applyBorder="1" applyAlignment="1">
      <alignment horizontal="justify" vertical="top" wrapText="1"/>
    </xf>
    <xf numFmtId="187" fontId="11" fillId="0" borderId="13" xfId="9" applyNumberFormat="1" applyFont="1" applyBorder="1" applyAlignment="1">
      <alignment horizontal="center" vertical="center"/>
    </xf>
    <xf numFmtId="0" fontId="11" fillId="0" borderId="0" xfId="9" applyFont="1" applyAlignment="1">
      <alignment horizontal="right" vertical="top"/>
    </xf>
    <xf numFmtId="187" fontId="16" fillId="0" borderId="36" xfId="9" applyNumberFormat="1" applyFont="1" applyBorder="1" applyAlignment="1">
      <alignment horizontal="right" vertical="top"/>
    </xf>
    <xf numFmtId="187" fontId="11" fillId="0" borderId="12" xfId="9" applyNumberFormat="1" applyFont="1" applyBorder="1" applyAlignment="1">
      <alignment horizontal="right" vertical="center"/>
    </xf>
    <xf numFmtId="187" fontId="11" fillId="0" borderId="13" xfId="9" applyNumberFormat="1" applyFont="1" applyBorder="1" applyAlignment="1">
      <alignment horizontal="right" vertical="center"/>
    </xf>
    <xf numFmtId="187" fontId="16" fillId="0" borderId="0" xfId="9" applyNumberFormat="1" applyFont="1" applyAlignment="1">
      <alignment horizontal="right" vertical="top"/>
    </xf>
    <xf numFmtId="0" fontId="11" fillId="0" borderId="0" xfId="21" applyFont="1" applyAlignment="1">
      <alignment horizontal="justify" vertical="top"/>
    </xf>
    <xf numFmtId="0" fontId="11" fillId="0" borderId="0" xfId="21" applyFont="1"/>
    <xf numFmtId="0" fontId="16" fillId="0" borderId="0" xfId="21" applyFont="1" applyAlignment="1">
      <alignment horizontal="centerContinuous"/>
    </xf>
    <xf numFmtId="0" fontId="11" fillId="0" borderId="0" xfId="21" applyFont="1" applyAlignment="1">
      <alignment horizontal="centerContinuous"/>
    </xf>
    <xf numFmtId="0" fontId="16" fillId="0" borderId="0" xfId="21" applyFont="1" applyAlignment="1">
      <alignment horizontal="justify" vertical="top"/>
    </xf>
    <xf numFmtId="4" fontId="16" fillId="0" borderId="0" xfId="21" applyNumberFormat="1" applyFont="1"/>
    <xf numFmtId="0" fontId="16" fillId="0" borderId="0" xfId="21" applyFont="1"/>
    <xf numFmtId="0" fontId="11" fillId="0" borderId="12" xfId="9" applyFont="1" applyBorder="1" applyAlignment="1">
      <alignment horizontal="center" vertical="top"/>
    </xf>
    <xf numFmtId="188" fontId="11" fillId="0" borderId="12" xfId="9" applyNumberFormat="1" applyFont="1" applyBorder="1" applyAlignment="1">
      <alignment horizontal="center" vertical="top"/>
    </xf>
    <xf numFmtId="187" fontId="11" fillId="0" borderId="12" xfId="9" applyNumberFormat="1" applyFont="1" applyBorder="1" applyAlignment="1">
      <alignment horizontal="right" vertical="top"/>
    </xf>
    <xf numFmtId="187" fontId="11" fillId="0" borderId="13" xfId="9" applyNumberFormat="1" applyFont="1" applyBorder="1" applyAlignment="1">
      <alignment horizontal="right" vertical="top"/>
    </xf>
    <xf numFmtId="187" fontId="11" fillId="0" borderId="62" xfId="9" applyNumberFormat="1" applyFont="1" applyBorder="1" applyAlignment="1">
      <alignment horizontal="right" vertical="top"/>
    </xf>
    <xf numFmtId="0" fontId="11" fillId="0" borderId="9" xfId="9" applyFont="1" applyBorder="1" applyAlignment="1">
      <alignment horizontal="justify" vertical="top" wrapText="1"/>
    </xf>
    <xf numFmtId="0" fontId="11" fillId="0" borderId="1" xfId="9" applyFont="1" applyBorder="1" applyAlignment="1">
      <alignment horizontal="center" vertical="top"/>
    </xf>
    <xf numFmtId="188" fontId="11" fillId="0" borderId="1" xfId="9" applyNumberFormat="1" applyFont="1" applyBorder="1" applyAlignment="1">
      <alignment horizontal="center" vertical="top"/>
    </xf>
    <xf numFmtId="187" fontId="11" fillId="0" borderId="1" xfId="9" applyNumberFormat="1" applyFont="1" applyBorder="1" applyAlignment="1">
      <alignment horizontal="right" vertical="top"/>
    </xf>
    <xf numFmtId="187" fontId="11" fillId="0" borderId="7" xfId="9" applyNumberFormat="1" applyFont="1" applyBorder="1" applyAlignment="1">
      <alignment horizontal="right" vertical="top"/>
    </xf>
    <xf numFmtId="0" fontId="16" fillId="0" borderId="0" xfId="9" applyFont="1" applyAlignment="1">
      <alignment horizontal="right" vertical="top"/>
    </xf>
    <xf numFmtId="187" fontId="11" fillId="0" borderId="6" xfId="9" applyNumberFormat="1" applyFont="1" applyBorder="1" applyAlignment="1">
      <alignment horizontal="right" vertical="top"/>
    </xf>
    <xf numFmtId="187" fontId="16" fillId="0" borderId="40" xfId="9" applyNumberFormat="1" applyFont="1" applyBorder="1" applyAlignment="1">
      <alignment horizontal="right" vertical="top"/>
    </xf>
    <xf numFmtId="187" fontId="11" fillId="0" borderId="6" xfId="9" applyNumberFormat="1" applyFont="1" applyBorder="1" applyAlignment="1">
      <alignment horizontal="center" vertical="center"/>
    </xf>
    <xf numFmtId="0" fontId="16" fillId="0" borderId="0" xfId="9" applyFont="1"/>
    <xf numFmtId="0" fontId="11" fillId="0" borderId="9" xfId="9" applyFont="1" applyBorder="1" applyAlignment="1">
      <alignment vertical="top" wrapText="1"/>
    </xf>
    <xf numFmtId="0" fontId="11" fillId="0" borderId="31" xfId="9" applyFont="1" applyBorder="1" applyAlignment="1">
      <alignment vertical="top" wrapText="1"/>
    </xf>
    <xf numFmtId="9" fontId="11" fillId="0" borderId="0" xfId="2" applyFont="1" applyFill="1" applyAlignment="1">
      <alignment horizontal="center" vertical="center"/>
    </xf>
    <xf numFmtId="184" fontId="11" fillId="0" borderId="0" xfId="2" applyNumberFormat="1" applyFont="1" applyFill="1" applyAlignment="1">
      <alignment horizontal="center" vertical="center"/>
    </xf>
    <xf numFmtId="184" fontId="11" fillId="0" borderId="0" xfId="2" applyNumberFormat="1" applyFont="1" applyAlignment="1">
      <alignment horizontal="center" vertical="center"/>
    </xf>
    <xf numFmtId="0" fontId="11" fillId="0" borderId="5" xfId="9" applyFont="1" applyBorder="1" applyAlignment="1">
      <alignment vertical="top" wrapText="1"/>
    </xf>
    <xf numFmtId="0" fontId="11" fillId="0" borderId="11" xfId="9" applyFont="1" applyBorder="1" applyAlignment="1">
      <alignment vertical="top" wrapText="1"/>
    </xf>
    <xf numFmtId="0" fontId="16" fillId="0" borderId="28" xfId="9" applyFont="1" applyBorder="1" applyAlignment="1">
      <alignment horizontal="centerContinuous"/>
    </xf>
    <xf numFmtId="10" fontId="11" fillId="0" borderId="0" xfId="2" applyNumberFormat="1" applyFont="1" applyAlignment="1">
      <alignment horizontal="center" vertical="center"/>
    </xf>
    <xf numFmtId="0" fontId="16" fillId="0" borderId="54" xfId="9" applyFont="1" applyBorder="1" applyAlignment="1">
      <alignment horizontal="centerContinuous"/>
    </xf>
    <xf numFmtId="0" fontId="16" fillId="0" borderId="55" xfId="9" applyFont="1" applyBorder="1" applyAlignment="1">
      <alignment horizontal="centerContinuous"/>
    </xf>
    <xf numFmtId="0" fontId="16" fillId="0" borderId="3" xfId="9" applyFont="1" applyBorder="1" applyAlignment="1">
      <alignment horizontal="center" vertical="center"/>
    </xf>
    <xf numFmtId="0" fontId="16" fillId="0" borderId="4" xfId="9" applyFont="1" applyBorder="1" applyAlignment="1">
      <alignment horizontal="center" vertical="center"/>
    </xf>
    <xf numFmtId="0" fontId="16" fillId="0" borderId="0" xfId="41" applyFont="1"/>
    <xf numFmtId="0" fontId="16" fillId="0" borderId="3" xfId="41" applyFont="1" applyBorder="1" applyAlignment="1">
      <alignment horizontal="centerContinuous"/>
    </xf>
    <xf numFmtId="0" fontId="16" fillId="0" borderId="4" xfId="41" applyFont="1" applyBorder="1" applyAlignment="1">
      <alignment horizontal="centerContinuous"/>
    </xf>
    <xf numFmtId="0" fontId="11" fillId="0" borderId="5" xfId="41" applyFont="1" applyBorder="1" applyAlignment="1">
      <alignment vertical="top" wrapText="1"/>
    </xf>
    <xf numFmtId="187" fontId="11" fillId="0" borderId="6" xfId="41" applyNumberFormat="1" applyFont="1" applyBorder="1" applyAlignment="1">
      <alignment horizontal="right" vertical="top"/>
    </xf>
    <xf numFmtId="0" fontId="11" fillId="0" borderId="1" xfId="41" applyFont="1" applyBorder="1" applyAlignment="1">
      <alignment horizontal="center" vertical="center"/>
    </xf>
    <xf numFmtId="188" fontId="11" fillId="0" borderId="1" xfId="41" applyNumberFormat="1" applyFont="1" applyBorder="1" applyAlignment="1">
      <alignment horizontal="center" vertical="center"/>
    </xf>
    <xf numFmtId="0" fontId="11" fillId="0" borderId="11" xfId="41" applyFont="1" applyBorder="1" applyAlignment="1">
      <alignment vertical="top" wrapText="1"/>
    </xf>
    <xf numFmtId="0" fontId="11" fillId="0" borderId="12" xfId="41" applyFont="1" applyBorder="1" applyAlignment="1">
      <alignment horizontal="center" vertical="top"/>
    </xf>
    <xf numFmtId="188" fontId="11" fillId="0" borderId="12" xfId="41" applyNumberFormat="1" applyFont="1" applyBorder="1" applyAlignment="1">
      <alignment horizontal="center" vertical="center"/>
    </xf>
    <xf numFmtId="187" fontId="11" fillId="0" borderId="13" xfId="41" applyNumberFormat="1" applyFont="1" applyBorder="1" applyAlignment="1">
      <alignment horizontal="right" vertical="top"/>
    </xf>
    <xf numFmtId="0" fontId="16" fillId="0" borderId="0" xfId="41" applyFont="1" applyAlignment="1">
      <alignment horizontal="right" vertical="top"/>
    </xf>
    <xf numFmtId="10" fontId="11" fillId="0" borderId="0" xfId="2" applyNumberFormat="1" applyFont="1" applyBorder="1" applyAlignment="1">
      <alignment horizontal="center" vertical="center"/>
    </xf>
    <xf numFmtId="0" fontId="11" fillId="0" borderId="0" xfId="41" applyFont="1" applyAlignment="1">
      <alignment horizontal="right" vertical="top"/>
    </xf>
    <xf numFmtId="188" fontId="11" fillId="0" borderId="12" xfId="41" applyNumberFormat="1" applyFont="1" applyBorder="1" applyAlignment="1">
      <alignment horizontal="center" vertical="top"/>
    </xf>
    <xf numFmtId="0" fontId="16" fillId="0" borderId="29" xfId="41" applyFont="1" applyBorder="1" applyAlignment="1">
      <alignment horizontal="centerContinuous"/>
    </xf>
    <xf numFmtId="0" fontId="11" fillId="0" borderId="1" xfId="41" applyFont="1" applyBorder="1" applyAlignment="1">
      <alignment horizontal="center" vertical="top"/>
    </xf>
    <xf numFmtId="188" fontId="11" fillId="0" borderId="1" xfId="41" applyNumberFormat="1" applyFont="1" applyBorder="1" applyAlignment="1">
      <alignment horizontal="center" vertical="top"/>
    </xf>
    <xf numFmtId="187" fontId="11" fillId="0" borderId="7" xfId="41" applyNumberFormat="1" applyFont="1" applyBorder="1" applyAlignment="1">
      <alignment horizontal="right" vertical="top"/>
    </xf>
    <xf numFmtId="187" fontId="11" fillId="0" borderId="62" xfId="41" applyNumberFormat="1" applyFont="1" applyBorder="1" applyAlignment="1">
      <alignment horizontal="right" vertical="top"/>
    </xf>
    <xf numFmtId="0" fontId="11" fillId="0" borderId="63" xfId="0" applyFont="1" applyBorder="1" applyAlignment="1">
      <alignment horizontal="left" vertical="center" wrapText="1"/>
    </xf>
    <xf numFmtId="0" fontId="11" fillId="0" borderId="64" xfId="0" applyFont="1" applyBorder="1" applyAlignment="1">
      <alignment horizontal="center" vertical="center" wrapText="1"/>
    </xf>
    <xf numFmtId="171" fontId="17" fillId="0" borderId="64" xfId="0" applyNumberFormat="1" applyFont="1" applyBorder="1" applyAlignment="1">
      <alignment horizontal="center" vertical="center" shrinkToFit="1"/>
    </xf>
    <xf numFmtId="0" fontId="16" fillId="0" borderId="0" xfId="21" applyFont="1" applyAlignment="1">
      <alignment horizontal="center" vertical="center"/>
    </xf>
    <xf numFmtId="0" fontId="11" fillId="0" borderId="37" xfId="21" applyFont="1" applyBorder="1"/>
    <xf numFmtId="0" fontId="11" fillId="0" borderId="40" xfId="21" applyFont="1" applyBorder="1"/>
    <xf numFmtId="187" fontId="11" fillId="0" borderId="40" xfId="21" applyNumberFormat="1" applyFont="1" applyBorder="1"/>
    <xf numFmtId="0" fontId="11" fillId="0" borderId="39" xfId="21" applyFont="1" applyBorder="1"/>
    <xf numFmtId="187" fontId="11" fillId="0" borderId="36" xfId="21" applyNumberFormat="1" applyFont="1" applyBorder="1"/>
    <xf numFmtId="189" fontId="11" fillId="0" borderId="0" xfId="9" applyNumberFormat="1" applyFont="1" applyAlignment="1">
      <alignment horizontal="right" vertical="top"/>
    </xf>
    <xf numFmtId="44" fontId="3" fillId="0" borderId="6" xfId="1" applyFont="1" applyBorder="1"/>
    <xf numFmtId="44" fontId="3" fillId="0" borderId="13" xfId="1" applyFont="1" applyBorder="1"/>
    <xf numFmtId="44" fontId="3" fillId="0" borderId="6" xfId="1" applyFont="1" applyBorder="1" applyAlignment="1">
      <alignment horizontal="center" vertical="center"/>
    </xf>
    <xf numFmtId="169" fontId="11" fillId="0" borderId="12" xfId="0" applyNumberFormat="1" applyFont="1" applyBorder="1" applyAlignment="1">
      <alignment horizontal="left" vertical="center" wrapText="1"/>
    </xf>
    <xf numFmtId="44" fontId="3" fillId="0" borderId="13" xfId="1" applyFont="1" applyBorder="1" applyAlignment="1">
      <alignment horizontal="center" vertical="center"/>
    </xf>
    <xf numFmtId="4" fontId="11" fillId="0" borderId="27" xfId="21" applyNumberFormat="1" applyFont="1" applyBorder="1" applyAlignment="1">
      <alignment horizontal="center" vertical="center"/>
    </xf>
    <xf numFmtId="9" fontId="11" fillId="0" borderId="0" xfId="2" applyFont="1" applyAlignment="1">
      <alignment horizontal="center" vertical="top"/>
    </xf>
    <xf numFmtId="0" fontId="16" fillId="0" borderId="56" xfId="9" applyFont="1" applyBorder="1" applyAlignment="1">
      <alignment horizontal="justify" vertical="top"/>
    </xf>
    <xf numFmtId="0" fontId="11" fillId="0" borderId="3" xfId="9" applyFont="1" applyBorder="1" applyAlignment="1">
      <alignment horizontal="center" vertical="top"/>
    </xf>
    <xf numFmtId="188" fontId="11" fillId="0" borderId="3" xfId="9" applyNumberFormat="1" applyFont="1" applyBorder="1" applyAlignment="1">
      <alignment horizontal="center" vertical="top"/>
    </xf>
    <xf numFmtId="187" fontId="11" fillId="0" borderId="3" xfId="9" applyNumberFormat="1" applyFont="1" applyBorder="1" applyAlignment="1">
      <alignment horizontal="right" vertical="top"/>
    </xf>
    <xf numFmtId="187" fontId="11" fillId="0" borderId="4" xfId="9" applyNumberFormat="1" applyFont="1" applyBorder="1" applyAlignment="1">
      <alignment horizontal="right" vertical="top"/>
    </xf>
    <xf numFmtId="0" fontId="11" fillId="0" borderId="2" xfId="9" applyFont="1" applyBorder="1" applyAlignment="1">
      <alignment vertical="top" wrapText="1"/>
    </xf>
    <xf numFmtId="0" fontId="3" fillId="0" borderId="11" xfId="0" applyFont="1" applyBorder="1"/>
    <xf numFmtId="0" fontId="3" fillId="0" borderId="0" xfId="0" applyFont="1" applyAlignment="1">
      <alignment horizontal="left" vertical="center" wrapText="1"/>
    </xf>
    <xf numFmtId="2" fontId="3" fillId="0" borderId="0" xfId="0" applyNumberFormat="1" applyFont="1" applyAlignment="1">
      <alignment vertical="center"/>
    </xf>
    <xf numFmtId="171" fontId="3" fillId="0" borderId="0" xfId="0" applyNumberFormat="1" applyFont="1" applyAlignment="1">
      <alignment vertical="center"/>
    </xf>
    <xf numFmtId="167" fontId="3" fillId="0" borderId="0" xfId="18" applyFont="1" applyFill="1" applyBorder="1" applyAlignment="1">
      <alignment vertical="center"/>
    </xf>
    <xf numFmtId="0" fontId="16" fillId="8" borderId="5" xfId="40" applyFont="1" applyFill="1" applyBorder="1" applyAlignment="1">
      <alignment horizontal="center" vertical="center" wrapText="1"/>
    </xf>
    <xf numFmtId="187" fontId="11" fillId="8" borderId="6" xfId="40" applyNumberFormat="1" applyFont="1" applyFill="1" applyBorder="1" applyAlignment="1">
      <alignment horizontal="center" vertical="center" wrapText="1"/>
    </xf>
    <xf numFmtId="0" fontId="11" fillId="0" borderId="5" xfId="40" applyFont="1" applyBorder="1" applyAlignment="1">
      <alignment horizontal="center" vertical="center" wrapText="1"/>
    </xf>
    <xf numFmtId="187" fontId="11" fillId="0" borderId="6" xfId="40" applyNumberFormat="1" applyFont="1" applyBorder="1" applyAlignment="1">
      <alignment horizontal="center" vertical="center" wrapText="1"/>
    </xf>
    <xf numFmtId="0" fontId="16" fillId="8" borderId="1" xfId="40" applyFont="1" applyFill="1" applyBorder="1" applyAlignment="1">
      <alignment horizontal="justify" vertical="center" wrapText="1"/>
    </xf>
    <xf numFmtId="0" fontId="11" fillId="0" borderId="1" xfId="40" applyFont="1" applyBorder="1" applyAlignment="1">
      <alignment horizontal="justify" vertical="center" wrapText="1"/>
    </xf>
    <xf numFmtId="0" fontId="3" fillId="0" borderId="0" xfId="0" applyFont="1" applyAlignment="1">
      <alignment horizontal="justify" vertical="center"/>
    </xf>
    <xf numFmtId="2" fontId="16" fillId="7" borderId="5" xfId="0" applyNumberFormat="1" applyFont="1" applyFill="1" applyBorder="1" applyAlignment="1">
      <alignment horizontal="center" vertical="center" wrapText="1"/>
    </xf>
    <xf numFmtId="2" fontId="16" fillId="7" borderId="1" xfId="0" applyNumberFormat="1" applyFont="1" applyFill="1" applyBorder="1" applyAlignment="1">
      <alignment horizontal="justify" vertical="center" wrapText="1"/>
    </xf>
    <xf numFmtId="2" fontId="16" fillId="7" borderId="1" xfId="0" applyNumberFormat="1" applyFont="1" applyFill="1" applyBorder="1" applyAlignment="1">
      <alignment horizontal="center" vertical="center" wrapText="1"/>
    </xf>
    <xf numFmtId="2" fontId="16" fillId="7" borderId="6" xfId="0" applyNumberFormat="1" applyFont="1" applyFill="1" applyBorder="1" applyAlignment="1">
      <alignment horizontal="center" vertical="center" wrapText="1"/>
    </xf>
    <xf numFmtId="2" fontId="3" fillId="0" borderId="0" xfId="0" applyNumberFormat="1" applyFont="1" applyAlignment="1">
      <alignment horizontal="center"/>
    </xf>
    <xf numFmtId="2" fontId="3" fillId="0" borderId="0" xfId="0" applyNumberFormat="1" applyFont="1" applyAlignment="1">
      <alignment horizontal="justify" vertical="center"/>
    </xf>
    <xf numFmtId="0" fontId="16" fillId="5" borderId="1" xfId="0" applyFont="1" applyFill="1" applyBorder="1" applyAlignment="1">
      <alignment vertical="center"/>
    </xf>
    <xf numFmtId="0" fontId="16" fillId="8" borderId="1" xfId="0" applyFont="1" applyFill="1" applyBorder="1" applyAlignment="1">
      <alignment vertical="center"/>
    </xf>
    <xf numFmtId="0" fontId="3" fillId="5" borderId="0" xfId="0" applyFont="1" applyFill="1" applyAlignment="1">
      <alignment horizontal="center" vertical="center"/>
    </xf>
    <xf numFmtId="0" fontId="11" fillId="5" borderId="0" xfId="0" applyFont="1" applyFill="1" applyAlignment="1">
      <alignment horizontal="justify" vertical="center"/>
    </xf>
    <xf numFmtId="0" fontId="11" fillId="5" borderId="0" xfId="0" applyFont="1" applyFill="1" applyAlignment="1">
      <alignment horizontal="center" vertical="center"/>
    </xf>
    <xf numFmtId="0" fontId="11" fillId="5" borderId="0" xfId="0" applyFont="1" applyFill="1" applyAlignment="1">
      <alignment vertical="center"/>
    </xf>
    <xf numFmtId="0" fontId="11" fillId="5" borderId="0" xfId="0" applyFont="1" applyFill="1" applyAlignment="1">
      <alignment horizontal="right" vertical="center"/>
    </xf>
    <xf numFmtId="44" fontId="3" fillId="0" borderId="1" xfId="1" applyFont="1" applyBorder="1"/>
    <xf numFmtId="44" fontId="8" fillId="0" borderId="1" xfId="1" applyFont="1" applyBorder="1"/>
    <xf numFmtId="44" fontId="8" fillId="0" borderId="13" xfId="1" applyFont="1" applyBorder="1"/>
    <xf numFmtId="9" fontId="11" fillId="0" borderId="0" xfId="2" applyFont="1" applyBorder="1" applyAlignment="1">
      <alignment horizontal="center" vertical="center"/>
    </xf>
    <xf numFmtId="187" fontId="3" fillId="0" borderId="0" xfId="0" applyNumberFormat="1" applyFont="1"/>
    <xf numFmtId="188" fontId="11" fillId="0" borderId="34" xfId="9" applyNumberFormat="1" applyFont="1" applyBorder="1" applyAlignment="1">
      <alignment horizontal="center" vertical="top"/>
    </xf>
    <xf numFmtId="0" fontId="11" fillId="0" borderId="34" xfId="9" applyFont="1" applyBorder="1" applyAlignment="1">
      <alignment horizontal="center" vertical="top"/>
    </xf>
    <xf numFmtId="187" fontId="11" fillId="0" borderId="34" xfId="9" applyNumberFormat="1" applyFont="1" applyBorder="1" applyAlignment="1">
      <alignment horizontal="right" vertical="top"/>
    </xf>
    <xf numFmtId="187" fontId="11" fillId="0" borderId="35" xfId="9" applyNumberFormat="1" applyFont="1" applyBorder="1" applyAlignment="1">
      <alignment horizontal="right" vertical="top"/>
    </xf>
    <xf numFmtId="44" fontId="8" fillId="0" borderId="0" xfId="1" applyFont="1" applyBorder="1"/>
    <xf numFmtId="0" fontId="11" fillId="0" borderId="5" xfId="9" applyFont="1" applyBorder="1" applyAlignment="1">
      <alignment horizontal="justify" vertical="top"/>
    </xf>
    <xf numFmtId="0" fontId="3" fillId="0" borderId="5" xfId="0" applyFont="1" applyBorder="1" applyAlignment="1">
      <alignment horizontal="justify" vertical="top"/>
    </xf>
    <xf numFmtId="187" fontId="11" fillId="13" borderId="1" xfId="40" applyNumberFormat="1" applyFont="1" applyFill="1" applyBorder="1" applyAlignment="1">
      <alignment horizontal="center" vertical="center" wrapText="1"/>
    </xf>
    <xf numFmtId="168" fontId="16" fillId="2" borderId="5" xfId="0" applyNumberFormat="1" applyFont="1" applyFill="1" applyBorder="1" applyAlignment="1">
      <alignment horizontal="center" vertical="center" wrapText="1"/>
    </xf>
    <xf numFmtId="44" fontId="16" fillId="2" borderId="6" xfId="1" applyFont="1" applyFill="1" applyBorder="1" applyAlignment="1">
      <alignment horizontal="center" vertical="center" wrapText="1"/>
    </xf>
    <xf numFmtId="0" fontId="11" fillId="0" borderId="5" xfId="0" applyFont="1" applyBorder="1" applyAlignment="1">
      <alignment horizontal="center" vertical="center" wrapText="1"/>
    </xf>
    <xf numFmtId="44" fontId="11" fillId="0" borderId="6" xfId="1" applyFont="1" applyBorder="1" applyAlignment="1">
      <alignment horizontal="center" vertical="center"/>
    </xf>
    <xf numFmtId="44" fontId="11" fillId="0" borderId="6" xfId="1" applyFont="1" applyFill="1" applyBorder="1" applyAlignment="1">
      <alignment horizontal="center" vertical="center"/>
    </xf>
    <xf numFmtId="44" fontId="16" fillId="5" borderId="1" xfId="1" applyFont="1" applyFill="1" applyBorder="1" applyAlignment="1">
      <alignment vertical="center"/>
    </xf>
    <xf numFmtId="44" fontId="3" fillId="0" borderId="41" xfId="1" applyFont="1" applyBorder="1"/>
    <xf numFmtId="0" fontId="3" fillId="5" borderId="58" xfId="0" applyFont="1" applyFill="1" applyBorder="1" applyAlignment="1">
      <alignment horizontal="center" vertical="center"/>
    </xf>
    <xf numFmtId="44" fontId="11" fillId="5" borderId="0" xfId="1" applyFont="1" applyFill="1" applyBorder="1" applyAlignment="1">
      <alignment horizontal="right" vertical="center"/>
    </xf>
    <xf numFmtId="0" fontId="11" fillId="0" borderId="65" xfId="9" applyFont="1" applyBorder="1" applyAlignment="1">
      <alignment vertical="top" wrapText="1"/>
    </xf>
    <xf numFmtId="0" fontId="11" fillId="0" borderId="48" xfId="9" applyFont="1" applyBorder="1" applyAlignment="1">
      <alignment horizontal="center" vertical="top"/>
    </xf>
    <xf numFmtId="188" fontId="11" fillId="0" borderId="48" xfId="9" applyNumberFormat="1" applyFont="1" applyBorder="1" applyAlignment="1">
      <alignment horizontal="center" vertical="top"/>
    </xf>
    <xf numFmtId="187" fontId="11" fillId="0" borderId="48" xfId="9" applyNumberFormat="1" applyFont="1" applyBorder="1" applyAlignment="1">
      <alignment horizontal="right" vertical="top"/>
    </xf>
    <xf numFmtId="190" fontId="3" fillId="0" borderId="0" xfId="0" applyNumberFormat="1" applyFont="1"/>
    <xf numFmtId="0" fontId="8" fillId="0" borderId="4" xfId="0" applyFont="1" applyBorder="1" applyAlignment="1">
      <alignment horizontal="center" vertical="center"/>
    </xf>
    <xf numFmtId="2" fontId="8" fillId="0" borderId="40" xfId="0" applyNumberFormat="1" applyFont="1" applyBorder="1" applyAlignment="1">
      <alignment horizontal="center" vertical="center"/>
    </xf>
    <xf numFmtId="0" fontId="8" fillId="0" borderId="40" xfId="0" applyFont="1" applyBorder="1" applyAlignment="1">
      <alignment horizontal="center" vertical="center"/>
    </xf>
    <xf numFmtId="0" fontId="3" fillId="0" borderId="5" xfId="0" applyFont="1" applyBorder="1" applyAlignment="1">
      <alignment horizontal="left" vertical="center"/>
    </xf>
    <xf numFmtId="44" fontId="3" fillId="0" borderId="5" xfId="0" applyNumberFormat="1" applyFont="1" applyBorder="1" applyAlignment="1">
      <alignment horizontal="center" vertical="center"/>
    </xf>
    <xf numFmtId="44" fontId="3" fillId="0" borderId="11" xfId="0" applyNumberFormat="1" applyFont="1" applyBorder="1" applyAlignment="1">
      <alignment horizontal="center" vertical="center"/>
    </xf>
    <xf numFmtId="0" fontId="3" fillId="0" borderId="25" xfId="0" applyFont="1" applyBorder="1" applyAlignment="1">
      <alignment horizontal="center" vertical="center"/>
    </xf>
    <xf numFmtId="0" fontId="17" fillId="0" borderId="1" xfId="28" applyFont="1" applyBorder="1" applyAlignment="1">
      <alignment horizontal="right" vertical="center" wrapText="1" readingOrder="1"/>
    </xf>
    <xf numFmtId="0" fontId="16" fillId="3" borderId="25" xfId="21" quotePrefix="1" applyFont="1" applyFill="1" applyBorder="1" applyAlignment="1">
      <alignment horizontal="center" vertical="center"/>
    </xf>
    <xf numFmtId="175" fontId="16" fillId="3" borderId="27" xfId="21" applyNumberFormat="1" applyFont="1" applyFill="1" applyBorder="1" applyAlignment="1">
      <alignment horizontal="center" vertical="center"/>
    </xf>
    <xf numFmtId="0" fontId="16" fillId="0" borderId="3" xfId="9" applyFont="1" applyBorder="1" applyAlignment="1">
      <alignment horizontal="center"/>
    </xf>
    <xf numFmtId="0" fontId="16" fillId="0" borderId="29" xfId="9" applyFont="1" applyBorder="1" applyAlignment="1">
      <alignment horizontal="center"/>
    </xf>
    <xf numFmtId="0" fontId="16" fillId="0" borderId="4" xfId="9" applyFont="1" applyBorder="1" applyAlignment="1">
      <alignment horizontal="center"/>
    </xf>
    <xf numFmtId="0" fontId="8" fillId="0" borderId="0" xfId="0" applyFont="1" applyAlignment="1">
      <alignment horizontal="justify" vertical="top"/>
    </xf>
    <xf numFmtId="187" fontId="16" fillId="0" borderId="40" xfId="9" applyNumberFormat="1" applyFont="1" applyBorder="1" applyAlignment="1">
      <alignment horizontal="center" vertical="center"/>
    </xf>
    <xf numFmtId="0" fontId="16" fillId="0" borderId="0" xfId="21" applyFont="1" applyAlignment="1">
      <alignment horizontal="center" vertical="top"/>
    </xf>
    <xf numFmtId="178" fontId="16" fillId="0" borderId="0" xfId="23" applyNumberFormat="1" applyFont="1" applyAlignment="1">
      <alignment vertical="top"/>
    </xf>
    <xf numFmtId="0" fontId="3" fillId="0" borderId="0" xfId="0" applyFont="1" applyAlignment="1">
      <alignment vertical="center"/>
    </xf>
    <xf numFmtId="0" fontId="16" fillId="0" borderId="1" xfId="0" applyFont="1" applyBorder="1" applyAlignment="1">
      <alignment horizontal="center" vertical="center" wrapText="1"/>
    </xf>
    <xf numFmtId="0" fontId="16" fillId="0" borderId="1" xfId="0" applyFont="1" applyBorder="1" applyAlignment="1">
      <alignment horizontal="left" vertical="center" wrapText="1"/>
    </xf>
    <xf numFmtId="0" fontId="16" fillId="0" borderId="0" xfId="0" applyFont="1"/>
    <xf numFmtId="0" fontId="16" fillId="0" borderId="0" xfId="0" applyFont="1" applyAlignment="1">
      <alignment horizontal="center"/>
    </xf>
    <xf numFmtId="0" fontId="8" fillId="3" borderId="5" xfId="0" applyFont="1" applyFill="1" applyBorder="1" applyAlignment="1">
      <alignment horizontal="center" vertical="center"/>
    </xf>
    <xf numFmtId="0" fontId="8" fillId="3" borderId="1" xfId="0" applyFont="1" applyFill="1" applyBorder="1" applyAlignment="1">
      <alignment horizontal="center" vertical="center"/>
    </xf>
    <xf numFmtId="0" fontId="8" fillId="3" borderId="6" xfId="0" applyFont="1" applyFill="1" applyBorder="1" applyAlignment="1">
      <alignment horizontal="center" vertical="center"/>
    </xf>
    <xf numFmtId="0" fontId="8" fillId="3" borderId="10" xfId="0" applyFont="1" applyFill="1" applyBorder="1" applyAlignment="1">
      <alignment horizontal="center" vertical="center"/>
    </xf>
    <xf numFmtId="0" fontId="8" fillId="3" borderId="7" xfId="0" applyFont="1" applyFill="1" applyBorder="1" applyAlignment="1">
      <alignment horizontal="center" vertical="center"/>
    </xf>
    <xf numFmtId="0" fontId="8" fillId="3" borderId="9" xfId="0" applyFont="1" applyFill="1" applyBorder="1" applyAlignment="1">
      <alignment vertical="center"/>
    </xf>
    <xf numFmtId="0" fontId="8" fillId="3" borderId="8" xfId="0" applyFont="1" applyFill="1" applyBorder="1" applyAlignment="1">
      <alignment vertical="center"/>
    </xf>
    <xf numFmtId="0" fontId="8" fillId="3" borderId="30" xfId="0" applyFont="1" applyFill="1" applyBorder="1" applyAlignment="1">
      <alignment vertical="center"/>
    </xf>
    <xf numFmtId="0" fontId="3" fillId="0" borderId="6" xfId="0" applyFont="1" applyBorder="1" applyAlignment="1">
      <alignment horizontal="center" vertical="center"/>
    </xf>
    <xf numFmtId="173" fontId="3" fillId="0" borderId="5" xfId="0" applyNumberFormat="1" applyFont="1" applyBorder="1" applyAlignment="1">
      <alignment horizontal="right" vertical="center"/>
    </xf>
    <xf numFmtId="10" fontId="3" fillId="0" borderId="6" xfId="2" applyNumberFormat="1" applyFont="1" applyBorder="1" applyAlignment="1">
      <alignment horizontal="center" vertical="center"/>
    </xf>
    <xf numFmtId="10" fontId="3" fillId="0" borderId="7" xfId="2" applyNumberFormat="1" applyFont="1" applyBorder="1" applyAlignment="1">
      <alignment horizontal="center" vertical="center"/>
    </xf>
    <xf numFmtId="9" fontId="3" fillId="0" borderId="6" xfId="0" applyNumberFormat="1" applyFont="1" applyBorder="1" applyAlignment="1">
      <alignment horizontal="center" vertical="center"/>
    </xf>
    <xf numFmtId="10" fontId="3" fillId="0" borderId="6" xfId="0" applyNumberFormat="1" applyFont="1" applyBorder="1" applyAlignment="1">
      <alignment horizontal="center" vertical="center"/>
    </xf>
    <xf numFmtId="174" fontId="3" fillId="0" borderId="5" xfId="0" applyNumberFormat="1" applyFont="1" applyBorder="1" applyAlignment="1">
      <alignment horizontal="right" vertical="center"/>
    </xf>
    <xf numFmtId="0" fontId="3" fillId="0" borderId="1" xfId="0" applyFont="1" applyBorder="1" applyAlignment="1">
      <alignment vertical="center"/>
    </xf>
    <xf numFmtId="0" fontId="3" fillId="0" borderId="8" xfId="0" applyFont="1" applyBorder="1" applyAlignment="1">
      <alignment vertical="center"/>
    </xf>
    <xf numFmtId="173" fontId="3" fillId="0" borderId="9" xfId="0" applyNumberFormat="1" applyFont="1" applyBorder="1" applyAlignment="1">
      <alignment horizontal="right" vertical="center"/>
    </xf>
    <xf numFmtId="0" fontId="3" fillId="0" borderId="30" xfId="0" applyFont="1" applyBorder="1" applyAlignment="1">
      <alignment vertical="center"/>
    </xf>
    <xf numFmtId="0" fontId="3" fillId="0" borderId="40" xfId="0" applyFont="1" applyBorder="1" applyAlignment="1">
      <alignment horizontal="center" vertical="center" wrapText="1"/>
    </xf>
    <xf numFmtId="2" fontId="8" fillId="3" borderId="37" xfId="0" applyNumberFormat="1" applyFont="1" applyFill="1" applyBorder="1" applyAlignment="1">
      <alignment horizontal="center" vertical="center" wrapText="1"/>
    </xf>
    <xf numFmtId="167" fontId="8" fillId="3" borderId="36" xfId="18" applyFont="1" applyFill="1" applyBorder="1" applyAlignment="1">
      <alignment vertical="center"/>
    </xf>
    <xf numFmtId="0" fontId="3" fillId="0" borderId="5" xfId="0" applyFont="1" applyBorder="1" applyAlignment="1">
      <alignment wrapText="1"/>
    </xf>
    <xf numFmtId="44" fontId="3" fillId="0" borderId="6" xfId="1" applyFont="1" applyBorder="1" applyAlignment="1">
      <alignment vertical="center"/>
    </xf>
    <xf numFmtId="13" fontId="3" fillId="0" borderId="0" xfId="1" applyNumberFormat="1" applyFont="1"/>
    <xf numFmtId="10" fontId="3" fillId="0" borderId="6" xfId="2" applyNumberFormat="1" applyFont="1" applyFill="1" applyBorder="1" applyAlignment="1">
      <alignment horizontal="center" vertical="center"/>
    </xf>
    <xf numFmtId="171" fontId="3" fillId="0" borderId="14" xfId="5" applyNumberFormat="1" applyFont="1" applyBorder="1" applyAlignment="1">
      <alignment horizontal="center" vertical="center"/>
    </xf>
    <xf numFmtId="171" fontId="3" fillId="0" borderId="1" xfId="5" applyNumberFormat="1" applyFont="1" applyBorder="1" applyAlignment="1">
      <alignment horizontal="center" vertical="center"/>
    </xf>
    <xf numFmtId="171" fontId="3" fillId="0" borderId="12" xfId="5" applyNumberFormat="1" applyFont="1" applyBorder="1" applyAlignment="1">
      <alignment horizontal="center" vertical="center"/>
    </xf>
    <xf numFmtId="44" fontId="3" fillId="0" borderId="41" xfId="1" applyFont="1" applyBorder="1" applyAlignment="1">
      <alignment horizontal="center" vertical="center"/>
    </xf>
    <xf numFmtId="173" fontId="16" fillId="0" borderId="58" xfId="0" applyNumberFormat="1" applyFont="1" applyBorder="1" applyAlignment="1">
      <alignment horizontal="center" vertical="center" wrapText="1"/>
    </xf>
    <xf numFmtId="10" fontId="16" fillId="0" borderId="0" xfId="2" applyNumberFormat="1" applyFont="1" applyFill="1" applyBorder="1" applyAlignment="1">
      <alignment vertical="center" wrapText="1"/>
    </xf>
    <xf numFmtId="44" fontId="16" fillId="0" borderId="0" xfId="1" applyFont="1" applyFill="1" applyBorder="1" applyAlignment="1">
      <alignment vertical="center"/>
    </xf>
    <xf numFmtId="174" fontId="8" fillId="0" borderId="24" xfId="1" applyNumberFormat="1" applyFont="1" applyBorder="1"/>
    <xf numFmtId="0" fontId="16" fillId="2" borderId="1" xfId="9" applyFont="1" applyFill="1" applyBorder="1" applyAlignment="1">
      <alignment horizontal="center" vertical="center" wrapText="1"/>
    </xf>
    <xf numFmtId="43" fontId="16" fillId="2" borderId="1" xfId="43" applyFont="1" applyFill="1" applyBorder="1" applyAlignment="1">
      <alignment horizontal="center" vertical="center" wrapText="1"/>
    </xf>
    <xf numFmtId="193" fontId="16" fillId="2" borderId="1" xfId="44" applyNumberFormat="1" applyFont="1" applyFill="1" applyBorder="1" applyAlignment="1">
      <alignment horizontal="center" vertical="center" wrapText="1"/>
    </xf>
    <xf numFmtId="0" fontId="16" fillId="2" borderId="1" xfId="9" applyFont="1" applyFill="1" applyBorder="1" applyAlignment="1">
      <alignment vertical="center" wrapText="1"/>
    </xf>
    <xf numFmtId="1" fontId="11" fillId="0" borderId="1" xfId="9" applyNumberFormat="1" applyFont="1" applyBorder="1" applyAlignment="1">
      <alignment horizontal="justify" vertical="center"/>
    </xf>
    <xf numFmtId="0" fontId="11" fillId="0" borderId="1" xfId="9" applyFont="1" applyBorder="1" applyAlignment="1">
      <alignment horizontal="center" vertical="center" wrapText="1"/>
    </xf>
    <xf numFmtId="2" fontId="17" fillId="0" borderId="1" xfId="43" applyNumberFormat="1" applyFont="1" applyFill="1" applyBorder="1" applyAlignment="1">
      <alignment horizontal="center" vertical="center" wrapText="1"/>
    </xf>
    <xf numFmtId="174" fontId="11" fillId="0" borderId="1" xfId="44" applyNumberFormat="1" applyFont="1" applyFill="1" applyBorder="1" applyAlignment="1">
      <alignment horizontal="center" vertical="center" wrapText="1"/>
    </xf>
    <xf numFmtId="0" fontId="17" fillId="0" borderId="1" xfId="9" applyFont="1" applyBorder="1" applyAlignment="1">
      <alignment horizontal="center" vertical="center" wrapText="1"/>
    </xf>
    <xf numFmtId="1" fontId="16" fillId="2" borderId="1" xfId="9" applyNumberFormat="1" applyFont="1" applyFill="1" applyBorder="1" applyAlignment="1">
      <alignment vertical="center"/>
    </xf>
    <xf numFmtId="0" fontId="11" fillId="0" borderId="50" xfId="9" applyFont="1" applyBorder="1" applyAlignment="1">
      <alignment horizontal="center"/>
    </xf>
    <xf numFmtId="0" fontId="11" fillId="0" borderId="1" xfId="9" applyFont="1" applyBorder="1" applyAlignment="1">
      <alignment horizontal="center"/>
    </xf>
    <xf numFmtId="0" fontId="16" fillId="3" borderId="17" xfId="21" quotePrefix="1" applyFont="1" applyFill="1" applyBorder="1" applyAlignment="1">
      <alignment horizontal="center" vertical="center"/>
    </xf>
    <xf numFmtId="0" fontId="16" fillId="0" borderId="28" xfId="9" applyFont="1" applyBorder="1" applyAlignment="1">
      <alignment horizontal="justify" vertical="top"/>
    </xf>
    <xf numFmtId="0" fontId="11" fillId="0" borderId="71" xfId="9" applyFont="1" applyBorder="1" applyAlignment="1">
      <alignment horizontal="justify" vertical="top" wrapText="1"/>
    </xf>
    <xf numFmtId="0" fontId="16" fillId="0" borderId="28" xfId="9" applyFont="1" applyBorder="1" applyAlignment="1">
      <alignment horizontal="center" vertical="top"/>
    </xf>
    <xf numFmtId="44" fontId="11" fillId="0" borderId="1" xfId="1" applyFont="1" applyBorder="1" applyAlignment="1">
      <alignment horizontal="justify" vertical="top"/>
    </xf>
    <xf numFmtId="44" fontId="11" fillId="0" borderId="71" xfId="1" applyFont="1" applyBorder="1" applyAlignment="1">
      <alignment horizontal="justify" vertical="top" wrapText="1"/>
    </xf>
    <xf numFmtId="44" fontId="11" fillId="0" borderId="1" xfId="1" applyFont="1" applyBorder="1" applyAlignment="1">
      <alignment horizontal="center"/>
    </xf>
    <xf numFmtId="44" fontId="16" fillId="0" borderId="40" xfId="1" applyFont="1" applyBorder="1" applyAlignment="1">
      <alignment horizontal="right" vertical="top"/>
    </xf>
    <xf numFmtId="172" fontId="11" fillId="0" borderId="1" xfId="9" applyNumberFormat="1" applyFont="1" applyBorder="1" applyAlignment="1">
      <alignment horizontal="center"/>
    </xf>
    <xf numFmtId="172" fontId="11" fillId="0" borderId="12" xfId="9" applyNumberFormat="1" applyFont="1" applyBorder="1" applyAlignment="1">
      <alignment horizontal="center" vertical="center"/>
    </xf>
    <xf numFmtId="0" fontId="16" fillId="0" borderId="2" xfId="9" applyFont="1" applyBorder="1" applyAlignment="1">
      <alignment horizontal="justify"/>
    </xf>
    <xf numFmtId="44" fontId="11" fillId="0" borderId="50" xfId="9" applyNumberFormat="1" applyFont="1" applyBorder="1" applyAlignment="1">
      <alignment horizontal="center"/>
    </xf>
    <xf numFmtId="44" fontId="11" fillId="0" borderId="72" xfId="1" applyFont="1" applyBorder="1" applyAlignment="1">
      <alignment horizontal="center"/>
    </xf>
    <xf numFmtId="44" fontId="11" fillId="0" borderId="6" xfId="1" applyFont="1" applyBorder="1" applyAlignment="1">
      <alignment horizontal="center"/>
    </xf>
    <xf numFmtId="44" fontId="11" fillId="0" borderId="13" xfId="1" applyFont="1" applyBorder="1" applyAlignment="1">
      <alignment horizontal="center" vertical="center"/>
    </xf>
    <xf numFmtId="44" fontId="11" fillId="0" borderId="1" xfId="9" applyNumberFormat="1" applyFont="1" applyBorder="1" applyAlignment="1">
      <alignment horizontal="center"/>
    </xf>
    <xf numFmtId="44" fontId="3" fillId="0" borderId="47" xfId="0" applyNumberFormat="1" applyFont="1" applyBorder="1" applyAlignment="1">
      <alignment horizontal="center" vertical="center"/>
    </xf>
    <xf numFmtId="0" fontId="11" fillId="0" borderId="47" xfId="9" applyFont="1" applyBorder="1" applyAlignment="1">
      <alignment horizontal="justify" vertical="top"/>
    </xf>
    <xf numFmtId="0" fontId="2" fillId="0" borderId="0" xfId="45"/>
    <xf numFmtId="0" fontId="2" fillId="0" borderId="0" xfId="45" applyAlignment="1">
      <alignment vertical="center" wrapText="1"/>
    </xf>
    <xf numFmtId="0" fontId="2" fillId="0" borderId="0" xfId="45" applyAlignment="1">
      <alignment horizontal="center" vertical="center"/>
    </xf>
    <xf numFmtId="194" fontId="2" fillId="0" borderId="0" xfId="46" applyFont="1" applyFill="1" applyAlignment="1">
      <alignment vertical="center"/>
    </xf>
    <xf numFmtId="0" fontId="16" fillId="0" borderId="66" xfId="9" applyFont="1" applyBorder="1" applyAlignment="1">
      <alignment vertical="top"/>
    </xf>
    <xf numFmtId="0" fontId="11" fillId="0" borderId="12" xfId="9" applyFont="1" applyBorder="1" applyAlignment="1">
      <alignment horizontal="center" vertical="top" wrapText="1"/>
    </xf>
    <xf numFmtId="196" fontId="11" fillId="0" borderId="12" xfId="9" applyNumberFormat="1" applyFont="1" applyBorder="1" applyAlignment="1">
      <alignment horizontal="center" vertical="center"/>
    </xf>
    <xf numFmtId="171" fontId="11" fillId="0" borderId="1" xfId="9" applyNumberFormat="1" applyFont="1" applyBorder="1" applyAlignment="1">
      <alignment horizontal="center"/>
    </xf>
    <xf numFmtId="0" fontId="16" fillId="0" borderId="2" xfId="9" applyFont="1" applyBorder="1" applyAlignment="1">
      <alignment vertical="top"/>
    </xf>
    <xf numFmtId="0" fontId="11" fillId="0" borderId="5" xfId="9" applyFont="1" applyBorder="1" applyAlignment="1">
      <alignment vertical="top"/>
    </xf>
    <xf numFmtId="0" fontId="11" fillId="0" borderId="11" xfId="9" applyFont="1" applyBorder="1" applyAlignment="1">
      <alignment vertical="top"/>
    </xf>
    <xf numFmtId="44" fontId="11" fillId="0" borderId="13" xfId="1" applyFont="1" applyBorder="1" applyAlignment="1">
      <alignment horizontal="right" vertical="center"/>
    </xf>
    <xf numFmtId="44" fontId="11" fillId="0" borderId="12" xfId="1" applyFont="1" applyBorder="1" applyAlignment="1">
      <alignment horizontal="center"/>
    </xf>
    <xf numFmtId="0" fontId="11" fillId="0" borderId="12" xfId="9" applyFont="1" applyBorder="1" applyAlignment="1">
      <alignment horizontal="center"/>
    </xf>
    <xf numFmtId="44" fontId="11" fillId="0" borderId="6" xfId="9" applyNumberFormat="1" applyFont="1" applyBorder="1" applyAlignment="1">
      <alignment horizontal="center"/>
    </xf>
    <xf numFmtId="0" fontId="11" fillId="0" borderId="15" xfId="9" applyFont="1" applyBorder="1" applyAlignment="1">
      <alignment vertical="top"/>
    </xf>
    <xf numFmtId="0" fontId="11" fillId="0" borderId="14" xfId="9" applyFont="1" applyBorder="1" applyAlignment="1">
      <alignment horizontal="center"/>
    </xf>
    <xf numFmtId="44" fontId="11" fillId="0" borderId="14" xfId="1" applyFont="1" applyBorder="1" applyAlignment="1">
      <alignment horizontal="center"/>
    </xf>
    <xf numFmtId="44" fontId="11" fillId="0" borderId="33" xfId="1" applyFont="1" applyBorder="1" applyAlignment="1">
      <alignment horizontal="center"/>
    </xf>
    <xf numFmtId="1" fontId="3" fillId="0" borderId="40" xfId="0" applyNumberFormat="1" applyFont="1" applyBorder="1" applyAlignment="1">
      <alignment horizontal="justify" vertical="center" wrapText="1"/>
    </xf>
    <xf numFmtId="0" fontId="11" fillId="0" borderId="11" xfId="0" applyFont="1" applyBorder="1" applyAlignment="1">
      <alignment horizontal="center" vertical="center" wrapText="1"/>
    </xf>
    <xf numFmtId="0" fontId="24" fillId="0" borderId="1" xfId="45" applyFont="1" applyBorder="1" applyAlignment="1">
      <alignment horizontal="center" vertical="center"/>
    </xf>
    <xf numFmtId="0" fontId="24" fillId="0" borderId="5" xfId="45" applyFont="1" applyBorder="1" applyAlignment="1">
      <alignment horizontal="center" vertical="center" wrapText="1"/>
    </xf>
    <xf numFmtId="194" fontId="24" fillId="0" borderId="6" xfId="46" applyFont="1" applyFill="1" applyBorder="1" applyAlignment="1">
      <alignment horizontal="center" vertical="center"/>
    </xf>
    <xf numFmtId="0" fontId="1" fillId="0" borderId="0" xfId="48"/>
    <xf numFmtId="0" fontId="30" fillId="18" borderId="75" xfId="48" applyFont="1" applyFill="1" applyBorder="1" applyAlignment="1">
      <alignment horizontal="center" vertical="center" wrapText="1"/>
    </xf>
    <xf numFmtId="0" fontId="32" fillId="0" borderId="0" xfId="48" applyFont="1"/>
    <xf numFmtId="0" fontId="32" fillId="9" borderId="82" xfId="48" applyFont="1" applyFill="1" applyBorder="1" applyAlignment="1">
      <alignment horizontal="center" vertical="center" wrapText="1"/>
    </xf>
    <xf numFmtId="177" fontId="32" fillId="9" borderId="83" xfId="48" applyNumberFormat="1" applyFont="1" applyFill="1" applyBorder="1" applyAlignment="1">
      <alignment horizontal="right" vertical="center"/>
    </xf>
    <xf numFmtId="0" fontId="32" fillId="0" borderId="82" xfId="48" applyFont="1" applyBorder="1" applyAlignment="1">
      <alignment horizontal="center" vertical="center" wrapText="1"/>
    </xf>
    <xf numFmtId="177" fontId="32" fillId="0" borderId="83" xfId="48" applyNumberFormat="1" applyFont="1" applyBorder="1" applyAlignment="1">
      <alignment horizontal="center" vertical="center"/>
    </xf>
    <xf numFmtId="177" fontId="32" fillId="9" borderId="82" xfId="48" applyNumberFormat="1" applyFont="1" applyFill="1" applyBorder="1" applyAlignment="1">
      <alignment horizontal="right" vertical="center"/>
    </xf>
    <xf numFmtId="0" fontId="32" fillId="9" borderId="88" xfId="48" applyFont="1" applyFill="1" applyBorder="1" applyAlignment="1">
      <alignment horizontal="center" vertical="center" wrapText="1"/>
    </xf>
    <xf numFmtId="0" fontId="32" fillId="0" borderId="88" xfId="48" applyFont="1" applyBorder="1" applyAlignment="1">
      <alignment horizontal="center" vertical="center" wrapText="1"/>
    </xf>
    <xf numFmtId="177" fontId="32" fillId="9" borderId="88" xfId="48" applyNumberFormat="1" applyFont="1" applyFill="1" applyBorder="1" applyAlignment="1">
      <alignment horizontal="right" vertical="center"/>
    </xf>
    <xf numFmtId="198" fontId="31" fillId="0" borderId="89" xfId="48" applyNumberFormat="1" applyFont="1" applyBorder="1" applyAlignment="1">
      <alignment horizontal="center" vertical="center"/>
    </xf>
    <xf numFmtId="0" fontId="31" fillId="19" borderId="81" xfId="48" applyFont="1" applyFill="1" applyBorder="1" applyAlignment="1">
      <alignment vertical="center" wrapText="1"/>
    </xf>
    <xf numFmtId="0" fontId="32" fillId="20" borderId="36" xfId="48" applyFont="1" applyFill="1" applyBorder="1" applyAlignment="1">
      <alignment vertical="center" wrapText="1"/>
    </xf>
    <xf numFmtId="0" fontId="29" fillId="0" borderId="19" xfId="48" applyFont="1" applyBorder="1" applyAlignment="1">
      <alignment horizontal="center"/>
    </xf>
    <xf numFmtId="0" fontId="29" fillId="0" borderId="20" xfId="48" applyFont="1" applyBorder="1" applyAlignment="1">
      <alignment horizontal="center"/>
    </xf>
    <xf numFmtId="0" fontId="29" fillId="0" borderId="21" xfId="48" applyFont="1" applyBorder="1" applyAlignment="1">
      <alignment horizontal="center"/>
    </xf>
    <xf numFmtId="0" fontId="32" fillId="0" borderId="92" xfId="48" applyFont="1" applyBorder="1" applyAlignment="1">
      <alignment horizontal="center" vertical="center" wrapText="1"/>
    </xf>
    <xf numFmtId="0" fontId="2" fillId="0" borderId="92" xfId="48" applyFont="1" applyBorder="1" applyAlignment="1">
      <alignment horizontal="center" vertical="center" wrapText="1"/>
    </xf>
    <xf numFmtId="199" fontId="32" fillId="0" borderId="92" xfId="47" applyNumberFormat="1" applyFont="1" applyBorder="1" applyAlignment="1">
      <alignment horizontal="center" vertical="center" wrapText="1"/>
    </xf>
    <xf numFmtId="177" fontId="32" fillId="0" borderId="93" xfId="48" applyNumberFormat="1" applyFont="1" applyBorder="1" applyAlignment="1">
      <alignment horizontal="right" vertical="center"/>
    </xf>
    <xf numFmtId="177" fontId="32" fillId="0" borderId="83" xfId="48" applyNumberFormat="1" applyFont="1" applyBorder="1" applyAlignment="1">
      <alignment horizontal="right" vertical="center"/>
    </xf>
    <xf numFmtId="177" fontId="32" fillId="0" borderId="82" xfId="48" applyNumberFormat="1" applyFont="1" applyBorder="1" applyAlignment="1">
      <alignment horizontal="right" vertical="center"/>
    </xf>
    <xf numFmtId="0" fontId="32" fillId="0" borderId="94" xfId="48" applyFont="1" applyBorder="1" applyAlignment="1">
      <alignment horizontal="center" vertical="center" wrapText="1"/>
    </xf>
    <xf numFmtId="177" fontId="32" fillId="0" borderId="95" xfId="48" applyNumberFormat="1" applyFont="1" applyBorder="1" applyAlignment="1">
      <alignment horizontal="right" vertical="center"/>
    </xf>
    <xf numFmtId="0" fontId="32" fillId="9" borderId="82" xfId="48" applyFont="1" applyFill="1" applyBorder="1" applyAlignment="1">
      <alignment horizontal="center" vertical="center"/>
    </xf>
    <xf numFmtId="197" fontId="32" fillId="0" borderId="82" xfId="48" applyNumberFormat="1" applyFont="1" applyBorder="1" applyAlignment="1">
      <alignment horizontal="right" vertical="center"/>
    </xf>
    <xf numFmtId="197" fontId="32" fillId="9" borderId="82" xfId="48" applyNumberFormat="1" applyFont="1" applyFill="1" applyBorder="1" applyAlignment="1">
      <alignment horizontal="right" vertical="center"/>
    </xf>
    <xf numFmtId="0" fontId="32" fillId="0" borderId="82" xfId="48" applyFont="1" applyBorder="1" applyAlignment="1">
      <alignment horizontal="center" vertical="center"/>
    </xf>
    <xf numFmtId="0" fontId="32" fillId="0" borderId="88" xfId="48" applyFont="1" applyBorder="1" applyAlignment="1">
      <alignment horizontal="center" vertical="center"/>
    </xf>
    <xf numFmtId="0" fontId="32" fillId="9" borderId="88" xfId="48" applyFont="1" applyFill="1" applyBorder="1" applyAlignment="1">
      <alignment horizontal="center" vertical="center"/>
    </xf>
    <xf numFmtId="177" fontId="32" fillId="0" borderId="96" xfId="48" applyNumberFormat="1" applyFont="1" applyBorder="1" applyAlignment="1">
      <alignment horizontal="center" vertical="center"/>
    </xf>
    <xf numFmtId="0" fontId="32" fillId="20" borderId="19" xfId="48" applyFont="1" applyFill="1" applyBorder="1" applyAlignment="1">
      <alignment horizontal="left" vertical="center" wrapText="1"/>
    </xf>
    <xf numFmtId="0" fontId="32" fillId="20" borderId="20" xfId="48" applyFont="1" applyFill="1" applyBorder="1" applyAlignment="1">
      <alignment horizontal="center" vertical="center" wrapText="1"/>
    </xf>
    <xf numFmtId="0" fontId="32" fillId="20" borderId="21" xfId="48" applyFont="1" applyFill="1" applyBorder="1" applyAlignment="1">
      <alignment horizontal="left" vertical="center" wrapText="1"/>
    </xf>
    <xf numFmtId="197" fontId="32" fillId="0" borderId="92" xfId="48" applyNumberFormat="1" applyFont="1" applyBorder="1" applyAlignment="1">
      <alignment horizontal="left" vertical="center" wrapText="1"/>
    </xf>
    <xf numFmtId="197" fontId="32" fillId="0" borderId="92" xfId="48" applyNumberFormat="1" applyFont="1" applyBorder="1" applyAlignment="1">
      <alignment vertical="center"/>
    </xf>
    <xf numFmtId="197" fontId="32" fillId="0" borderId="82" xfId="48" applyNumberFormat="1" applyFont="1" applyBorder="1" applyAlignment="1">
      <alignment vertical="center"/>
    </xf>
    <xf numFmtId="177" fontId="32" fillId="0" borderId="82" xfId="48" applyNumberFormat="1" applyFont="1" applyBorder="1" applyAlignment="1">
      <alignment horizontal="center" vertical="center"/>
    </xf>
    <xf numFmtId="177" fontId="32" fillId="0" borderId="93" xfId="48" applyNumberFormat="1" applyFont="1" applyBorder="1" applyAlignment="1">
      <alignment horizontal="center" vertical="center"/>
    </xf>
    <xf numFmtId="0" fontId="32" fillId="0" borderId="83" xfId="48" applyFont="1" applyBorder="1" applyAlignment="1">
      <alignment horizontal="center" vertical="center" wrapText="1"/>
    </xf>
    <xf numFmtId="0" fontId="27" fillId="0" borderId="0" xfId="48" applyFont="1"/>
    <xf numFmtId="0" fontId="32" fillId="0" borderId="1" xfId="48" applyFont="1" applyBorder="1" applyAlignment="1">
      <alignment horizontal="center" vertical="center" wrapText="1"/>
    </xf>
    <xf numFmtId="177" fontId="32" fillId="0" borderId="88" xfId="48" applyNumberFormat="1" applyFont="1" applyBorder="1" applyAlignment="1">
      <alignment horizontal="center" vertical="center"/>
    </xf>
    <xf numFmtId="177" fontId="31" fillId="0" borderId="99" xfId="48" applyNumberFormat="1" applyFont="1" applyBorder="1" applyAlignment="1">
      <alignment horizontal="right" vertical="center"/>
    </xf>
    <xf numFmtId="0" fontId="1" fillId="0" borderId="83" xfId="48" applyBorder="1" applyAlignment="1">
      <alignment horizontal="center"/>
    </xf>
    <xf numFmtId="0" fontId="32" fillId="9" borderId="1" xfId="48" applyFont="1" applyFill="1" applyBorder="1" applyAlignment="1">
      <alignment horizontal="center" vertical="center" wrapText="1"/>
    </xf>
    <xf numFmtId="0" fontId="32" fillId="0" borderId="96" xfId="48" applyFont="1" applyBorder="1" applyAlignment="1">
      <alignment horizontal="center" vertical="center" wrapText="1"/>
    </xf>
    <xf numFmtId="0" fontId="32" fillId="9" borderId="48" xfId="48" applyFont="1" applyFill="1" applyBorder="1" applyAlignment="1">
      <alignment horizontal="center" vertical="center" wrapText="1"/>
    </xf>
    <xf numFmtId="177" fontId="32" fillId="0" borderId="88" xfId="48" applyNumberFormat="1" applyFont="1" applyBorder="1" applyAlignment="1">
      <alignment horizontal="right" vertical="center"/>
    </xf>
    <xf numFmtId="0" fontId="32" fillId="9" borderId="92" xfId="48" applyFont="1" applyFill="1" applyBorder="1" applyAlignment="1">
      <alignment horizontal="center" vertical="center" wrapText="1"/>
    </xf>
    <xf numFmtId="197" fontId="32" fillId="0" borderId="102" xfId="48" applyNumberFormat="1" applyFont="1" applyBorder="1" applyAlignment="1">
      <alignment horizontal="right" vertical="center"/>
    </xf>
    <xf numFmtId="197" fontId="32" fillId="0" borderId="88" xfId="48" applyNumberFormat="1" applyFont="1" applyBorder="1" applyAlignment="1">
      <alignment horizontal="right" vertical="center"/>
    </xf>
    <xf numFmtId="177" fontId="32" fillId="9" borderId="93" xfId="48" applyNumberFormat="1" applyFont="1" applyFill="1" applyBorder="1" applyAlignment="1">
      <alignment horizontal="right" vertical="center"/>
    </xf>
    <xf numFmtId="0" fontId="31" fillId="0" borderId="0" xfId="48" applyFont="1" applyAlignment="1">
      <alignment horizontal="left" vertical="center" wrapText="1"/>
    </xf>
    <xf numFmtId="0" fontId="32" fillId="0" borderId="103" xfId="48" applyFont="1" applyBorder="1" applyAlignment="1">
      <alignment horizontal="center" vertical="center"/>
    </xf>
    <xf numFmtId="0" fontId="32" fillId="0" borderId="0" xfId="48" applyFont="1" applyAlignment="1">
      <alignment horizontal="left" vertical="center" wrapText="1"/>
    </xf>
    <xf numFmtId="2" fontId="1" fillId="21" borderId="0" xfId="48" applyNumberFormat="1" applyFill="1"/>
    <xf numFmtId="169" fontId="31" fillId="20" borderId="90" xfId="48" applyNumberFormat="1" applyFont="1" applyFill="1" applyBorder="1" applyAlignment="1">
      <alignment horizontal="center" vertical="center"/>
    </xf>
    <xf numFmtId="165" fontId="32" fillId="0" borderId="0" xfId="48" applyNumberFormat="1" applyFont="1" applyAlignment="1">
      <alignment horizontal="left" vertical="center"/>
    </xf>
    <xf numFmtId="0" fontId="1" fillId="0" borderId="1" xfId="48" applyBorder="1"/>
    <xf numFmtId="0" fontId="32" fillId="0" borderId="85" xfId="48" applyFont="1" applyBorder="1" applyAlignment="1">
      <alignment vertical="center" wrapText="1"/>
    </xf>
    <xf numFmtId="0" fontId="32" fillId="0" borderId="86" xfId="48" applyFont="1" applyBorder="1" applyAlignment="1">
      <alignment vertical="center" wrapText="1"/>
    </xf>
    <xf numFmtId="0" fontId="32" fillId="0" borderId="87" xfId="48" applyFont="1" applyBorder="1" applyAlignment="1">
      <alignment vertical="center" wrapText="1"/>
    </xf>
    <xf numFmtId="197" fontId="2" fillId="13" borderId="92" xfId="48" applyNumberFormat="1" applyFont="1" applyFill="1" applyBorder="1" applyAlignment="1">
      <alignment horizontal="right" vertical="center"/>
    </xf>
    <xf numFmtId="0" fontId="30" fillId="18" borderId="106" xfId="48" applyFont="1" applyFill="1" applyBorder="1" applyAlignment="1">
      <alignment horizontal="center" vertical="center" wrapText="1"/>
    </xf>
    <xf numFmtId="0" fontId="30" fillId="18" borderId="107" xfId="48" applyFont="1" applyFill="1" applyBorder="1" applyAlignment="1">
      <alignment horizontal="center" vertical="center"/>
    </xf>
    <xf numFmtId="0" fontId="32" fillId="9" borderId="112" xfId="48" applyFont="1" applyFill="1" applyBorder="1" applyAlignment="1">
      <alignment horizontal="left" vertical="center" wrapText="1"/>
    </xf>
    <xf numFmtId="0" fontId="32" fillId="9" borderId="113" xfId="48" applyFont="1" applyFill="1" applyBorder="1" applyAlignment="1">
      <alignment horizontal="left" vertical="center" wrapText="1"/>
    </xf>
    <xf numFmtId="0" fontId="32" fillId="0" borderId="112" xfId="48" applyFont="1" applyBorder="1" applyAlignment="1">
      <alignment horizontal="left" vertical="center" wrapText="1"/>
    </xf>
    <xf numFmtId="0" fontId="32" fillId="0" borderId="113" xfId="48" applyFont="1" applyBorder="1" applyAlignment="1">
      <alignment horizontal="left" vertical="center" wrapText="1"/>
    </xf>
    <xf numFmtId="0" fontId="32" fillId="0" borderId="116" xfId="48" applyFont="1" applyBorder="1" applyAlignment="1">
      <alignment horizontal="left" vertical="center" wrapText="1"/>
    </xf>
    <xf numFmtId="0" fontId="32" fillId="0" borderId="117" xfId="48" applyFont="1" applyBorder="1" applyAlignment="1">
      <alignment horizontal="left" vertical="center" wrapText="1"/>
    </xf>
    <xf numFmtId="0" fontId="32" fillId="0" borderId="118" xfId="48" applyFont="1" applyBorder="1" applyAlignment="1">
      <alignment horizontal="left" vertical="center" wrapText="1"/>
    </xf>
    <xf numFmtId="0" fontId="31" fillId="19" borderId="110" xfId="48" applyFont="1" applyFill="1" applyBorder="1" applyAlignment="1">
      <alignment vertical="center" wrapText="1"/>
    </xf>
    <xf numFmtId="0" fontId="31" fillId="19" borderId="111" xfId="48" applyFont="1" applyFill="1" applyBorder="1" applyAlignment="1">
      <alignment vertical="center" wrapText="1"/>
    </xf>
    <xf numFmtId="0" fontId="32" fillId="0" borderId="121" xfId="48" applyFont="1" applyBorder="1" applyAlignment="1">
      <alignment horizontal="left" vertical="center" wrapText="1"/>
    </xf>
    <xf numFmtId="0" fontId="32" fillId="0" borderId="122" xfId="48" applyFont="1" applyBorder="1" applyAlignment="1">
      <alignment horizontal="left" vertical="center" wrapText="1"/>
    </xf>
    <xf numFmtId="0" fontId="32" fillId="0" borderId="58" xfId="48" applyFont="1" applyBorder="1" applyAlignment="1">
      <alignment horizontal="left" vertical="center" wrapText="1"/>
    </xf>
    <xf numFmtId="0" fontId="33" fillId="0" borderId="117" xfId="48" applyFont="1" applyBorder="1"/>
    <xf numFmtId="0" fontId="32" fillId="0" borderId="125" xfId="48" applyFont="1" applyBorder="1" applyAlignment="1">
      <alignment horizontal="left" vertical="center" wrapText="1"/>
    </xf>
    <xf numFmtId="0" fontId="34" fillId="0" borderId="58" xfId="0" applyFont="1" applyBorder="1" applyAlignment="1">
      <alignment wrapText="1"/>
    </xf>
    <xf numFmtId="0" fontId="27" fillId="0" borderId="113" xfId="48" applyFont="1" applyBorder="1"/>
    <xf numFmtId="0" fontId="32" fillId="0" borderId="126" xfId="48" applyFont="1" applyBorder="1" applyAlignment="1">
      <alignment horizontal="left" vertical="center" wrapText="1"/>
    </xf>
    <xf numFmtId="0" fontId="32" fillId="9" borderId="121" xfId="48" applyFont="1" applyFill="1" applyBorder="1" applyAlignment="1">
      <alignment horizontal="left" vertical="center" wrapText="1"/>
    </xf>
    <xf numFmtId="0" fontId="32" fillId="9" borderId="125" xfId="48" applyFont="1" applyFill="1" applyBorder="1" applyAlignment="1">
      <alignment horizontal="left" vertical="center" wrapText="1"/>
    </xf>
    <xf numFmtId="0" fontId="32" fillId="0" borderId="127" xfId="48" applyFont="1" applyBorder="1" applyAlignment="1">
      <alignment horizontal="left" vertical="center" wrapText="1"/>
    </xf>
    <xf numFmtId="0" fontId="31" fillId="0" borderId="128" xfId="48" applyFont="1" applyBorder="1" applyAlignment="1">
      <alignment horizontal="left" vertical="center"/>
    </xf>
    <xf numFmtId="0" fontId="31" fillId="0" borderId="129" xfId="48" applyFont="1" applyBorder="1" applyAlignment="1">
      <alignment horizontal="center" vertical="center"/>
    </xf>
    <xf numFmtId="0" fontId="31" fillId="0" borderId="129" xfId="48" applyFont="1" applyBorder="1" applyAlignment="1">
      <alignment horizontal="left" vertical="center"/>
    </xf>
    <xf numFmtId="177" fontId="31" fillId="0" borderId="130" xfId="48" applyNumberFormat="1" applyFont="1" applyBorder="1" applyAlignment="1">
      <alignment horizontal="right" vertical="center"/>
    </xf>
    <xf numFmtId="0" fontId="32" fillId="0" borderId="131" xfId="48" applyFont="1" applyBorder="1"/>
    <xf numFmtId="0" fontId="2" fillId="0" borderId="0" xfId="33"/>
    <xf numFmtId="0" fontId="24" fillId="7" borderId="5" xfId="33" applyFont="1" applyFill="1" applyBorder="1" applyAlignment="1">
      <alignment horizontal="center" vertical="center"/>
    </xf>
    <xf numFmtId="0" fontId="24" fillId="7" borderId="1" xfId="33" applyFont="1" applyFill="1" applyBorder="1" applyAlignment="1">
      <alignment horizontal="center" vertical="center"/>
    </xf>
    <xf numFmtId="0" fontId="24" fillId="7" borderId="6" xfId="33" applyFont="1" applyFill="1" applyBorder="1" applyAlignment="1">
      <alignment horizontal="center" vertical="center"/>
    </xf>
    <xf numFmtId="0" fontId="24" fillId="7" borderId="5" xfId="33" applyFont="1" applyFill="1" applyBorder="1"/>
    <xf numFmtId="0" fontId="24" fillId="7" borderId="1" xfId="33" applyFont="1" applyFill="1" applyBorder="1"/>
    <xf numFmtId="0" fontId="24" fillId="7" borderId="6" xfId="33" applyFont="1" applyFill="1" applyBorder="1"/>
    <xf numFmtId="0" fontId="36" fillId="0" borderId="0" xfId="33" applyFont="1"/>
    <xf numFmtId="0" fontId="2" fillId="0" borderId="5" xfId="33" applyBorder="1" applyAlignment="1">
      <alignment horizontal="center" vertical="center"/>
    </xf>
    <xf numFmtId="0" fontId="2" fillId="0" borderId="1" xfId="33" applyBorder="1" applyAlignment="1">
      <alignment vertical="center" wrapText="1"/>
    </xf>
    <xf numFmtId="0" fontId="2" fillId="0" borderId="1" xfId="33" applyBorder="1" applyAlignment="1">
      <alignment horizontal="center" vertical="center"/>
    </xf>
    <xf numFmtId="202" fontId="0" fillId="0" borderId="1" xfId="44" applyNumberFormat="1" applyFont="1" applyBorder="1" applyAlignment="1">
      <alignment vertical="center"/>
    </xf>
    <xf numFmtId="203" fontId="0" fillId="0" borderId="6" xfId="44" applyNumberFormat="1" applyFont="1" applyBorder="1" applyAlignment="1">
      <alignment vertical="center"/>
    </xf>
    <xf numFmtId="0" fontId="37" fillId="0" borderId="0" xfId="49" applyFont="1" applyAlignment="1">
      <alignment horizontal="center"/>
    </xf>
    <xf numFmtId="0" fontId="2" fillId="7" borderId="1" xfId="33" applyFill="1" applyBorder="1" applyAlignment="1">
      <alignment wrapText="1"/>
    </xf>
    <xf numFmtId="0" fontId="2" fillId="7" borderId="1" xfId="33" applyFill="1" applyBorder="1" applyAlignment="1">
      <alignment horizontal="center"/>
    </xf>
    <xf numFmtId="202" fontId="0" fillId="7" borderId="1" xfId="44" applyNumberFormat="1" applyFont="1" applyFill="1" applyBorder="1"/>
    <xf numFmtId="203" fontId="0" fillId="7" borderId="6" xfId="44" applyNumberFormat="1" applyFont="1" applyFill="1" applyBorder="1"/>
    <xf numFmtId="0" fontId="2" fillId="0" borderId="1" xfId="33" applyBorder="1" applyAlignment="1">
      <alignment horizontal="justify" vertical="center" wrapText="1"/>
    </xf>
    <xf numFmtId="0" fontId="2" fillId="7" borderId="1" xfId="33" applyFill="1" applyBorder="1" applyAlignment="1">
      <alignment vertical="center" wrapText="1"/>
    </xf>
    <xf numFmtId="0" fontId="2" fillId="7" borderId="1" xfId="33" applyFill="1" applyBorder="1" applyAlignment="1">
      <alignment horizontal="center" vertical="center"/>
    </xf>
    <xf numFmtId="202" fontId="0" fillId="7" borderId="1" xfId="44" applyNumberFormat="1" applyFont="1" applyFill="1" applyBorder="1" applyAlignment="1">
      <alignment vertical="center"/>
    </xf>
    <xf numFmtId="203" fontId="0" fillId="7" borderId="6" xfId="44" applyNumberFormat="1" applyFont="1" applyFill="1" applyBorder="1" applyAlignment="1">
      <alignment vertical="center"/>
    </xf>
    <xf numFmtId="0" fontId="2" fillId="0" borderId="47" xfId="33" applyBorder="1" applyAlignment="1">
      <alignment horizontal="center" vertical="center"/>
    </xf>
    <xf numFmtId="0" fontId="2" fillId="0" borderId="48" xfId="33" applyBorder="1" applyAlignment="1">
      <alignment vertical="center" wrapText="1"/>
    </xf>
    <xf numFmtId="0" fontId="2" fillId="0" borderId="48" xfId="33" applyBorder="1" applyAlignment="1">
      <alignment horizontal="center" vertical="center"/>
    </xf>
    <xf numFmtId="202" fontId="0" fillId="0" borderId="48" xfId="44" applyNumberFormat="1" applyFont="1" applyBorder="1" applyAlignment="1">
      <alignment vertical="center"/>
    </xf>
    <xf numFmtId="0" fontId="2" fillId="0" borderId="11" xfId="33" applyBorder="1" applyAlignment="1">
      <alignment horizontal="center" vertical="center"/>
    </xf>
    <xf numFmtId="0" fontId="2" fillId="0" borderId="12" xfId="33" applyBorder="1" applyAlignment="1">
      <alignment vertical="center" wrapText="1"/>
    </xf>
    <xf numFmtId="0" fontId="2" fillId="0" borderId="12" xfId="33" applyBorder="1" applyAlignment="1">
      <alignment horizontal="center" vertical="center"/>
    </xf>
    <xf numFmtId="203" fontId="0" fillId="0" borderId="13" xfId="44" applyNumberFormat="1" applyFont="1" applyBorder="1" applyAlignment="1">
      <alignment vertical="center"/>
    </xf>
    <xf numFmtId="0" fontId="2" fillId="0" borderId="0" xfId="33" applyAlignment="1">
      <alignment horizontal="center" vertical="center"/>
    </xf>
    <xf numFmtId="0" fontId="2" fillId="0" borderId="0" xfId="33" applyAlignment="1">
      <alignment vertical="center" wrapText="1"/>
    </xf>
    <xf numFmtId="202" fontId="0" fillId="0" borderId="0" xfId="44" applyNumberFormat="1" applyFont="1" applyAlignment="1">
      <alignment vertical="center"/>
    </xf>
    <xf numFmtId="203" fontId="0" fillId="0" borderId="0" xfId="44" applyNumberFormat="1" applyFont="1" applyAlignment="1">
      <alignment vertical="center"/>
    </xf>
    <xf numFmtId="203" fontId="0" fillId="0" borderId="36" xfId="44" applyNumberFormat="1" applyFont="1" applyBorder="1" applyAlignment="1">
      <alignment vertical="center"/>
    </xf>
    <xf numFmtId="2" fontId="2" fillId="0" borderId="10" xfId="33" applyNumberFormat="1" applyBorder="1" applyAlignment="1">
      <alignment horizontal="center" vertical="center"/>
    </xf>
    <xf numFmtId="202" fontId="0" fillId="13" borderId="12" xfId="44" applyNumberFormat="1" applyFont="1" applyFill="1" applyBorder="1" applyAlignment="1">
      <alignment vertical="center"/>
    </xf>
    <xf numFmtId="173" fontId="16" fillId="0" borderId="0" xfId="0" applyNumberFormat="1" applyFont="1" applyAlignment="1">
      <alignment horizontal="center" vertical="center" wrapText="1"/>
    </xf>
    <xf numFmtId="44" fontId="3" fillId="0" borderId="0" xfId="1" applyFont="1" applyBorder="1" applyAlignment="1">
      <alignment horizontal="center" vertical="center"/>
    </xf>
    <xf numFmtId="0" fontId="38" fillId="2" borderId="1" xfId="50" applyFont="1" applyFill="1" applyBorder="1" applyAlignment="1">
      <alignment horizontal="center" vertical="center" wrapText="1"/>
    </xf>
    <xf numFmtId="0" fontId="38" fillId="22" borderId="1" xfId="50" applyFont="1" applyFill="1" applyBorder="1" applyAlignment="1">
      <alignment horizontal="left" vertical="center" wrapText="1"/>
    </xf>
    <xf numFmtId="0" fontId="39" fillId="0" borderId="5" xfId="50" applyFont="1" applyBorder="1" applyAlignment="1">
      <alignment horizontal="center" vertical="center" wrapText="1"/>
    </xf>
    <xf numFmtId="0" fontId="40" fillId="0" borderId="1" xfId="51" applyFont="1" applyBorder="1" applyAlignment="1">
      <alignment horizontal="left" vertical="center" wrapText="1"/>
    </xf>
    <xf numFmtId="0" fontId="40" fillId="0" borderId="1" xfId="50" applyFont="1" applyBorder="1" applyAlignment="1">
      <alignment horizontal="left" vertical="center" wrapText="1"/>
    </xf>
    <xf numFmtId="0" fontId="38" fillId="22" borderId="1" xfId="50" applyFont="1" applyFill="1" applyBorder="1" applyAlignment="1">
      <alignment horizontal="left" vertical="center"/>
    </xf>
    <xf numFmtId="0" fontId="41" fillId="13" borderId="1" xfId="50" applyFont="1" applyFill="1" applyBorder="1" applyAlignment="1">
      <alignment vertical="center" wrapText="1"/>
    </xf>
    <xf numFmtId="0" fontId="42" fillId="22" borderId="1" xfId="51" applyFont="1" applyFill="1" applyBorder="1" applyAlignment="1">
      <alignment horizontal="left" vertical="center" wrapText="1"/>
    </xf>
    <xf numFmtId="0" fontId="39" fillId="0" borderId="1" xfId="33" applyFont="1" applyBorder="1" applyAlignment="1">
      <alignment horizontal="left" vertical="center" wrapText="1"/>
    </xf>
    <xf numFmtId="7" fontId="38" fillId="2" borderId="1" xfId="51" applyNumberFormat="1" applyFont="1" applyFill="1" applyBorder="1" applyAlignment="1">
      <alignment horizontal="center" vertical="center" wrapText="1"/>
    </xf>
    <xf numFmtId="0" fontId="43" fillId="0" borderId="0" xfId="52" applyFont="1" applyAlignment="1">
      <alignment vertical="center"/>
    </xf>
    <xf numFmtId="7" fontId="39" fillId="22" borderId="1" xfId="53" applyNumberFormat="1" applyFont="1" applyFill="1" applyBorder="1" applyAlignment="1">
      <alignment vertical="center"/>
    </xf>
    <xf numFmtId="7" fontId="39" fillId="0" borderId="1" xfId="53" applyNumberFormat="1" applyFont="1" applyBorder="1" applyAlignment="1">
      <alignment horizontal="right" vertical="center" wrapText="1"/>
    </xf>
    <xf numFmtId="42" fontId="47" fillId="0" borderId="0" xfId="53" applyFont="1" applyAlignment="1">
      <alignment vertical="center"/>
    </xf>
    <xf numFmtId="0" fontId="2" fillId="0" borderId="0" xfId="52" applyAlignment="1">
      <alignment vertical="center"/>
    </xf>
    <xf numFmtId="204" fontId="44" fillId="0" borderId="0" xfId="55" applyNumberFormat="1" applyFont="1" applyBorder="1" applyAlignment="1">
      <alignment horizontal="left" vertical="center" wrapText="1"/>
    </xf>
    <xf numFmtId="202" fontId="2" fillId="0" borderId="0" xfId="57" applyNumberFormat="1" applyFont="1" applyAlignment="1">
      <alignment vertical="center"/>
    </xf>
    <xf numFmtId="0" fontId="2" fillId="0" borderId="0" xfId="54" applyAlignment="1">
      <alignment vertical="center"/>
    </xf>
    <xf numFmtId="7" fontId="39" fillId="22" borderId="1" xfId="53" applyNumberFormat="1" applyFont="1" applyFill="1" applyBorder="1" applyAlignment="1">
      <alignment horizontal="right" vertical="center" wrapText="1"/>
    </xf>
    <xf numFmtId="0" fontId="2" fillId="0" borderId="0" xfId="52" applyAlignment="1">
      <alignment horizontal="left" vertical="center"/>
    </xf>
    <xf numFmtId="0" fontId="1" fillId="0" borderId="0" xfId="29"/>
    <xf numFmtId="0" fontId="49" fillId="13" borderId="0" xfId="29" applyFont="1" applyFill="1"/>
    <xf numFmtId="0" fontId="1" fillId="13" borderId="0" xfId="29" applyFill="1"/>
    <xf numFmtId="0" fontId="1" fillId="16" borderId="0" xfId="29" applyFill="1"/>
    <xf numFmtId="0" fontId="1" fillId="25" borderId="0" xfId="29" applyFill="1"/>
    <xf numFmtId="0" fontId="39" fillId="0" borderId="1" xfId="58" applyFont="1" applyBorder="1" applyAlignment="1">
      <alignment horizontal="left" vertical="center" wrapText="1"/>
    </xf>
    <xf numFmtId="0" fontId="39" fillId="0" borderId="1" xfId="58" applyFont="1" applyBorder="1" applyAlignment="1">
      <alignment horizontal="center" vertical="center" wrapText="1"/>
    </xf>
    <xf numFmtId="0" fontId="39" fillId="0" borderId="48" xfId="58" applyFont="1" applyBorder="1" applyAlignment="1">
      <alignment horizontal="center" vertical="center" wrapText="1"/>
    </xf>
    <xf numFmtId="3" fontId="39" fillId="0" borderId="1" xfId="58" applyNumberFormat="1" applyFont="1" applyBorder="1" applyAlignment="1">
      <alignment horizontal="center" vertical="center" wrapText="1"/>
    </xf>
    <xf numFmtId="0" fontId="39" fillId="0" borderId="1" xfId="58" applyFont="1" applyBorder="1" applyAlignment="1">
      <alignment horizontal="center" vertical="center"/>
    </xf>
    <xf numFmtId="0" fontId="1" fillId="16" borderId="1" xfId="29" applyFill="1" applyBorder="1" applyAlignment="1">
      <alignment horizontal="center" vertical="center"/>
    </xf>
    <xf numFmtId="173" fontId="39" fillId="13" borderId="1" xfId="58" applyNumberFormat="1" applyFont="1" applyFill="1" applyBorder="1" applyAlignment="1">
      <alignment horizontal="center" vertical="center"/>
    </xf>
    <xf numFmtId="3" fontId="39" fillId="0" borderId="1" xfId="58" applyNumberFormat="1" applyFont="1" applyBorder="1" applyAlignment="1">
      <alignment horizontal="center" vertical="center"/>
    </xf>
    <xf numFmtId="173" fontId="1" fillId="0" borderId="0" xfId="29" applyNumberFormat="1"/>
    <xf numFmtId="173" fontId="39" fillId="0" borderId="1" xfId="58" applyNumberFormat="1" applyFont="1" applyBorder="1" applyAlignment="1">
      <alignment horizontal="center" vertical="center"/>
    </xf>
    <xf numFmtId="0" fontId="39" fillId="0" borderId="48" xfId="58" applyFont="1" applyBorder="1" applyAlignment="1">
      <alignment horizontal="center" vertical="center"/>
    </xf>
    <xf numFmtId="0" fontId="1" fillId="13" borderId="1" xfId="29" applyFill="1" applyBorder="1" applyAlignment="1">
      <alignment horizontal="center" vertical="center"/>
    </xf>
    <xf numFmtId="173" fontId="39" fillId="0" borderId="48" xfId="58" applyNumberFormat="1" applyFont="1" applyBorder="1" applyAlignment="1">
      <alignment horizontal="center" vertical="center"/>
    </xf>
    <xf numFmtId="0" fontId="1" fillId="0" borderId="0" xfId="29" applyAlignment="1">
      <alignment vertical="center"/>
    </xf>
    <xf numFmtId="0" fontId="45" fillId="13" borderId="48" xfId="58" applyFont="1" applyFill="1" applyBorder="1" applyAlignment="1">
      <alignment horizontal="center" vertical="center"/>
    </xf>
    <xf numFmtId="0" fontId="1" fillId="0" borderId="1" xfId="29" applyBorder="1" applyAlignment="1">
      <alignment horizontal="center" vertical="center"/>
    </xf>
    <xf numFmtId="0" fontId="39" fillId="0" borderId="10" xfId="41" applyFont="1" applyBorder="1" applyAlignment="1">
      <alignment horizontal="left" vertical="center" wrapText="1"/>
    </xf>
    <xf numFmtId="202" fontId="0" fillId="0" borderId="36" xfId="57" applyNumberFormat="1" applyFont="1" applyBorder="1" applyAlignment="1">
      <alignment vertical="center"/>
    </xf>
    <xf numFmtId="0" fontId="50" fillId="0" borderId="50" xfId="58" applyFont="1" applyBorder="1" applyAlignment="1">
      <alignment horizontal="left" vertical="center"/>
    </xf>
    <xf numFmtId="0" fontId="1" fillId="0" borderId="58" xfId="29" applyBorder="1"/>
    <xf numFmtId="0" fontId="1" fillId="0" borderId="41" xfId="29" applyBorder="1"/>
    <xf numFmtId="0" fontId="1" fillId="0" borderId="58" xfId="29" applyBorder="1" applyAlignment="1">
      <alignment wrapText="1"/>
    </xf>
    <xf numFmtId="2" fontId="1" fillId="13" borderId="0" xfId="29" applyNumberFormat="1" applyFill="1"/>
    <xf numFmtId="0" fontId="49" fillId="0" borderId="0" xfId="29" applyFont="1"/>
    <xf numFmtId="0" fontId="39" fillId="0" borderId="5" xfId="58" applyFont="1" applyBorder="1" applyAlignment="1">
      <alignment horizontal="left" vertical="center" wrapText="1"/>
    </xf>
    <xf numFmtId="0" fontId="1" fillId="0" borderId="41" xfId="29" applyBorder="1" applyAlignment="1">
      <alignment vertical="center"/>
    </xf>
    <xf numFmtId="0" fontId="39" fillId="0" borderId="5" xfId="41" applyFont="1" applyBorder="1" applyAlignment="1">
      <alignment horizontal="left" vertical="center" wrapText="1"/>
    </xf>
    <xf numFmtId="0" fontId="39" fillId="0" borderId="11" xfId="41" applyFont="1" applyBorder="1" applyAlignment="1">
      <alignment horizontal="left" vertical="center" wrapText="1"/>
    </xf>
    <xf numFmtId="0" fontId="39" fillId="0" borderId="12" xfId="58" applyFont="1" applyBorder="1" applyAlignment="1">
      <alignment horizontal="center" vertical="center"/>
    </xf>
    <xf numFmtId="0" fontId="1" fillId="0" borderId="12" xfId="29" applyBorder="1" applyAlignment="1">
      <alignment horizontal="center" vertical="center"/>
    </xf>
    <xf numFmtId="173" fontId="39" fillId="0" borderId="12" xfId="58" applyNumberFormat="1" applyFont="1" applyBorder="1" applyAlignment="1">
      <alignment horizontal="center" vertical="center"/>
    </xf>
    <xf numFmtId="3" fontId="39" fillId="0" borderId="12" xfId="58" applyNumberFormat="1" applyFont="1" applyBorder="1" applyAlignment="1">
      <alignment horizontal="center" vertical="center"/>
    </xf>
    <xf numFmtId="0" fontId="1" fillId="0" borderId="26" xfId="29" applyBorder="1"/>
    <xf numFmtId="0" fontId="1" fillId="0" borderId="27" xfId="29" applyBorder="1"/>
    <xf numFmtId="0" fontId="1" fillId="0" borderId="0" xfId="29" applyAlignment="1">
      <alignment vertical="center" wrapText="1"/>
    </xf>
    <xf numFmtId="0" fontId="1" fillId="0" borderId="0" xfId="29" applyAlignment="1">
      <alignment wrapText="1"/>
    </xf>
    <xf numFmtId="44" fontId="16" fillId="2" borderId="1" xfId="1" applyFont="1" applyFill="1" applyBorder="1" applyAlignment="1">
      <alignment horizontal="center" vertical="center" wrapText="1"/>
    </xf>
    <xf numFmtId="0" fontId="38" fillId="2" borderId="5" xfId="50" applyFont="1" applyFill="1" applyBorder="1" applyAlignment="1">
      <alignment horizontal="center" vertical="center" wrapText="1"/>
    </xf>
    <xf numFmtId="0" fontId="0" fillId="0" borderId="41" xfId="0" applyBorder="1"/>
    <xf numFmtId="0" fontId="38" fillId="22" borderId="5" xfId="50" applyFont="1" applyFill="1" applyBorder="1" applyAlignment="1">
      <alignment horizontal="center" vertical="center" wrapText="1"/>
    </xf>
    <xf numFmtId="0" fontId="43" fillId="0" borderId="41" xfId="52" applyFont="1" applyBorder="1" applyAlignment="1">
      <alignment vertical="center"/>
    </xf>
    <xf numFmtId="0" fontId="39" fillId="23" borderId="0" xfId="54" applyFont="1" applyFill="1" applyAlignment="1">
      <alignment vertical="center"/>
    </xf>
    <xf numFmtId="0" fontId="43" fillId="23" borderId="0" xfId="54" applyFont="1" applyFill="1" applyAlignment="1">
      <alignment vertical="center"/>
    </xf>
    <xf numFmtId="0" fontId="43" fillId="0" borderId="41" xfId="54" applyFont="1" applyBorder="1" applyAlignment="1">
      <alignment vertical="center"/>
    </xf>
    <xf numFmtId="5" fontId="39" fillId="23" borderId="0" xfId="53" applyNumberFormat="1" applyFont="1" applyFill="1" applyBorder="1" applyAlignment="1">
      <alignment horizontal="center" vertical="center"/>
    </xf>
    <xf numFmtId="9" fontId="39" fillId="23" borderId="0" xfId="54" applyNumberFormat="1" applyFont="1" applyFill="1" applyAlignment="1">
      <alignment horizontal="center" vertical="center"/>
    </xf>
    <xf numFmtId="5" fontId="45" fillId="23" borderId="0" xfId="53" applyNumberFormat="1" applyFont="1" applyFill="1" applyBorder="1" applyAlignment="1">
      <alignment horizontal="center" vertical="center"/>
    </xf>
    <xf numFmtId="0" fontId="39" fillId="23" borderId="0" xfId="54" applyFont="1" applyFill="1" applyAlignment="1">
      <alignment horizontal="center" vertical="center"/>
    </xf>
    <xf numFmtId="0" fontId="43" fillId="0" borderId="0" xfId="54" applyFont="1" applyAlignment="1">
      <alignment vertical="center"/>
    </xf>
    <xf numFmtId="3" fontId="46" fillId="0" borderId="0" xfId="50" applyNumberFormat="1" applyFont="1" applyAlignment="1">
      <alignment horizontal="center" wrapText="1"/>
    </xf>
    <xf numFmtId="0" fontId="43" fillId="11" borderId="0" xfId="54" applyFont="1" applyFill="1" applyAlignment="1">
      <alignment vertical="center"/>
    </xf>
    <xf numFmtId="0" fontId="39" fillId="11" borderId="0" xfId="54" applyFont="1" applyFill="1" applyAlignment="1">
      <alignment vertical="center"/>
    </xf>
    <xf numFmtId="0" fontId="39" fillId="21" borderId="0" xfId="54" applyFont="1" applyFill="1" applyAlignment="1">
      <alignment vertical="center"/>
    </xf>
    <xf numFmtId="2" fontId="39" fillId="21" borderId="41" xfId="54" applyNumberFormat="1" applyFont="1" applyFill="1" applyBorder="1" applyAlignment="1">
      <alignment vertical="center"/>
    </xf>
    <xf numFmtId="42" fontId="47" fillId="0" borderId="0" xfId="53" applyFont="1" applyBorder="1" applyAlignment="1">
      <alignment vertical="center"/>
    </xf>
    <xf numFmtId="173" fontId="39" fillId="11" borderId="0" xfId="54" applyNumberFormat="1" applyFont="1" applyFill="1" applyAlignment="1">
      <alignment vertical="center"/>
    </xf>
    <xf numFmtId="0" fontId="39" fillId="11" borderId="41" xfId="54" applyFont="1" applyFill="1" applyBorder="1" applyAlignment="1">
      <alignment vertical="center"/>
    </xf>
    <xf numFmtId="42" fontId="47" fillId="0" borderId="0" xfId="53" applyFont="1" applyBorder="1"/>
    <xf numFmtId="0" fontId="2" fillId="0" borderId="41" xfId="33" applyBorder="1"/>
    <xf numFmtId="42" fontId="47" fillId="0" borderId="0" xfId="56" applyFont="1" applyBorder="1" applyAlignment="1">
      <alignment vertical="center"/>
    </xf>
    <xf numFmtId="202" fontId="2" fillId="0" borderId="0" xfId="57" applyNumberFormat="1" applyFont="1" applyBorder="1" applyAlignment="1">
      <alignment vertical="center"/>
    </xf>
    <xf numFmtId="0" fontId="2" fillId="0" borderId="41" xfId="54" applyBorder="1" applyAlignment="1">
      <alignment vertical="center"/>
    </xf>
    <xf numFmtId="0" fontId="2" fillId="24" borderId="0" xfId="54" applyFill="1" applyAlignment="1">
      <alignment vertical="center"/>
    </xf>
    <xf numFmtId="173" fontId="2" fillId="24" borderId="0" xfId="54" applyNumberFormat="1" applyFill="1" applyAlignment="1">
      <alignment vertical="center"/>
    </xf>
    <xf numFmtId="0" fontId="2" fillId="0" borderId="41" xfId="52" applyBorder="1" applyAlignment="1">
      <alignment vertical="center"/>
    </xf>
    <xf numFmtId="0" fontId="38" fillId="22" borderId="5" xfId="51" applyFont="1" applyFill="1" applyBorder="1" applyAlignment="1">
      <alignment horizontal="center" vertical="center" wrapText="1"/>
    </xf>
    <xf numFmtId="0" fontId="39" fillId="0" borderId="5" xfId="51" applyFont="1" applyBorder="1" applyAlignment="1">
      <alignment horizontal="center" vertical="center" wrapText="1"/>
    </xf>
    <xf numFmtId="0" fontId="39" fillId="0" borderId="11" xfId="50" applyFont="1" applyBorder="1" applyAlignment="1">
      <alignment horizontal="center" vertical="center" wrapText="1"/>
    </xf>
    <xf numFmtId="0" fontId="40" fillId="0" borderId="12" xfId="50" applyFont="1" applyBorder="1" applyAlignment="1">
      <alignment horizontal="left" vertical="center" wrapText="1"/>
    </xf>
    <xf numFmtId="7" fontId="39" fillId="0" borderId="12" xfId="53" applyNumberFormat="1" applyFont="1" applyBorder="1" applyAlignment="1">
      <alignment horizontal="right" vertical="center" wrapText="1"/>
    </xf>
    <xf numFmtId="0" fontId="2" fillId="0" borderId="26" xfId="52" applyBorder="1" applyAlignment="1">
      <alignment vertical="center"/>
    </xf>
    <xf numFmtId="0" fontId="2" fillId="0" borderId="27" xfId="52" applyBorder="1" applyAlignment="1">
      <alignment vertical="center"/>
    </xf>
    <xf numFmtId="2" fontId="37" fillId="0" borderId="1" xfId="0" applyNumberFormat="1" applyFont="1" applyBorder="1" applyAlignment="1">
      <alignment horizontal="center" vertical="center"/>
    </xf>
    <xf numFmtId="2" fontId="37" fillId="0" borderId="1" xfId="2" applyNumberFormat="1" applyFont="1" applyBorder="1" applyAlignment="1">
      <alignment horizontal="center" vertical="center"/>
    </xf>
    <xf numFmtId="0" fontId="2" fillId="5" borderId="1" xfId="0" applyFont="1" applyFill="1" applyBorder="1" applyAlignment="1" applyProtection="1">
      <alignment vertical="center" wrapText="1"/>
      <protection locked="0"/>
    </xf>
    <xf numFmtId="0" fontId="2" fillId="0" borderId="1" xfId="0" applyFont="1" applyBorder="1" applyAlignment="1" applyProtection="1">
      <alignment vertical="center" wrapText="1"/>
      <protection locked="0"/>
    </xf>
    <xf numFmtId="49" fontId="2" fillId="5" borderId="1" xfId="0" applyNumberFormat="1" applyFont="1" applyFill="1" applyBorder="1" applyAlignment="1" applyProtection="1">
      <alignment vertical="center" wrapText="1"/>
      <protection locked="0"/>
    </xf>
    <xf numFmtId="2" fontId="53" fillId="0" borderId="0" xfId="0" applyNumberFormat="1" applyFont="1" applyAlignment="1">
      <alignment horizontal="center"/>
    </xf>
    <xf numFmtId="0" fontId="53" fillId="0" borderId="0" xfId="0" applyFont="1" applyAlignment="1">
      <alignment horizontal="center" vertical="center"/>
    </xf>
    <xf numFmtId="0" fontId="53" fillId="0" borderId="0" xfId="0" applyFont="1"/>
    <xf numFmtId="0" fontId="52" fillId="0" borderId="1" xfId="0" applyFont="1" applyBorder="1"/>
    <xf numFmtId="0" fontId="53" fillId="0" borderId="1" xfId="0" applyFont="1" applyBorder="1"/>
    <xf numFmtId="174" fontId="52" fillId="0" borderId="1" xfId="0" applyNumberFormat="1" applyFont="1" applyBorder="1"/>
    <xf numFmtId="0" fontId="53" fillId="5" borderId="1" xfId="0" applyFont="1" applyFill="1" applyBorder="1"/>
    <xf numFmtId="2" fontId="53" fillId="0" borderId="1" xfId="0" applyNumberFormat="1" applyFont="1" applyBorder="1" applyAlignment="1">
      <alignment horizontal="center"/>
    </xf>
    <xf numFmtId="0" fontId="53" fillId="0" borderId="1" xfId="0" applyFont="1" applyBorder="1" applyAlignment="1">
      <alignment horizontal="center" vertical="center"/>
    </xf>
    <xf numFmtId="2" fontId="53" fillId="0" borderId="10" xfId="0" applyNumberFormat="1" applyFont="1" applyBorder="1" applyAlignment="1">
      <alignment horizontal="center"/>
    </xf>
    <xf numFmtId="0" fontId="55" fillId="26" borderId="1" xfId="0" applyFont="1" applyFill="1" applyBorder="1"/>
    <xf numFmtId="173" fontId="55" fillId="26" borderId="1" xfId="0" applyNumberFormat="1" applyFont="1" applyFill="1" applyBorder="1" applyAlignment="1">
      <alignment horizontal="center"/>
    </xf>
    <xf numFmtId="0" fontId="55" fillId="26" borderId="1" xfId="0" applyFont="1" applyFill="1" applyBorder="1" applyAlignment="1">
      <alignment horizontal="center" vertical="center"/>
    </xf>
    <xf numFmtId="173" fontId="55" fillId="26" borderId="10" xfId="0" applyNumberFormat="1" applyFont="1" applyFill="1" applyBorder="1" applyAlignment="1">
      <alignment horizontal="center"/>
    </xf>
    <xf numFmtId="173" fontId="55" fillId="13" borderId="1" xfId="0" applyNumberFormat="1" applyFont="1" applyFill="1" applyBorder="1"/>
    <xf numFmtId="0" fontId="56" fillId="0" borderId="1" xfId="0" applyFont="1" applyBorder="1" applyAlignment="1">
      <alignment horizontal="center" vertical="center"/>
    </xf>
    <xf numFmtId="10" fontId="53" fillId="0" borderId="1" xfId="2" applyNumberFormat="1" applyFont="1" applyBorder="1"/>
    <xf numFmtId="173" fontId="55" fillId="13" borderId="10" xfId="0" applyNumberFormat="1" applyFont="1" applyFill="1" applyBorder="1"/>
    <xf numFmtId="173" fontId="53" fillId="0" borderId="1" xfId="0" applyNumberFormat="1" applyFont="1" applyBorder="1"/>
    <xf numFmtId="173" fontId="53" fillId="0" borderId="10" xfId="0" applyNumberFormat="1" applyFont="1" applyBorder="1"/>
    <xf numFmtId="0" fontId="55" fillId="25" borderId="1" xfId="0" applyFont="1" applyFill="1" applyBorder="1"/>
    <xf numFmtId="0" fontId="53" fillId="25" borderId="1" xfId="0" applyFont="1" applyFill="1" applyBorder="1"/>
    <xf numFmtId="0" fontId="53" fillId="25" borderId="1" xfId="0" applyFont="1" applyFill="1" applyBorder="1" applyAlignment="1">
      <alignment horizontal="center" vertical="center"/>
    </xf>
    <xf numFmtId="173" fontId="53" fillId="25" borderId="1" xfId="0" applyNumberFormat="1" applyFont="1" applyFill="1" applyBorder="1" applyAlignment="1">
      <alignment horizontal="center" vertical="center"/>
    </xf>
    <xf numFmtId="173" fontId="53" fillId="25" borderId="10" xfId="0" applyNumberFormat="1" applyFont="1" applyFill="1" applyBorder="1" applyAlignment="1">
      <alignment horizontal="center" vertical="center"/>
    </xf>
    <xf numFmtId="0" fontId="53" fillId="26" borderId="1" xfId="0" applyFont="1" applyFill="1" applyBorder="1"/>
    <xf numFmtId="173" fontId="53" fillId="26" borderId="1" xfId="0" applyNumberFormat="1" applyFont="1" applyFill="1" applyBorder="1"/>
    <xf numFmtId="9" fontId="53" fillId="24" borderId="1" xfId="0" applyNumberFormat="1" applyFont="1" applyFill="1" applyBorder="1" applyAlignment="1">
      <alignment horizontal="center" vertical="center"/>
    </xf>
    <xf numFmtId="173" fontId="53" fillId="26" borderId="8" xfId="0" applyNumberFormat="1" applyFont="1" applyFill="1" applyBorder="1"/>
    <xf numFmtId="0" fontId="53" fillId="26" borderId="8" xfId="0" applyFont="1" applyFill="1" applyBorder="1" applyAlignment="1">
      <alignment horizontal="center" vertical="center"/>
    </xf>
    <xf numFmtId="0" fontId="53" fillId="26" borderId="10" xfId="0" applyFont="1" applyFill="1" applyBorder="1" applyAlignment="1">
      <alignment horizontal="center" vertical="center"/>
    </xf>
    <xf numFmtId="9" fontId="53" fillId="0" borderId="1" xfId="0" applyNumberFormat="1" applyFont="1" applyBorder="1" applyAlignment="1">
      <alignment horizontal="center"/>
    </xf>
    <xf numFmtId="10" fontId="53" fillId="0" borderId="1" xfId="0" applyNumberFormat="1" applyFont="1" applyBorder="1" applyAlignment="1">
      <alignment horizontal="center"/>
    </xf>
    <xf numFmtId="0" fontId="55" fillId="27" borderId="1" xfId="0" applyFont="1" applyFill="1" applyBorder="1"/>
    <xf numFmtId="0" fontId="53" fillId="27" borderId="1" xfId="0" applyFont="1" applyFill="1" applyBorder="1"/>
    <xf numFmtId="10" fontId="53" fillId="27" borderId="1" xfId="0" applyNumberFormat="1" applyFont="1" applyFill="1" applyBorder="1" applyAlignment="1">
      <alignment horizontal="center"/>
    </xf>
    <xf numFmtId="173" fontId="53" fillId="27" borderId="1" xfId="0" applyNumberFormat="1" applyFont="1" applyFill="1" applyBorder="1"/>
    <xf numFmtId="0" fontId="53" fillId="27" borderId="1" xfId="0" applyFont="1" applyFill="1" applyBorder="1" applyAlignment="1">
      <alignment horizontal="center" vertical="center"/>
    </xf>
    <xf numFmtId="173" fontId="53" fillId="27" borderId="8" xfId="0" applyNumberFormat="1" applyFont="1" applyFill="1" applyBorder="1"/>
    <xf numFmtId="0" fontId="53" fillId="27" borderId="8" xfId="0" applyFont="1" applyFill="1" applyBorder="1" applyAlignment="1">
      <alignment horizontal="center" vertical="center"/>
    </xf>
    <xf numFmtId="0" fontId="53" fillId="27" borderId="10" xfId="0" applyFont="1" applyFill="1" applyBorder="1" applyAlignment="1">
      <alignment horizontal="center" vertical="center"/>
    </xf>
    <xf numFmtId="0" fontId="55" fillId="28" borderId="1" xfId="0" applyFont="1" applyFill="1" applyBorder="1"/>
    <xf numFmtId="0" fontId="53" fillId="28" borderId="1" xfId="0" applyFont="1" applyFill="1" applyBorder="1"/>
    <xf numFmtId="9" fontId="53" fillId="28" borderId="1" xfId="0" applyNumberFormat="1" applyFont="1" applyFill="1" applyBorder="1" applyAlignment="1">
      <alignment horizontal="center"/>
    </xf>
    <xf numFmtId="173" fontId="53" fillId="28" borderId="1" xfId="0" applyNumberFormat="1" applyFont="1" applyFill="1" applyBorder="1"/>
    <xf numFmtId="10" fontId="53" fillId="28" borderId="1" xfId="0" applyNumberFormat="1" applyFont="1" applyFill="1" applyBorder="1" applyAlignment="1">
      <alignment horizontal="center"/>
    </xf>
    <xf numFmtId="173" fontId="53" fillId="28" borderId="8" xfId="0" applyNumberFormat="1" applyFont="1" applyFill="1" applyBorder="1"/>
    <xf numFmtId="10" fontId="53" fillId="28" borderId="8" xfId="0" applyNumberFormat="1" applyFont="1" applyFill="1" applyBorder="1" applyAlignment="1">
      <alignment horizontal="center"/>
    </xf>
    <xf numFmtId="10" fontId="53" fillId="28" borderId="10" xfId="0" applyNumberFormat="1" applyFont="1" applyFill="1" applyBorder="1" applyAlignment="1">
      <alignment horizontal="center"/>
    </xf>
    <xf numFmtId="184" fontId="53" fillId="13" borderId="1" xfId="0" applyNumberFormat="1" applyFont="1" applyFill="1" applyBorder="1" applyAlignment="1">
      <alignment horizontal="center"/>
    </xf>
    <xf numFmtId="0" fontId="55" fillId="29" borderId="1" xfId="0" applyFont="1" applyFill="1" applyBorder="1"/>
    <xf numFmtId="0" fontId="53" fillId="29" borderId="1" xfId="0" applyFont="1" applyFill="1" applyBorder="1"/>
    <xf numFmtId="9" fontId="53" fillId="29" borderId="1" xfId="0" applyNumberFormat="1" applyFont="1" applyFill="1" applyBorder="1" applyAlignment="1">
      <alignment horizontal="center"/>
    </xf>
    <xf numFmtId="173" fontId="53" fillId="29" borderId="1" xfId="0" applyNumberFormat="1" applyFont="1" applyFill="1" applyBorder="1"/>
    <xf numFmtId="10" fontId="53" fillId="29" borderId="1" xfId="0" applyNumberFormat="1" applyFont="1" applyFill="1" applyBorder="1" applyAlignment="1">
      <alignment horizontal="center"/>
    </xf>
    <xf numFmtId="173" fontId="53" fillId="29" borderId="8" xfId="0" applyNumberFormat="1" applyFont="1" applyFill="1" applyBorder="1"/>
    <xf numFmtId="10" fontId="53" fillId="29" borderId="8" xfId="0" applyNumberFormat="1" applyFont="1" applyFill="1" applyBorder="1" applyAlignment="1">
      <alignment horizontal="center"/>
    </xf>
    <xf numFmtId="10" fontId="53" fillId="29" borderId="10" xfId="0" applyNumberFormat="1" applyFont="1" applyFill="1" applyBorder="1" applyAlignment="1">
      <alignment horizontal="center"/>
    </xf>
    <xf numFmtId="9" fontId="53" fillId="13" borderId="1" xfId="0" applyNumberFormat="1" applyFont="1" applyFill="1" applyBorder="1" applyAlignment="1">
      <alignment horizontal="center"/>
    </xf>
    <xf numFmtId="0" fontId="55" fillId="30" borderId="1" xfId="0" applyFont="1" applyFill="1" applyBorder="1"/>
    <xf numFmtId="0" fontId="53" fillId="30" borderId="1" xfId="0" applyFont="1" applyFill="1" applyBorder="1"/>
    <xf numFmtId="9" fontId="53" fillId="30" borderId="1" xfId="0" applyNumberFormat="1" applyFont="1" applyFill="1" applyBorder="1" applyAlignment="1">
      <alignment horizontal="center"/>
    </xf>
    <xf numFmtId="173" fontId="53" fillId="30" borderId="1" xfId="0" applyNumberFormat="1" applyFont="1" applyFill="1" applyBorder="1"/>
    <xf numFmtId="10" fontId="53" fillId="30" borderId="1" xfId="0" applyNumberFormat="1" applyFont="1" applyFill="1" applyBorder="1" applyAlignment="1">
      <alignment horizontal="center"/>
    </xf>
    <xf numFmtId="173" fontId="53" fillId="30" borderId="0" xfId="0" applyNumberFormat="1" applyFont="1" applyFill="1"/>
    <xf numFmtId="10" fontId="53" fillId="30" borderId="0" xfId="0" applyNumberFormat="1" applyFont="1" applyFill="1" applyAlignment="1">
      <alignment horizontal="center"/>
    </xf>
    <xf numFmtId="0" fontId="55" fillId="31" borderId="1" xfId="0" applyFont="1" applyFill="1" applyBorder="1"/>
    <xf numFmtId="9" fontId="55" fillId="31" borderId="1" xfId="0" applyNumberFormat="1" applyFont="1" applyFill="1" applyBorder="1" applyAlignment="1">
      <alignment horizontal="center"/>
    </xf>
    <xf numFmtId="173" fontId="55" fillId="31" borderId="1" xfId="0" applyNumberFormat="1" applyFont="1" applyFill="1" applyBorder="1"/>
    <xf numFmtId="0" fontId="53" fillId="31" borderId="1" xfId="0" applyFont="1" applyFill="1" applyBorder="1" applyAlignment="1">
      <alignment horizontal="center" vertical="center"/>
    </xf>
    <xf numFmtId="173" fontId="55" fillId="31" borderId="0" xfId="0" applyNumberFormat="1" applyFont="1" applyFill="1"/>
    <xf numFmtId="0" fontId="53" fillId="31" borderId="0" xfId="0" applyFont="1" applyFill="1" applyAlignment="1">
      <alignment horizontal="center" vertical="center"/>
    </xf>
    <xf numFmtId="10" fontId="53" fillId="26" borderId="1" xfId="0" applyNumberFormat="1" applyFont="1" applyFill="1" applyBorder="1" applyAlignment="1">
      <alignment horizontal="center" vertical="center"/>
    </xf>
    <xf numFmtId="10" fontId="53" fillId="26" borderId="48" xfId="0" applyNumberFormat="1" applyFont="1" applyFill="1" applyBorder="1" applyAlignment="1">
      <alignment horizontal="center" vertical="center"/>
    </xf>
    <xf numFmtId="2" fontId="37" fillId="21" borderId="1" xfId="2" applyNumberFormat="1" applyFont="1" applyFill="1" applyBorder="1" applyAlignment="1">
      <alignment horizontal="center" vertical="center"/>
    </xf>
    <xf numFmtId="0" fontId="55" fillId="32" borderId="1" xfId="0" applyFont="1" applyFill="1" applyBorder="1"/>
    <xf numFmtId="0" fontId="53" fillId="32" borderId="1" xfId="0" applyFont="1" applyFill="1" applyBorder="1"/>
    <xf numFmtId="173" fontId="53" fillId="32" borderId="1" xfId="0" applyNumberFormat="1" applyFont="1" applyFill="1" applyBorder="1"/>
    <xf numFmtId="0" fontId="53" fillId="32" borderId="1" xfId="0" applyFont="1" applyFill="1" applyBorder="1" applyAlignment="1">
      <alignment horizontal="center" vertical="center"/>
    </xf>
    <xf numFmtId="0" fontId="53" fillId="32" borderId="8" xfId="0" applyFont="1" applyFill="1" applyBorder="1"/>
    <xf numFmtId="0" fontId="53" fillId="32" borderId="10" xfId="0" applyFont="1" applyFill="1" applyBorder="1"/>
    <xf numFmtId="0" fontId="53" fillId="5" borderId="0" xfId="0" applyFont="1" applyFill="1"/>
    <xf numFmtId="0" fontId="53" fillId="0" borderId="136" xfId="0" applyFont="1" applyBorder="1"/>
    <xf numFmtId="173" fontId="53" fillId="0" borderId="136" xfId="0" applyNumberFormat="1" applyFont="1" applyBorder="1"/>
    <xf numFmtId="0" fontId="53" fillId="5" borderId="0" xfId="0" applyFont="1" applyFill="1" applyAlignment="1">
      <alignment horizontal="center" vertical="center"/>
    </xf>
    <xf numFmtId="173" fontId="53" fillId="0" borderId="0" xfId="0" applyNumberFormat="1" applyFont="1"/>
    <xf numFmtId="0" fontId="53" fillId="0" borderId="135" xfId="0" applyFont="1" applyBorder="1"/>
    <xf numFmtId="173" fontId="53" fillId="0" borderId="135" xfId="0" applyNumberFormat="1" applyFont="1" applyBorder="1"/>
    <xf numFmtId="0" fontId="53" fillId="0" borderId="70" xfId="0" applyFont="1" applyBorder="1"/>
    <xf numFmtId="205" fontId="53" fillId="26" borderId="70" xfId="0" applyNumberFormat="1" applyFont="1" applyFill="1" applyBorder="1"/>
    <xf numFmtId="173" fontId="53" fillId="5" borderId="0" xfId="0" applyNumberFormat="1" applyFont="1" applyFill="1"/>
    <xf numFmtId="0" fontId="53" fillId="0" borderId="0" xfId="0" applyFont="1" applyAlignment="1">
      <alignment horizontal="center"/>
    </xf>
    <xf numFmtId="0" fontId="56" fillId="0" borderId="0" xfId="0" applyFont="1" applyAlignment="1">
      <alignment horizontal="center"/>
    </xf>
    <xf numFmtId="206" fontId="53" fillId="0" borderId="0" xfId="0" applyNumberFormat="1" applyFont="1"/>
    <xf numFmtId="0" fontId="53" fillId="23" borderId="7" xfId="0" applyFont="1" applyFill="1" applyBorder="1"/>
    <xf numFmtId="0" fontId="53" fillId="23" borderId="10" xfId="0" applyFont="1" applyFill="1" applyBorder="1"/>
    <xf numFmtId="173" fontId="53" fillId="23" borderId="8" xfId="0" applyNumberFormat="1" applyFont="1" applyFill="1" applyBorder="1"/>
    <xf numFmtId="0" fontId="53" fillId="4" borderId="0" xfId="0" applyFont="1" applyFill="1" applyAlignment="1">
      <alignment horizontal="center"/>
    </xf>
    <xf numFmtId="0" fontId="56" fillId="5" borderId="66" xfId="0" applyFont="1" applyFill="1" applyBorder="1" applyAlignment="1">
      <alignment horizontal="center"/>
    </xf>
    <xf numFmtId="0" fontId="53" fillId="5" borderId="29" xfId="0" applyFont="1" applyFill="1" applyBorder="1"/>
    <xf numFmtId="0" fontId="53" fillId="5" borderId="67" xfId="0" applyFont="1" applyFill="1" applyBorder="1"/>
    <xf numFmtId="0" fontId="53" fillId="5" borderId="28" xfId="0" applyFont="1" applyFill="1" applyBorder="1"/>
    <xf numFmtId="173" fontId="53" fillId="5" borderId="68" xfId="0" applyNumberFormat="1" applyFont="1" applyFill="1" applyBorder="1"/>
    <xf numFmtId="0" fontId="53" fillId="23" borderId="8" xfId="0" applyFont="1" applyFill="1" applyBorder="1"/>
    <xf numFmtId="0" fontId="53" fillId="23" borderId="8" xfId="0" applyFont="1" applyFill="1" applyBorder="1" applyAlignment="1">
      <alignment horizontal="center"/>
    </xf>
    <xf numFmtId="0" fontId="53" fillId="23" borderId="1" xfId="0" applyFont="1" applyFill="1" applyBorder="1" applyAlignment="1">
      <alignment horizontal="center"/>
    </xf>
    <xf numFmtId="173" fontId="53" fillId="23" borderId="1" xfId="0" applyNumberFormat="1" applyFont="1" applyFill="1" applyBorder="1" applyAlignment="1">
      <alignment horizontal="right" vertical="center"/>
    </xf>
    <xf numFmtId="0" fontId="56" fillId="5" borderId="9" xfId="0" applyFont="1" applyFill="1" applyBorder="1" applyAlignment="1">
      <alignment horizontal="center"/>
    </xf>
    <xf numFmtId="0" fontId="53" fillId="5" borderId="7" xfId="0" applyFont="1" applyFill="1" applyBorder="1"/>
    <xf numFmtId="0" fontId="53" fillId="5" borderId="8" xfId="0" applyFont="1" applyFill="1" applyBorder="1"/>
    <xf numFmtId="0" fontId="53" fillId="5" borderId="10" xfId="0" applyFont="1" applyFill="1" applyBorder="1"/>
    <xf numFmtId="3" fontId="53" fillId="5" borderId="30" xfId="0" applyNumberFormat="1" applyFont="1" applyFill="1" applyBorder="1"/>
    <xf numFmtId="0" fontId="55" fillId="23" borderId="8" xfId="0" applyFont="1" applyFill="1" applyBorder="1"/>
    <xf numFmtId="173" fontId="55" fillId="23" borderId="8" xfId="0" applyNumberFormat="1" applyFont="1" applyFill="1" applyBorder="1"/>
    <xf numFmtId="173" fontId="53" fillId="23" borderId="43" xfId="0" applyNumberFormat="1" applyFont="1" applyFill="1" applyBorder="1"/>
    <xf numFmtId="0" fontId="53" fillId="23" borderId="10" xfId="0" applyFont="1" applyFill="1" applyBorder="1" applyAlignment="1">
      <alignment horizontal="center"/>
    </xf>
    <xf numFmtId="0" fontId="55" fillId="5" borderId="1" xfId="0" applyFont="1" applyFill="1" applyBorder="1"/>
    <xf numFmtId="0" fontId="55" fillId="5" borderId="1" xfId="0" applyFont="1" applyFill="1" applyBorder="1" applyAlignment="1">
      <alignment horizontal="center"/>
    </xf>
    <xf numFmtId="0" fontId="53" fillId="5" borderId="30" xfId="0" applyFont="1" applyFill="1" applyBorder="1"/>
    <xf numFmtId="173" fontId="53" fillId="23" borderId="7" xfId="0" applyNumberFormat="1" applyFont="1" applyFill="1" applyBorder="1"/>
    <xf numFmtId="174" fontId="53" fillId="5" borderId="30" xfId="0" applyNumberFormat="1" applyFont="1" applyFill="1" applyBorder="1"/>
    <xf numFmtId="9" fontId="53" fillId="23" borderId="68" xfId="0" applyNumberFormat="1" applyFont="1" applyFill="1" applyBorder="1"/>
    <xf numFmtId="174" fontId="53" fillId="0" borderId="0" xfId="0" applyNumberFormat="1" applyFont="1"/>
    <xf numFmtId="0" fontId="53" fillId="13" borderId="7" xfId="0" applyFont="1" applyFill="1" applyBorder="1"/>
    <xf numFmtId="10" fontId="53" fillId="13" borderId="1" xfId="0" applyNumberFormat="1" applyFont="1" applyFill="1" applyBorder="1"/>
    <xf numFmtId="10" fontId="53" fillId="23" borderId="137" xfId="0" applyNumberFormat="1" applyFont="1" applyFill="1" applyBorder="1"/>
    <xf numFmtId="9" fontId="53" fillId="23" borderId="37" xfId="0" applyNumberFormat="1" applyFont="1" applyFill="1" applyBorder="1"/>
    <xf numFmtId="0" fontId="56" fillId="5" borderId="65" xfId="0" applyFont="1" applyFill="1" applyBorder="1" applyAlignment="1">
      <alignment horizontal="center"/>
    </xf>
    <xf numFmtId="0" fontId="53" fillId="5" borderId="42" xfId="0" applyFont="1" applyFill="1" applyBorder="1"/>
    <xf numFmtId="0" fontId="53" fillId="5" borderId="43" xfId="0" applyFont="1" applyFill="1" applyBorder="1"/>
    <xf numFmtId="0" fontId="53" fillId="5" borderId="44" xfId="0" applyFont="1" applyFill="1" applyBorder="1"/>
    <xf numFmtId="174" fontId="53" fillId="5" borderId="137" xfId="0" applyNumberFormat="1" applyFont="1" applyFill="1" applyBorder="1"/>
    <xf numFmtId="10" fontId="53" fillId="33" borderId="18" xfId="0" applyNumberFormat="1" applyFont="1" applyFill="1" applyBorder="1"/>
    <xf numFmtId="10" fontId="53" fillId="33" borderId="36" xfId="0" applyNumberFormat="1" applyFont="1" applyFill="1" applyBorder="1"/>
    <xf numFmtId="10" fontId="53" fillId="5" borderId="0" xfId="0" applyNumberFormat="1" applyFont="1" applyFill="1"/>
    <xf numFmtId="0" fontId="53" fillId="5" borderId="31" xfId="0" applyFont="1" applyFill="1" applyBorder="1"/>
    <xf numFmtId="0" fontId="53" fillId="5" borderId="62" xfId="0" applyFont="1" applyFill="1" applyBorder="1"/>
    <xf numFmtId="0" fontId="53" fillId="5" borderId="138" xfId="0" applyFont="1" applyFill="1" applyBorder="1"/>
    <xf numFmtId="0" fontId="53" fillId="5" borderId="71" xfId="0" applyFont="1" applyFill="1" applyBorder="1"/>
    <xf numFmtId="0" fontId="53" fillId="5" borderId="32" xfId="0" applyFont="1" applyFill="1" applyBorder="1"/>
    <xf numFmtId="10" fontId="53" fillId="26" borderId="16" xfId="0" applyNumberFormat="1" applyFont="1" applyFill="1" applyBorder="1"/>
    <xf numFmtId="10" fontId="53" fillId="26" borderId="36" xfId="0" applyNumberFormat="1" applyFont="1" applyFill="1" applyBorder="1"/>
    <xf numFmtId="0" fontId="56" fillId="5" borderId="0" xfId="0" applyFont="1" applyFill="1" applyAlignment="1">
      <alignment horizontal="center"/>
    </xf>
    <xf numFmtId="10" fontId="53" fillId="0" borderId="0" xfId="0" applyNumberFormat="1" applyFont="1"/>
    <xf numFmtId="0" fontId="53" fillId="25" borderId="7" xfId="0" applyFont="1" applyFill="1" applyBorder="1"/>
    <xf numFmtId="0" fontId="53" fillId="25" borderId="8" xfId="0" applyFont="1" applyFill="1" applyBorder="1"/>
    <xf numFmtId="0" fontId="53" fillId="25" borderId="8" xfId="0" applyFont="1" applyFill="1" applyBorder="1" applyAlignment="1">
      <alignment horizontal="center"/>
    </xf>
    <xf numFmtId="0" fontId="53" fillId="25" borderId="10" xfId="0" applyFont="1" applyFill="1" applyBorder="1" applyAlignment="1">
      <alignment horizontal="center"/>
    </xf>
    <xf numFmtId="173" fontId="53" fillId="25" borderId="1" xfId="0" applyNumberFormat="1" applyFont="1" applyFill="1" applyBorder="1" applyAlignment="1">
      <alignment horizontal="right" vertical="center"/>
    </xf>
    <xf numFmtId="0" fontId="53" fillId="25" borderId="0" xfId="0" applyFont="1" applyFill="1"/>
    <xf numFmtId="0" fontId="53" fillId="25" borderId="0" xfId="0" applyFont="1" applyFill="1" applyAlignment="1">
      <alignment horizontal="center"/>
    </xf>
    <xf numFmtId="0" fontId="55" fillId="23" borderId="8" xfId="0" applyFont="1" applyFill="1" applyBorder="1" applyAlignment="1">
      <alignment horizontal="center"/>
    </xf>
    <xf numFmtId="0" fontId="55" fillId="23" borderId="10" xfId="0" applyFont="1" applyFill="1" applyBorder="1" applyAlignment="1">
      <alignment horizontal="center"/>
    </xf>
    <xf numFmtId="173" fontId="55" fillId="23" borderId="1" xfId="0" applyNumberFormat="1" applyFont="1" applyFill="1" applyBorder="1" applyAlignment="1">
      <alignment horizontal="right" vertical="center"/>
    </xf>
    <xf numFmtId="0" fontId="53" fillId="34" borderId="0" xfId="0" applyFont="1" applyFill="1"/>
    <xf numFmtId="0" fontId="53" fillId="34" borderId="0" xfId="0" applyFont="1" applyFill="1" applyAlignment="1">
      <alignment horizontal="center"/>
    </xf>
    <xf numFmtId="173" fontId="53" fillId="34" borderId="1" xfId="0" applyNumberFormat="1" applyFont="1" applyFill="1" applyBorder="1" applyAlignment="1">
      <alignment horizontal="right" vertical="center"/>
    </xf>
    <xf numFmtId="44" fontId="37" fillId="0" borderId="1" xfId="1" applyFont="1" applyBorder="1" applyAlignment="1">
      <alignment horizontal="center" vertical="center"/>
    </xf>
    <xf numFmtId="3" fontId="58" fillId="13" borderId="1" xfId="60" applyNumberFormat="1" applyFont="1" applyFill="1" applyBorder="1" applyAlignment="1">
      <alignment horizontal="center" vertical="center" wrapText="1"/>
    </xf>
    <xf numFmtId="0" fontId="2" fillId="0" borderId="0" xfId="28"/>
    <xf numFmtId="3" fontId="58" fillId="5" borderId="1" xfId="60" applyNumberFormat="1" applyFont="1" applyFill="1" applyBorder="1" applyAlignment="1">
      <alignment horizontal="center" vertical="center" wrapText="1"/>
    </xf>
    <xf numFmtId="207" fontId="58" fillId="5" borderId="1" xfId="60" applyNumberFormat="1" applyFont="1" applyFill="1" applyBorder="1" applyAlignment="1">
      <alignment horizontal="center" vertical="center" wrapText="1"/>
    </xf>
    <xf numFmtId="10" fontId="58" fillId="5" borderId="1" xfId="61" applyNumberFormat="1" applyFont="1" applyFill="1" applyBorder="1" applyAlignment="1">
      <alignment vertical="center" wrapText="1"/>
    </xf>
    <xf numFmtId="10" fontId="60" fillId="0" borderId="1" xfId="19" applyNumberFormat="1" applyFont="1" applyFill="1" applyBorder="1" applyAlignment="1">
      <alignment horizontal="center" vertical="center" wrapText="1"/>
    </xf>
    <xf numFmtId="173" fontId="58" fillId="0" borderId="1" xfId="60" applyNumberFormat="1" applyFont="1" applyBorder="1" applyAlignment="1">
      <alignment horizontal="center" vertical="center" wrapText="1"/>
    </xf>
    <xf numFmtId="0" fontId="57" fillId="5" borderId="1" xfId="60" applyFont="1" applyFill="1" applyBorder="1" applyAlignment="1">
      <alignment horizontal="center" vertical="center" wrapText="1"/>
    </xf>
    <xf numFmtId="3" fontId="57" fillId="5" borderId="1" xfId="60" applyNumberFormat="1" applyFont="1" applyFill="1" applyBorder="1" applyAlignment="1">
      <alignment horizontal="center" vertical="center" wrapText="1"/>
    </xf>
    <xf numFmtId="10" fontId="60" fillId="21" borderId="1" xfId="19" applyNumberFormat="1" applyFont="1" applyFill="1" applyBorder="1" applyAlignment="1">
      <alignment horizontal="center" vertical="center" wrapText="1"/>
    </xf>
    <xf numFmtId="177" fontId="60" fillId="5" borderId="1" xfId="63" applyNumberFormat="1" applyFont="1" applyFill="1" applyBorder="1" applyAlignment="1">
      <alignment vertical="center" wrapText="1"/>
    </xf>
    <xf numFmtId="1" fontId="60" fillId="5" borderId="1" xfId="62" applyNumberFormat="1" applyFont="1" applyFill="1" applyBorder="1" applyAlignment="1">
      <alignment horizontal="center" vertical="center" wrapText="1"/>
    </xf>
    <xf numFmtId="10" fontId="60" fillId="5" borderId="7" xfId="62" applyNumberFormat="1" applyFont="1" applyFill="1" applyBorder="1" applyAlignment="1">
      <alignment horizontal="center" vertical="center" wrapText="1"/>
    </xf>
    <xf numFmtId="0" fontId="64" fillId="0" borderId="0" xfId="64" applyFont="1" applyAlignment="1">
      <alignment vertical="center"/>
    </xf>
    <xf numFmtId="3" fontId="60" fillId="5" borderId="1" xfId="62" applyNumberFormat="1" applyFont="1" applyFill="1" applyBorder="1" applyAlignment="1">
      <alignment horizontal="center" vertical="center" wrapText="1"/>
    </xf>
    <xf numFmtId="177" fontId="59" fillId="35" borderId="1" xfId="63" applyNumberFormat="1" applyFont="1" applyFill="1" applyBorder="1" applyAlignment="1">
      <alignment vertical="center" wrapText="1"/>
    </xf>
    <xf numFmtId="3" fontId="59" fillId="35" borderId="1" xfId="62" applyNumberFormat="1" applyFont="1" applyFill="1" applyBorder="1" applyAlignment="1">
      <alignment horizontal="center" vertical="center" wrapText="1"/>
    </xf>
    <xf numFmtId="10" fontId="59" fillId="35" borderId="7" xfId="62" applyNumberFormat="1" applyFont="1" applyFill="1" applyBorder="1" applyAlignment="1">
      <alignment horizontal="center" vertical="center" wrapText="1"/>
    </xf>
    <xf numFmtId="0" fontId="61" fillId="0" borderId="0" xfId="33" applyFont="1" applyAlignment="1">
      <alignment vertical="center" wrapText="1"/>
    </xf>
    <xf numFmtId="177" fontId="60" fillId="0" borderId="1" xfId="63" applyNumberFormat="1" applyFont="1" applyBorder="1" applyAlignment="1">
      <alignment vertical="center" wrapText="1"/>
    </xf>
    <xf numFmtId="207" fontId="60" fillId="13" borderId="1" xfId="62" applyNumberFormat="1" applyFont="1" applyFill="1" applyBorder="1" applyAlignment="1">
      <alignment horizontal="center" vertical="center" wrapText="1"/>
    </xf>
    <xf numFmtId="201" fontId="0" fillId="0" borderId="0" xfId="57" applyFont="1"/>
    <xf numFmtId="177" fontId="2" fillId="0" borderId="0" xfId="28" applyNumberFormat="1"/>
    <xf numFmtId="0" fontId="65" fillId="0" borderId="0" xfId="28" applyFont="1" applyAlignment="1">
      <alignment horizontal="center" vertical="center"/>
    </xf>
    <xf numFmtId="0" fontId="58" fillId="0" borderId="0" xfId="60" applyFont="1" applyAlignment="1">
      <alignment horizontal="justify" vertical="center" wrapText="1"/>
    </xf>
    <xf numFmtId="0" fontId="58" fillId="0" borderId="0" xfId="60" applyFont="1" applyAlignment="1">
      <alignment vertical="center" wrapText="1"/>
    </xf>
    <xf numFmtId="3" fontId="58" fillId="0" borderId="0" xfId="60" applyNumberFormat="1" applyFont="1" applyAlignment="1">
      <alignment vertical="center" wrapText="1"/>
    </xf>
    <xf numFmtId="10" fontId="58" fillId="0" borderId="0" xfId="61" applyNumberFormat="1" applyFont="1" applyAlignment="1">
      <alignment vertical="center" wrapText="1"/>
    </xf>
    <xf numFmtId="0" fontId="66" fillId="0" borderId="0" xfId="28" applyFont="1" applyAlignment="1">
      <alignment horizontal="justify" vertical="center" wrapText="1"/>
    </xf>
    <xf numFmtId="49" fontId="45" fillId="23" borderId="0" xfId="65" applyNumberFormat="1" applyFont="1" applyFill="1" applyAlignment="1">
      <alignment vertical="center"/>
    </xf>
    <xf numFmtId="10" fontId="2" fillId="0" borderId="0" xfId="19" applyNumberFormat="1" applyFont="1" applyAlignment="1">
      <alignment horizontal="center" vertical="center"/>
    </xf>
    <xf numFmtId="0" fontId="42" fillId="2" borderId="1" xfId="50" applyFont="1" applyFill="1" applyBorder="1" applyAlignment="1">
      <alignment horizontal="center" vertical="center" wrapText="1"/>
    </xf>
    <xf numFmtId="3" fontId="38" fillId="2" borderId="1" xfId="50" applyNumberFormat="1" applyFont="1" applyFill="1" applyBorder="1" applyAlignment="1">
      <alignment horizontal="center" vertical="center" wrapText="1"/>
    </xf>
    <xf numFmtId="173" fontId="38" fillId="2" borderId="6" xfId="50" applyNumberFormat="1" applyFont="1" applyFill="1" applyBorder="1" applyAlignment="1">
      <alignment horizontal="center" vertical="center" wrapText="1"/>
    </xf>
    <xf numFmtId="0" fontId="39" fillId="22" borderId="1" xfId="52" applyFont="1" applyFill="1" applyBorder="1" applyAlignment="1">
      <alignment vertical="center"/>
    </xf>
    <xf numFmtId="195" fontId="38" fillId="22" borderId="6" xfId="52" applyNumberFormat="1" applyFont="1" applyFill="1" applyBorder="1" applyAlignment="1">
      <alignment vertical="center"/>
    </xf>
    <xf numFmtId="0" fontId="38" fillId="36" borderId="5" xfId="50" applyFont="1" applyFill="1" applyBorder="1" applyAlignment="1">
      <alignment horizontal="center" vertical="center" wrapText="1"/>
    </xf>
    <xf numFmtId="0" fontId="38" fillId="36" borderId="1" xfId="50" applyFont="1" applyFill="1" applyBorder="1" applyAlignment="1">
      <alignment horizontal="left" vertical="center" wrapText="1"/>
    </xf>
    <xf numFmtId="0" fontId="39" fillId="36" borderId="1" xfId="52" applyFont="1" applyFill="1" applyBorder="1" applyAlignment="1">
      <alignment vertical="center"/>
    </xf>
    <xf numFmtId="195" fontId="38" fillId="36" borderId="6" xfId="52" applyNumberFormat="1" applyFont="1" applyFill="1" applyBorder="1" applyAlignment="1">
      <alignment vertical="center"/>
    </xf>
    <xf numFmtId="0" fontId="39" fillId="0" borderId="1" xfId="50" applyFont="1" applyBorder="1" applyAlignment="1">
      <alignment horizontal="left" vertical="center" wrapText="1"/>
    </xf>
    <xf numFmtId="2" fontId="67" fillId="0" borderId="14" xfId="43" applyNumberFormat="1" applyFont="1" applyFill="1" applyBorder="1" applyAlignment="1">
      <alignment horizontal="center" vertical="center" wrapText="1"/>
    </xf>
    <xf numFmtId="42" fontId="39" fillId="0" borderId="1" xfId="53" applyFont="1" applyBorder="1" applyAlignment="1">
      <alignment horizontal="right" vertical="center" wrapText="1"/>
    </xf>
    <xf numFmtId="2" fontId="39" fillId="0" borderId="1" xfId="67" applyNumberFormat="1" applyFont="1" applyBorder="1" applyAlignment="1">
      <alignment horizontal="center" vertical="center" wrapText="1"/>
    </xf>
    <xf numFmtId="9" fontId="39" fillId="0" borderId="1" xfId="50" applyNumberFormat="1" applyFont="1" applyBorder="1" applyAlignment="1">
      <alignment horizontal="center" vertical="center" wrapText="1"/>
    </xf>
    <xf numFmtId="195" fontId="39" fillId="0" borderId="6" xfId="53" applyNumberFormat="1" applyFont="1" applyBorder="1" applyAlignment="1">
      <alignment horizontal="right" vertical="center"/>
    </xf>
    <xf numFmtId="0" fontId="61" fillId="0" borderId="0" xfId="33" applyFont="1" applyAlignment="1">
      <alignment horizontal="left" vertical="center" wrapText="1"/>
    </xf>
    <xf numFmtId="0" fontId="68" fillId="0" borderId="0" xfId="33" applyFont="1" applyAlignment="1">
      <alignment vertical="center" wrapText="1"/>
    </xf>
    <xf numFmtId="2" fontId="43" fillId="0" borderId="0" xfId="52" applyNumberFormat="1" applyFont="1" applyAlignment="1">
      <alignment vertical="center"/>
    </xf>
    <xf numFmtId="10" fontId="47" fillId="0" borderId="0" xfId="19" applyNumberFormat="1" applyFont="1" applyAlignment="1">
      <alignment horizontal="center" vertical="center"/>
    </xf>
    <xf numFmtId="0" fontId="40" fillId="0" borderId="1" xfId="50" applyFont="1" applyBorder="1" applyAlignment="1">
      <alignment horizontal="justify" vertical="center" wrapText="1"/>
    </xf>
    <xf numFmtId="2" fontId="67" fillId="13" borderId="14" xfId="43" applyNumberFormat="1" applyFont="1" applyFill="1" applyBorder="1" applyAlignment="1">
      <alignment horizontal="center" vertical="center" wrapText="1"/>
    </xf>
    <xf numFmtId="42" fontId="39" fillId="22" borderId="1" xfId="53" applyFont="1" applyFill="1" applyBorder="1" applyAlignment="1">
      <alignment vertical="center"/>
    </xf>
    <xf numFmtId="195" fontId="38" fillId="22" borderId="6" xfId="53" applyNumberFormat="1" applyFont="1" applyFill="1" applyBorder="1" applyAlignment="1">
      <alignment horizontal="right" vertical="center"/>
    </xf>
    <xf numFmtId="9" fontId="39" fillId="0" borderId="1" xfId="67" applyFont="1" applyBorder="1" applyAlignment="1">
      <alignment horizontal="center" vertical="center" wrapText="1"/>
    </xf>
    <xf numFmtId="1" fontId="39" fillId="0" borderId="1" xfId="67" applyNumberFormat="1" applyFont="1" applyBorder="1" applyAlignment="1">
      <alignment horizontal="center" vertical="center" wrapText="1"/>
    </xf>
    <xf numFmtId="42" fontId="69" fillId="0" borderId="0" xfId="53" applyFont="1" applyAlignment="1">
      <alignment vertical="center" wrapText="1"/>
    </xf>
    <xf numFmtId="0" fontId="39" fillId="22" borderId="1" xfId="54" applyFont="1" applyFill="1" applyBorder="1" applyAlignment="1">
      <alignment horizontal="center" vertical="center"/>
    </xf>
    <xf numFmtId="42" fontId="39" fillId="22" borderId="1" xfId="53" applyFont="1" applyFill="1" applyBorder="1" applyAlignment="1">
      <alignment horizontal="right" vertical="center" wrapText="1"/>
    </xf>
    <xf numFmtId="1" fontId="39" fillId="22" borderId="1" xfId="68" applyNumberFormat="1" applyFont="1" applyFill="1" applyBorder="1" applyAlignment="1">
      <alignment horizontal="center" vertical="center" wrapText="1"/>
    </xf>
    <xf numFmtId="9" fontId="39" fillId="22" borderId="1" xfId="68" applyFont="1" applyFill="1" applyBorder="1" applyAlignment="1">
      <alignment horizontal="center" vertical="center" wrapText="1"/>
    </xf>
    <xf numFmtId="207" fontId="39" fillId="22" borderId="1" xfId="51" applyNumberFormat="1" applyFont="1" applyFill="1" applyBorder="1" applyAlignment="1">
      <alignment horizontal="center" vertical="center" wrapText="1"/>
    </xf>
    <xf numFmtId="0" fontId="67" fillId="0" borderId="14" xfId="43" applyNumberFormat="1" applyFont="1" applyFill="1" applyBorder="1" applyAlignment="1">
      <alignment horizontal="justify" vertical="center" wrapText="1"/>
    </xf>
    <xf numFmtId="0" fontId="39" fillId="0" borderId="48" xfId="33" applyFont="1" applyBorder="1" applyAlignment="1">
      <alignment horizontal="center" vertical="center"/>
    </xf>
    <xf numFmtId="173" fontId="39" fillId="0" borderId="1" xfId="33" applyNumberFormat="1" applyFont="1" applyBorder="1" applyAlignment="1">
      <alignment horizontal="center" vertical="center"/>
    </xf>
    <xf numFmtId="4" fontId="39" fillId="1" borderId="1" xfId="33" applyNumberFormat="1" applyFont="1" applyFill="1" applyBorder="1" applyAlignment="1">
      <alignment horizontal="center" vertical="center"/>
    </xf>
    <xf numFmtId="195" fontId="39" fillId="0" borderId="6" xfId="33" applyNumberFormat="1" applyFont="1" applyBorder="1" applyAlignment="1">
      <alignment horizontal="right" vertical="center"/>
    </xf>
    <xf numFmtId="4" fontId="39" fillId="1" borderId="48" xfId="33" applyNumberFormat="1" applyFont="1" applyFill="1" applyBorder="1" applyAlignment="1">
      <alignment horizontal="center" vertical="center"/>
    </xf>
    <xf numFmtId="200" fontId="39" fillId="0" borderId="48" xfId="1" applyNumberFormat="1" applyFont="1" applyBorder="1" applyAlignment="1">
      <alignment horizontal="center" vertical="center"/>
    </xf>
    <xf numFmtId="0" fontId="38" fillId="33" borderId="5" xfId="50" applyFont="1" applyFill="1" applyBorder="1" applyAlignment="1">
      <alignment horizontal="center" vertical="center" wrapText="1"/>
    </xf>
    <xf numFmtId="0" fontId="38" fillId="33" borderId="1" xfId="50" applyFont="1" applyFill="1" applyBorder="1" applyAlignment="1">
      <alignment horizontal="left" vertical="center" wrapText="1"/>
    </xf>
    <xf numFmtId="0" fontId="39" fillId="33" borderId="1" xfId="52" applyFont="1" applyFill="1" applyBorder="1" applyAlignment="1">
      <alignment horizontal="center" vertical="center"/>
    </xf>
    <xf numFmtId="3" fontId="38" fillId="33" borderId="1" xfId="50" applyNumberFormat="1" applyFont="1" applyFill="1" applyBorder="1" applyAlignment="1">
      <alignment horizontal="center" vertical="center" wrapText="1"/>
    </xf>
    <xf numFmtId="4" fontId="38" fillId="33" borderId="1" xfId="50" applyNumberFormat="1" applyFont="1" applyFill="1" applyBorder="1" applyAlignment="1">
      <alignment horizontal="center" vertical="center" wrapText="1"/>
    </xf>
    <xf numFmtId="2" fontId="38" fillId="33" borderId="1" xfId="50" applyNumberFormat="1" applyFont="1" applyFill="1" applyBorder="1" applyAlignment="1">
      <alignment horizontal="center" vertical="center" wrapText="1"/>
    </xf>
    <xf numFmtId="10" fontId="38" fillId="33" borderId="1" xfId="67" applyNumberFormat="1" applyFont="1" applyFill="1" applyBorder="1" applyAlignment="1">
      <alignment horizontal="right" vertical="center" wrapText="1"/>
    </xf>
    <xf numFmtId="195" fontId="38" fillId="33" borderId="6" xfId="53" applyNumberFormat="1" applyFont="1" applyFill="1" applyBorder="1" applyAlignment="1">
      <alignment horizontal="right" vertical="center"/>
    </xf>
    <xf numFmtId="195" fontId="38" fillId="0" borderId="6" xfId="53" applyNumberFormat="1" applyFont="1" applyBorder="1" applyAlignment="1">
      <alignment horizontal="right" vertical="center"/>
    </xf>
    <xf numFmtId="209" fontId="2" fillId="0" borderId="0" xfId="19" applyNumberFormat="1" applyFont="1" applyAlignment="1">
      <alignment vertical="center"/>
    </xf>
    <xf numFmtId="10" fontId="38" fillId="0" borderId="6" xfId="68" applyNumberFormat="1" applyFont="1" applyBorder="1" applyAlignment="1">
      <alignment horizontal="right" vertical="center" wrapText="1"/>
    </xf>
    <xf numFmtId="195" fontId="39" fillId="0" borderId="30" xfId="53" applyNumberFormat="1" applyFont="1" applyBorder="1" applyAlignment="1">
      <alignment horizontal="right" vertical="center"/>
    </xf>
    <xf numFmtId="42" fontId="39" fillId="0" borderId="6" xfId="53" applyFont="1" applyBorder="1" applyAlignment="1">
      <alignment horizontal="right" vertical="center"/>
    </xf>
    <xf numFmtId="44" fontId="2" fillId="0" borderId="0" xfId="52" applyNumberFormat="1" applyAlignment="1">
      <alignment vertical="center"/>
    </xf>
    <xf numFmtId="210" fontId="2" fillId="0" borderId="0" xfId="52" applyNumberFormat="1" applyAlignment="1">
      <alignment vertical="center"/>
    </xf>
    <xf numFmtId="195" fontId="38" fillId="0" borderId="30" xfId="53" applyNumberFormat="1" applyFont="1" applyBorder="1" applyAlignment="1">
      <alignment horizontal="right" vertical="center"/>
    </xf>
    <xf numFmtId="42" fontId="38" fillId="0" borderId="6" xfId="53" applyFont="1" applyBorder="1" applyAlignment="1">
      <alignment horizontal="right" vertical="center"/>
    </xf>
    <xf numFmtId="0" fontId="72" fillId="0" borderId="1" xfId="52" applyFont="1" applyBorder="1" applyAlignment="1">
      <alignment horizontal="center" vertical="center"/>
    </xf>
    <xf numFmtId="3" fontId="38" fillId="0" borderId="1" xfId="50" applyNumberFormat="1" applyFont="1" applyBorder="1" applyAlignment="1">
      <alignment horizontal="center" vertical="center" wrapText="1"/>
    </xf>
    <xf numFmtId="4" fontId="38" fillId="0" borderId="1" xfId="50" applyNumberFormat="1" applyFont="1" applyBorder="1" applyAlignment="1">
      <alignment horizontal="center" vertical="center" wrapText="1"/>
    </xf>
    <xf numFmtId="2" fontId="38" fillId="0" borderId="1" xfId="50" applyNumberFormat="1" applyFont="1" applyBorder="1" applyAlignment="1">
      <alignment horizontal="center" vertical="center" wrapText="1"/>
    </xf>
    <xf numFmtId="10" fontId="38" fillId="0" borderId="1" xfId="67" applyNumberFormat="1" applyFont="1" applyBorder="1" applyAlignment="1">
      <alignment horizontal="right" vertical="center" wrapText="1"/>
    </xf>
    <xf numFmtId="42" fontId="38" fillId="0" borderId="0" xfId="53" applyFont="1" applyBorder="1" applyAlignment="1">
      <alignment horizontal="right" vertical="center"/>
    </xf>
    <xf numFmtId="201" fontId="39" fillId="0" borderId="1" xfId="57" applyFont="1" applyFill="1" applyBorder="1" applyAlignment="1">
      <alignment horizontal="right" vertical="center" wrapText="1"/>
    </xf>
    <xf numFmtId="0" fontId="2" fillId="0" borderId="1" xfId="52" applyBorder="1" applyAlignment="1">
      <alignment vertical="center"/>
    </xf>
    <xf numFmtId="173" fontId="2" fillId="0" borderId="1" xfId="52" applyNumberFormat="1" applyBorder="1" applyAlignment="1">
      <alignment vertical="center"/>
    </xf>
    <xf numFmtId="195" fontId="38" fillId="0" borderId="6" xfId="53" applyNumberFormat="1" applyFont="1" applyFill="1" applyBorder="1" applyAlignment="1">
      <alignment horizontal="right" vertical="center"/>
    </xf>
    <xf numFmtId="42" fontId="39" fillId="0" borderId="0" xfId="53" applyFont="1" applyBorder="1" applyAlignment="1">
      <alignment horizontal="right" vertical="center"/>
    </xf>
    <xf numFmtId="211" fontId="38" fillId="0" borderId="0" xfId="19" applyNumberFormat="1" applyFont="1" applyBorder="1" applyAlignment="1">
      <alignment horizontal="right" vertical="center"/>
    </xf>
    <xf numFmtId="4" fontId="39" fillId="0" borderId="1" xfId="50" applyNumberFormat="1" applyFont="1" applyBorder="1" applyAlignment="1">
      <alignment horizontal="center" vertical="center" wrapText="1"/>
    </xf>
    <xf numFmtId="171" fontId="39" fillId="0" borderId="1" xfId="50" applyNumberFormat="1" applyFont="1" applyBorder="1" applyAlignment="1">
      <alignment horizontal="center" vertical="center" wrapText="1"/>
    </xf>
    <xf numFmtId="201" fontId="39" fillId="0" borderId="1" xfId="57" applyFont="1" applyBorder="1" applyAlignment="1">
      <alignment horizontal="right" vertical="center" wrapText="1"/>
    </xf>
    <xf numFmtId="0" fontId="39" fillId="0" borderId="1" xfId="52" applyFont="1" applyBorder="1" applyAlignment="1">
      <alignment horizontal="center" vertical="center"/>
    </xf>
    <xf numFmtId="3" fontId="39" fillId="0" borderId="1" xfId="50" applyNumberFormat="1" applyFont="1" applyBorder="1" applyAlignment="1">
      <alignment horizontal="center" vertical="center" wrapText="1"/>
    </xf>
    <xf numFmtId="2" fontId="39" fillId="0" borderId="48" xfId="1" applyNumberFormat="1" applyFont="1" applyBorder="1" applyAlignment="1">
      <alignment horizontal="center" vertical="center"/>
    </xf>
    <xf numFmtId="173" fontId="39" fillId="0" borderId="1" xfId="50" applyNumberFormat="1" applyFont="1" applyBorder="1" applyAlignment="1">
      <alignment horizontal="center" vertical="center" wrapText="1"/>
    </xf>
    <xf numFmtId="42" fontId="2" fillId="0" borderId="0" xfId="52" applyNumberFormat="1" applyAlignment="1">
      <alignment vertical="center"/>
    </xf>
    <xf numFmtId="0" fontId="38" fillId="0" borderId="5" xfId="50" applyFont="1" applyBorder="1" applyAlignment="1">
      <alignment horizontal="center" vertical="center" wrapText="1"/>
    </xf>
    <xf numFmtId="201" fontId="38" fillId="0" borderId="1" xfId="57" applyFont="1" applyBorder="1" applyAlignment="1">
      <alignment horizontal="right" vertical="center" wrapText="1"/>
    </xf>
    <xf numFmtId="42" fontId="38" fillId="33" borderId="6" xfId="53" applyFont="1" applyFill="1" applyBorder="1" applyAlignment="1">
      <alignment horizontal="right" vertical="center"/>
    </xf>
    <xf numFmtId="42" fontId="38" fillId="0" borderId="30" xfId="53" applyFont="1" applyBorder="1" applyAlignment="1">
      <alignment horizontal="right" vertical="center"/>
    </xf>
    <xf numFmtId="0" fontId="38" fillId="0" borderId="9" xfId="50" applyFont="1" applyBorder="1" applyAlignment="1">
      <alignment vertical="center" wrapText="1"/>
    </xf>
    <xf numFmtId="0" fontId="38" fillId="0" borderId="8" xfId="50" applyFont="1" applyBorder="1" applyAlignment="1">
      <alignment vertical="center" wrapText="1"/>
    </xf>
    <xf numFmtId="0" fontId="38" fillId="0" borderId="30" xfId="50" applyFont="1" applyBorder="1" applyAlignment="1">
      <alignment vertical="center" wrapText="1"/>
    </xf>
    <xf numFmtId="0" fontId="39" fillId="0" borderId="8" xfId="52" applyFont="1" applyBorder="1" applyAlignment="1">
      <alignment horizontal="center" vertical="center"/>
    </xf>
    <xf numFmtId="3" fontId="39" fillId="0" borderId="8" xfId="50" applyNumberFormat="1" applyFont="1" applyBorder="1" applyAlignment="1">
      <alignment horizontal="center" vertical="center" wrapText="1"/>
    </xf>
    <xf numFmtId="4" fontId="39" fillId="0" borderId="8" xfId="50" applyNumberFormat="1" applyFont="1" applyBorder="1" applyAlignment="1">
      <alignment horizontal="center" vertical="center" wrapText="1"/>
    </xf>
    <xf numFmtId="2" fontId="39" fillId="0" borderId="8" xfId="50" applyNumberFormat="1" applyFont="1" applyBorder="1" applyAlignment="1">
      <alignment horizontal="center" vertical="center" wrapText="1"/>
    </xf>
    <xf numFmtId="3" fontId="39" fillId="0" borderId="30" xfId="52" applyNumberFormat="1" applyFont="1" applyBorder="1" applyAlignment="1">
      <alignment horizontal="right" vertical="center"/>
    </xf>
    <xf numFmtId="10" fontId="2" fillId="0" borderId="0" xfId="67" applyNumberFormat="1" applyAlignment="1">
      <alignment vertical="center"/>
    </xf>
    <xf numFmtId="212" fontId="2" fillId="0" borderId="0" xfId="19" applyNumberFormat="1" applyFont="1" applyAlignment="1">
      <alignment vertical="center"/>
    </xf>
    <xf numFmtId="201" fontId="2" fillId="0" borderId="0" xfId="57" applyFont="1" applyAlignment="1">
      <alignment vertical="center"/>
    </xf>
    <xf numFmtId="3" fontId="2" fillId="0" borderId="0" xfId="52" applyNumberFormat="1" applyAlignment="1">
      <alignment vertical="center"/>
    </xf>
    <xf numFmtId="174" fontId="2" fillId="0" borderId="0" xfId="52" applyNumberFormat="1" applyAlignment="1">
      <alignment vertical="center"/>
    </xf>
    <xf numFmtId="3" fontId="2" fillId="0" borderId="0" xfId="54" applyNumberFormat="1" applyAlignment="1">
      <alignment vertical="center"/>
    </xf>
    <xf numFmtId="0" fontId="2" fillId="0" borderId="0" xfId="52" applyAlignment="1">
      <alignment horizontal="center" vertical="center"/>
    </xf>
    <xf numFmtId="0" fontId="39" fillId="0" borderId="26" xfId="52" applyFont="1" applyBorder="1" applyAlignment="1">
      <alignment vertical="center"/>
    </xf>
    <xf numFmtId="173" fontId="2" fillId="0" borderId="0" xfId="52" applyNumberFormat="1" applyAlignment="1">
      <alignment vertical="center"/>
    </xf>
    <xf numFmtId="0" fontId="16" fillId="0" borderId="0" xfId="0" applyFont="1" applyAlignment="1">
      <alignment horizontal="center" vertical="center"/>
    </xf>
    <xf numFmtId="0" fontId="16" fillId="0" borderId="14" xfId="0" applyFont="1" applyBorder="1" applyAlignment="1">
      <alignment horizontal="center" vertical="center"/>
    </xf>
    <xf numFmtId="0" fontId="63" fillId="0" borderId="0" xfId="33" applyFont="1" applyAlignment="1">
      <alignment vertical="center" wrapText="1"/>
    </xf>
    <xf numFmtId="0" fontId="16" fillId="0" borderId="15" xfId="0" applyFont="1" applyBorder="1" applyAlignment="1">
      <alignment horizontal="center" vertical="center"/>
    </xf>
    <xf numFmtId="0" fontId="57" fillId="5" borderId="5" xfId="60" applyFont="1" applyFill="1" applyBorder="1" applyAlignment="1">
      <alignment horizontal="left" vertical="center" wrapText="1"/>
    </xf>
    <xf numFmtId="3" fontId="58" fillId="0" borderId="0" xfId="60" applyNumberFormat="1" applyFont="1" applyAlignment="1">
      <alignment vertical="center"/>
    </xf>
    <xf numFmtId="0" fontId="58" fillId="0" borderId="0" xfId="60" applyFont="1" applyAlignment="1">
      <alignment vertical="center"/>
    </xf>
    <xf numFmtId="0" fontId="58" fillId="0" borderId="0" xfId="61" applyNumberFormat="1" applyFont="1" applyBorder="1" applyAlignment="1">
      <alignment vertical="center"/>
    </xf>
    <xf numFmtId="0" fontId="58" fillId="0" borderId="41" xfId="60" applyFont="1" applyBorder="1" applyAlignment="1">
      <alignment vertical="center"/>
    </xf>
    <xf numFmtId="3" fontId="58" fillId="5" borderId="0" xfId="60" applyNumberFormat="1" applyFont="1" applyFill="1" applyAlignment="1">
      <alignment vertical="center" wrapText="1"/>
    </xf>
    <xf numFmtId="3" fontId="58" fillId="5" borderId="41" xfId="60" applyNumberFormat="1" applyFont="1" applyFill="1" applyBorder="1" applyAlignment="1">
      <alignment vertical="center" wrapText="1"/>
    </xf>
    <xf numFmtId="0" fontId="59" fillId="5" borderId="5" xfId="62" applyFont="1" applyFill="1" applyBorder="1" applyAlignment="1">
      <alignment vertical="center" wrapText="1"/>
    </xf>
    <xf numFmtId="0" fontId="61" fillId="0" borderId="0" xfId="33" applyFont="1" applyAlignment="1">
      <alignment horizontal="left" vertical="center"/>
    </xf>
    <xf numFmtId="0" fontId="57" fillId="5" borderId="41" xfId="60" applyFont="1" applyFill="1" applyBorder="1" applyAlignment="1">
      <alignment vertical="center" wrapText="1"/>
    </xf>
    <xf numFmtId="0" fontId="62" fillId="5" borderId="58" xfId="60" applyFont="1" applyFill="1" applyBorder="1" applyAlignment="1">
      <alignment vertical="center" wrapText="1"/>
    </xf>
    <xf numFmtId="0" fontId="62" fillId="5" borderId="0" xfId="60" applyFont="1" applyFill="1" applyAlignment="1">
      <alignment vertical="center" wrapText="1"/>
    </xf>
    <xf numFmtId="0" fontId="57" fillId="5" borderId="0" xfId="60" applyFont="1" applyFill="1" applyAlignment="1">
      <alignment vertical="center" wrapText="1"/>
    </xf>
    <xf numFmtId="10" fontId="57" fillId="5" borderId="0" xfId="60" applyNumberFormat="1" applyFont="1" applyFill="1" applyAlignment="1">
      <alignment vertical="center" wrapText="1"/>
    </xf>
    <xf numFmtId="0" fontId="57" fillId="0" borderId="58" xfId="60" applyFont="1" applyBorder="1" applyAlignment="1">
      <alignment vertical="center" wrapText="1"/>
    </xf>
    <xf numFmtId="0" fontId="59" fillId="5" borderId="5" xfId="62" applyFont="1" applyFill="1" applyBorder="1" applyAlignment="1">
      <alignment horizontal="justify" vertical="center" wrapText="1"/>
    </xf>
    <xf numFmtId="169" fontId="60" fillId="5" borderId="6" xfId="63" applyFont="1" applyFill="1" applyBorder="1" applyAlignment="1">
      <alignment vertical="center" wrapText="1"/>
    </xf>
    <xf numFmtId="0" fontId="59" fillId="5" borderId="5" xfId="62" applyFont="1" applyFill="1" applyBorder="1" applyAlignment="1">
      <alignment horizontal="left" vertical="center" wrapText="1"/>
    </xf>
    <xf numFmtId="9" fontId="59" fillId="35" borderId="5" xfId="62" applyNumberFormat="1" applyFont="1" applyFill="1" applyBorder="1" applyAlignment="1">
      <alignment horizontal="center" vertical="center" wrapText="1"/>
    </xf>
    <xf numFmtId="169" fontId="59" fillId="35" borderId="6" xfId="63" applyFont="1" applyFill="1" applyBorder="1" applyAlignment="1">
      <alignment vertical="center" wrapText="1"/>
    </xf>
    <xf numFmtId="0" fontId="60" fillId="0" borderId="5" xfId="19" applyNumberFormat="1" applyFont="1" applyFill="1" applyBorder="1" applyAlignment="1">
      <alignment horizontal="center" vertical="center" wrapText="1"/>
    </xf>
    <xf numFmtId="169" fontId="59" fillId="5" borderId="6" xfId="63" applyFont="1" applyFill="1" applyBorder="1" applyAlignment="1">
      <alignment vertical="center" wrapText="1"/>
    </xf>
    <xf numFmtId="0" fontId="57" fillId="5" borderId="58" xfId="60" applyFont="1" applyFill="1" applyBorder="1" applyAlignment="1">
      <alignment vertical="center" wrapText="1"/>
    </xf>
    <xf numFmtId="10" fontId="58" fillId="5" borderId="0" xfId="61" applyNumberFormat="1" applyFont="1" applyFill="1" applyBorder="1" applyAlignment="1">
      <alignment vertical="center" wrapText="1"/>
    </xf>
    <xf numFmtId="0" fontId="57" fillId="5" borderId="9" xfId="60" applyFont="1" applyFill="1" applyBorder="1" applyAlignment="1">
      <alignment vertical="center" wrapText="1"/>
    </xf>
    <xf numFmtId="0" fontId="58" fillId="5" borderId="0" xfId="60" applyFont="1" applyFill="1" applyAlignment="1">
      <alignment vertical="center" wrapText="1"/>
    </xf>
    <xf numFmtId="10" fontId="58" fillId="5" borderId="41" xfId="61" applyNumberFormat="1" applyFont="1" applyFill="1" applyBorder="1" applyAlignment="1">
      <alignment vertical="center" wrapText="1"/>
    </xf>
    <xf numFmtId="0" fontId="58" fillId="5" borderId="58" xfId="60" applyFont="1" applyFill="1" applyBorder="1" applyAlignment="1">
      <alignment horizontal="justify" vertical="center" wrapText="1"/>
    </xf>
    <xf numFmtId="1" fontId="58" fillId="5" borderId="0" xfId="60" applyNumberFormat="1" applyFont="1" applyFill="1" applyAlignment="1">
      <alignment vertical="center" wrapText="1"/>
    </xf>
    <xf numFmtId="177" fontId="59" fillId="5" borderId="13" xfId="63" applyNumberFormat="1" applyFont="1" applyFill="1" applyBorder="1" applyAlignment="1">
      <alignment vertical="center" wrapText="1"/>
    </xf>
    <xf numFmtId="173" fontId="38" fillId="23" borderId="22" xfId="65" applyNumberFormat="1" applyFont="1" applyFill="1" applyBorder="1" applyAlignment="1">
      <alignment horizontal="center"/>
    </xf>
    <xf numFmtId="173" fontId="38" fillId="23" borderId="23" xfId="65" applyNumberFormat="1" applyFont="1" applyFill="1" applyBorder="1" applyAlignment="1">
      <alignment horizontal="center"/>
    </xf>
    <xf numFmtId="0" fontId="39" fillId="23" borderId="24" xfId="66" applyFont="1" applyFill="1" applyBorder="1"/>
    <xf numFmtId="173" fontId="39" fillId="23" borderId="58" xfId="65" applyNumberFormat="1" applyFont="1" applyFill="1" applyBorder="1" applyAlignment="1">
      <alignment horizontal="center" vertical="center" wrapText="1"/>
    </xf>
    <xf numFmtId="173" fontId="39" fillId="23" borderId="0" xfId="65" applyNumberFormat="1" applyFont="1" applyFill="1" applyBorder="1" applyAlignment="1">
      <alignment horizontal="center" vertical="center"/>
    </xf>
    <xf numFmtId="173" fontId="39" fillId="23" borderId="41" xfId="65" applyNumberFormat="1" applyFont="1" applyFill="1" applyBorder="1" applyAlignment="1">
      <alignment horizontal="center" vertical="center"/>
    </xf>
    <xf numFmtId="173" fontId="39" fillId="23" borderId="58" xfId="47" applyNumberFormat="1" applyFont="1" applyFill="1" applyBorder="1" applyAlignment="1">
      <alignment horizontal="center" vertical="center"/>
    </xf>
    <xf numFmtId="0" fontId="39" fillId="23" borderId="41" xfId="66" applyFont="1" applyFill="1" applyBorder="1"/>
    <xf numFmtId="173" fontId="47" fillId="23" borderId="58" xfId="65" applyNumberFormat="1" applyFont="1" applyFill="1" applyBorder="1" applyAlignment="1">
      <alignment horizontal="center" vertical="center" wrapText="1"/>
    </xf>
    <xf numFmtId="10" fontId="39" fillId="23" borderId="0" xfId="2" applyNumberFormat="1" applyFont="1" applyFill="1" applyBorder="1" applyAlignment="1">
      <alignment horizontal="center" vertical="center"/>
    </xf>
    <xf numFmtId="9" fontId="39" fillId="23" borderId="25" xfId="2" applyFont="1" applyFill="1" applyBorder="1" applyAlignment="1">
      <alignment horizontal="center" vertical="center"/>
    </xf>
    <xf numFmtId="10" fontId="45" fillId="23" borderId="26" xfId="2" applyNumberFormat="1" applyFont="1" applyFill="1" applyBorder="1" applyAlignment="1">
      <alignment horizontal="center" vertical="center"/>
    </xf>
    <xf numFmtId="49" fontId="45" fillId="23" borderId="27" xfId="65" applyNumberFormat="1" applyFont="1" applyFill="1" applyBorder="1" applyAlignment="1">
      <alignment vertical="center" wrapText="1"/>
    </xf>
    <xf numFmtId="0" fontId="65" fillId="0" borderId="37" xfId="28" applyFont="1" applyBorder="1" applyAlignment="1">
      <alignment horizontal="center" vertical="center"/>
    </xf>
    <xf numFmtId="0" fontId="2" fillId="0" borderId="39" xfId="28" applyBorder="1"/>
    <xf numFmtId="0" fontId="66" fillId="0" borderId="39" xfId="28" applyFont="1" applyBorder="1" applyAlignment="1">
      <alignment horizontal="justify" vertical="center" wrapText="1"/>
    </xf>
    <xf numFmtId="0" fontId="66" fillId="0" borderId="40" xfId="28" applyFont="1" applyBorder="1" applyAlignment="1">
      <alignment horizontal="justify" vertical="center" wrapText="1"/>
    </xf>
    <xf numFmtId="44" fontId="58" fillId="13" borderId="1" xfId="1" applyFont="1" applyFill="1" applyBorder="1" applyAlignment="1">
      <alignment horizontal="center" vertical="center" wrapText="1"/>
    </xf>
    <xf numFmtId="10" fontId="39" fillId="0" borderId="1" xfId="54" applyNumberFormat="1" applyFont="1" applyBorder="1" applyAlignment="1">
      <alignment horizontal="center" vertical="center"/>
    </xf>
    <xf numFmtId="0" fontId="0" fillId="0" borderId="1" xfId="0" applyBorder="1"/>
    <xf numFmtId="44" fontId="0" fillId="0" borderId="0" xfId="1" applyFont="1"/>
    <xf numFmtId="0" fontId="24" fillId="0" borderId="0" xfId="50" applyFont="1" applyAlignment="1">
      <alignment vertical="center" wrapText="1"/>
    </xf>
    <xf numFmtId="201" fontId="2" fillId="0" borderId="41" xfId="57" applyFont="1" applyFill="1" applyBorder="1" applyAlignment="1">
      <alignment horizontal="center" vertical="center"/>
    </xf>
    <xf numFmtId="0" fontId="74" fillId="0" borderId="5" xfId="51" applyFont="1" applyBorder="1" applyAlignment="1">
      <alignment horizontal="left" vertical="center" wrapText="1"/>
    </xf>
    <xf numFmtId="169" fontId="39" fillId="0" borderId="6" xfId="52" applyNumberFormat="1" applyFont="1" applyBorder="1" applyAlignment="1">
      <alignment vertical="center"/>
    </xf>
    <xf numFmtId="0" fontId="0" fillId="0" borderId="58" xfId="0" applyBorder="1"/>
    <xf numFmtId="177" fontId="39" fillId="0" borderId="13" xfId="52" applyNumberFormat="1" applyFont="1" applyBorder="1" applyAlignment="1">
      <alignment vertical="center"/>
    </xf>
    <xf numFmtId="10" fontId="38" fillId="0" borderId="6" xfId="2" applyNumberFormat="1" applyFont="1" applyBorder="1" applyAlignment="1">
      <alignment horizontal="right" vertical="center" wrapText="1"/>
    </xf>
    <xf numFmtId="0" fontId="26" fillId="12" borderId="14" xfId="0" applyFont="1" applyFill="1" applyBorder="1" applyAlignment="1">
      <alignment horizontal="center" vertical="center" wrapText="1"/>
    </xf>
    <xf numFmtId="0" fontId="26" fillId="12" borderId="15" xfId="0" applyFont="1" applyFill="1" applyBorder="1" applyAlignment="1">
      <alignment horizontal="center" vertical="center" wrapText="1"/>
    </xf>
    <xf numFmtId="0" fontId="26" fillId="12" borderId="33" xfId="0" applyFont="1" applyFill="1" applyBorder="1" applyAlignment="1">
      <alignment horizontal="center" vertical="center" wrapText="1"/>
    </xf>
    <xf numFmtId="0" fontId="2" fillId="0" borderId="5" xfId="0" applyFont="1" applyBorder="1" applyAlignment="1" applyProtection="1">
      <alignment horizontal="left" vertical="center" wrapText="1"/>
      <protection locked="0"/>
    </xf>
    <xf numFmtId="0" fontId="2" fillId="5" borderId="6" xfId="0" applyFont="1" applyFill="1" applyBorder="1" applyAlignment="1" applyProtection="1">
      <alignment vertical="center" wrapText="1"/>
      <protection locked="0"/>
    </xf>
    <xf numFmtId="0" fontId="2" fillId="0" borderId="11" xfId="0" applyFont="1" applyBorder="1" applyAlignment="1" applyProtection="1">
      <alignment horizontal="left" vertical="center" wrapText="1"/>
      <protection locked="0"/>
    </xf>
    <xf numFmtId="2" fontId="37" fillId="0" borderId="12" xfId="0" applyNumberFormat="1" applyFont="1" applyBorder="1" applyAlignment="1">
      <alignment horizontal="center" vertical="center"/>
    </xf>
    <xf numFmtId="44" fontId="37" fillId="0" borderId="12" xfId="1" applyFont="1" applyBorder="1" applyAlignment="1">
      <alignment horizontal="center" vertical="center"/>
    </xf>
    <xf numFmtId="2" fontId="37" fillId="0" borderId="12" xfId="2" applyNumberFormat="1" applyFont="1" applyBorder="1" applyAlignment="1">
      <alignment horizontal="center" vertical="center"/>
    </xf>
    <xf numFmtId="0" fontId="2" fillId="5" borderId="12" xfId="0" applyFont="1" applyFill="1" applyBorder="1" applyAlignment="1" applyProtection="1">
      <alignment vertical="center" wrapText="1"/>
      <protection locked="0"/>
    </xf>
    <xf numFmtId="0" fontId="37" fillId="5" borderId="12" xfId="0" applyFont="1" applyFill="1" applyBorder="1" applyAlignment="1">
      <alignment vertical="center" wrapText="1"/>
    </xf>
    <xf numFmtId="0" fontId="2" fillId="5" borderId="13" xfId="0" applyFont="1" applyFill="1" applyBorder="1" applyAlignment="1" applyProtection="1">
      <alignment vertical="center" wrapText="1"/>
      <protection locked="0"/>
    </xf>
    <xf numFmtId="2" fontId="8" fillId="3" borderId="36" xfId="18" applyNumberFormat="1" applyFont="1" applyFill="1" applyBorder="1" applyAlignment="1">
      <alignment horizontal="center" vertical="center"/>
    </xf>
    <xf numFmtId="2" fontId="3" fillId="0" borderId="1" xfId="18" applyNumberFormat="1" applyFont="1" applyFill="1" applyBorder="1" applyAlignment="1">
      <alignment horizontal="center" vertical="center"/>
    </xf>
    <xf numFmtId="2" fontId="3" fillId="0" borderId="6" xfId="18" applyNumberFormat="1" applyFont="1" applyFill="1" applyBorder="1" applyAlignment="1">
      <alignment horizontal="center" vertical="center"/>
    </xf>
    <xf numFmtId="2" fontId="3" fillId="0" borderId="12" xfId="0" applyNumberFormat="1" applyFont="1" applyBorder="1" applyAlignment="1">
      <alignment horizontal="center" vertical="center"/>
    </xf>
    <xf numFmtId="49" fontId="3" fillId="0" borderId="40" xfId="0" applyNumberFormat="1" applyFont="1" applyBorder="1" applyAlignment="1">
      <alignment horizontal="center" vertical="center" wrapText="1"/>
    </xf>
    <xf numFmtId="10" fontId="16" fillId="8" borderId="1" xfId="2" applyNumberFormat="1" applyFont="1" applyFill="1" applyBorder="1" applyAlignment="1">
      <alignment vertical="center"/>
    </xf>
    <xf numFmtId="0" fontId="76" fillId="0" borderId="0" xfId="73" applyFont="1"/>
    <xf numFmtId="0" fontId="67" fillId="0" borderId="0" xfId="73" applyFont="1"/>
    <xf numFmtId="0" fontId="77" fillId="0" borderId="0" xfId="73" applyFont="1"/>
    <xf numFmtId="0" fontId="67" fillId="0" borderId="0" xfId="73" applyFont="1" applyAlignment="1">
      <alignment horizontal="center" wrapText="1"/>
    </xf>
    <xf numFmtId="0" fontId="67" fillId="0" borderId="0" xfId="73" applyFont="1" applyAlignment="1">
      <alignment horizontal="center"/>
    </xf>
    <xf numFmtId="4" fontId="67" fillId="0" borderId="0" xfId="73" applyNumberFormat="1" applyFont="1"/>
    <xf numFmtId="174" fontId="67" fillId="0" borderId="0" xfId="73" applyNumberFormat="1" applyFont="1" applyAlignment="1">
      <alignment horizontal="right"/>
    </xf>
    <xf numFmtId="174" fontId="51" fillId="0" borderId="0" xfId="59" applyNumberFormat="1" applyAlignment="1">
      <alignment horizontal="right"/>
    </xf>
    <xf numFmtId="0" fontId="1" fillId="0" borderId="0" xfId="58" applyFont="1"/>
    <xf numFmtId="0" fontId="79" fillId="0" borderId="0" xfId="73" applyFont="1"/>
    <xf numFmtId="0" fontId="80" fillId="0" borderId="0" xfId="58" applyFont="1"/>
    <xf numFmtId="204" fontId="80" fillId="0" borderId="0" xfId="58" applyNumberFormat="1" applyFont="1"/>
    <xf numFmtId="0" fontId="74" fillId="0" borderId="0" xfId="58" applyFont="1"/>
    <xf numFmtId="0" fontId="24" fillId="0" borderId="0" xfId="28" applyFont="1" applyAlignment="1">
      <alignment horizontal="center" vertical="center" wrapText="1"/>
    </xf>
    <xf numFmtId="0" fontId="39" fillId="0" borderId="0" xfId="28" applyFont="1" applyAlignment="1">
      <alignment wrapText="1"/>
    </xf>
    <xf numFmtId="0" fontId="2" fillId="0" borderId="0" xfId="28" applyAlignment="1">
      <alignment wrapText="1"/>
    </xf>
    <xf numFmtId="0" fontId="35" fillId="0" borderId="0" xfId="28" applyFont="1" applyAlignment="1">
      <alignment horizontal="center" vertical="center" wrapText="1"/>
    </xf>
    <xf numFmtId="0" fontId="81" fillId="0" borderId="0" xfId="58" applyFont="1" applyAlignment="1">
      <alignment horizontal="center" vertical="center"/>
    </xf>
    <xf numFmtId="0" fontId="24" fillId="37" borderId="2" xfId="58" applyFont="1" applyFill="1" applyBorder="1" applyAlignment="1">
      <alignment horizontal="center" vertical="center"/>
    </xf>
    <xf numFmtId="0" fontId="24" fillId="37" borderId="3" xfId="58" applyFont="1" applyFill="1" applyBorder="1" applyAlignment="1">
      <alignment horizontal="justify" vertical="center"/>
    </xf>
    <xf numFmtId="204" fontId="24" fillId="37" borderId="4" xfId="55" applyNumberFormat="1" applyFont="1" applyFill="1" applyBorder="1" applyAlignment="1">
      <alignment horizontal="center" vertical="center"/>
    </xf>
    <xf numFmtId="0" fontId="82" fillId="35" borderId="1" xfId="58" applyFont="1" applyFill="1" applyBorder="1" applyAlignment="1">
      <alignment horizontal="center" vertical="center"/>
    </xf>
    <xf numFmtId="0" fontId="82" fillId="35" borderId="1" xfId="58" applyFont="1" applyFill="1" applyBorder="1" applyAlignment="1">
      <alignment horizontal="center"/>
    </xf>
    <xf numFmtId="0" fontId="24" fillId="38" borderId="5" xfId="58" applyFont="1" applyFill="1" applyBorder="1" applyAlignment="1">
      <alignment horizontal="center" vertical="center"/>
    </xf>
    <xf numFmtId="0" fontId="24" fillId="38" borderId="1" xfId="58" applyFont="1" applyFill="1" applyBorder="1" applyAlignment="1">
      <alignment horizontal="justify" vertical="center"/>
    </xf>
    <xf numFmtId="204" fontId="24" fillId="38" borderId="6" xfId="55" applyNumberFormat="1" applyFont="1" applyFill="1" applyBorder="1" applyAlignment="1">
      <alignment horizontal="center" vertical="center"/>
    </xf>
    <xf numFmtId="0" fontId="24" fillId="14" borderId="5" xfId="58" applyFont="1" applyFill="1" applyBorder="1" applyAlignment="1">
      <alignment horizontal="center" vertical="center"/>
    </xf>
    <xf numFmtId="0" fontId="24" fillId="14" borderId="1" xfId="58" applyFont="1" applyFill="1" applyBorder="1" applyAlignment="1">
      <alignment horizontal="justify" vertical="center"/>
    </xf>
    <xf numFmtId="204" fontId="2" fillId="14" borderId="6" xfId="55" applyNumberFormat="1" applyFont="1" applyFill="1" applyBorder="1" applyAlignment="1">
      <alignment horizontal="center"/>
    </xf>
    <xf numFmtId="0" fontId="44" fillId="0" borderId="0" xfId="58" applyFont="1" applyAlignment="1">
      <alignment horizontal="right"/>
    </xf>
    <xf numFmtId="4" fontId="84" fillId="36" borderId="1" xfId="58" applyNumberFormat="1" applyFont="1" applyFill="1" applyBorder="1" applyAlignment="1">
      <alignment vertical="center"/>
    </xf>
    <xf numFmtId="0" fontId="33" fillId="0" borderId="0" xfId="58" applyFont="1"/>
    <xf numFmtId="0" fontId="24" fillId="37" borderId="5" xfId="58" applyFont="1" applyFill="1" applyBorder="1" applyAlignment="1">
      <alignment horizontal="center" vertical="center"/>
    </xf>
    <xf numFmtId="0" fontId="24" fillId="37" borderId="1" xfId="58" applyFont="1" applyFill="1" applyBorder="1" applyAlignment="1">
      <alignment horizontal="justify" vertical="center"/>
    </xf>
    <xf numFmtId="204" fontId="2" fillId="37" borderId="6" xfId="55" applyNumberFormat="1" applyFont="1" applyFill="1" applyBorder="1" applyAlignment="1">
      <alignment horizontal="center"/>
    </xf>
    <xf numFmtId="0" fontId="84" fillId="36" borderId="1" xfId="58" applyFont="1" applyFill="1" applyBorder="1" applyAlignment="1">
      <alignment vertical="center"/>
    </xf>
    <xf numFmtId="3" fontId="2" fillId="36" borderId="1" xfId="58" applyNumberFormat="1" applyFill="1" applyBorder="1" applyAlignment="1">
      <alignment vertical="center"/>
    </xf>
    <xf numFmtId="3" fontId="74" fillId="5" borderId="0" xfId="58" applyNumberFormat="1" applyFont="1" applyFill="1" applyAlignment="1">
      <alignment vertical="center"/>
    </xf>
    <xf numFmtId="0" fontId="80" fillId="0" borderId="0" xfId="58" applyFont="1" applyAlignment="1">
      <alignment vertical="center"/>
    </xf>
    <xf numFmtId="0" fontId="24" fillId="0" borderId="5" xfId="58" applyFont="1" applyBorder="1" applyAlignment="1">
      <alignment horizontal="center" vertical="center"/>
    </xf>
    <xf numFmtId="0" fontId="2" fillId="0" borderId="1" xfId="58" applyBorder="1" applyAlignment="1">
      <alignment horizontal="justify" vertical="center"/>
    </xf>
    <xf numFmtId="204" fontId="2" fillId="0" borderId="6" xfId="55" applyNumberFormat="1" applyFont="1" applyBorder="1" applyAlignment="1">
      <alignment horizontal="center" vertical="center"/>
    </xf>
    <xf numFmtId="0" fontId="84" fillId="0" borderId="1" xfId="58" applyFont="1" applyBorder="1" applyAlignment="1">
      <alignment vertical="center"/>
    </xf>
    <xf numFmtId="173" fontId="84" fillId="0" borderId="1" xfId="58" applyNumberFormat="1" applyFont="1" applyBorder="1" applyAlignment="1">
      <alignment vertical="center"/>
    </xf>
    <xf numFmtId="185" fontId="71" fillId="0" borderId="0" xfId="74" applyNumberFormat="1" applyFont="1" applyAlignment="1">
      <alignment vertical="center"/>
    </xf>
    <xf numFmtId="0" fontId="70" fillId="0" borderId="0" xfId="58" applyFont="1" applyAlignment="1">
      <alignment vertical="center"/>
    </xf>
    <xf numFmtId="204" fontId="2" fillId="0" borderId="0" xfId="55" applyNumberFormat="1" applyFont="1" applyAlignment="1">
      <alignment horizontal="center"/>
    </xf>
    <xf numFmtId="10" fontId="84" fillId="0" borderId="1" xfId="55" applyNumberFormat="1" applyFont="1" applyBorder="1" applyAlignment="1">
      <alignment vertical="center"/>
    </xf>
    <xf numFmtId="0" fontId="74" fillId="0" borderId="0" xfId="58" applyFont="1" applyAlignment="1">
      <alignment vertical="center"/>
    </xf>
    <xf numFmtId="10" fontId="84" fillId="0" borderId="0" xfId="55" applyNumberFormat="1" applyFont="1" applyBorder="1" applyAlignment="1">
      <alignment vertical="center"/>
    </xf>
    <xf numFmtId="173" fontId="84" fillId="0" borderId="0" xfId="58" applyNumberFormat="1" applyFont="1" applyAlignment="1">
      <alignment vertical="center"/>
    </xf>
    <xf numFmtId="204" fontId="2" fillId="13" borderId="6" xfId="55" applyNumberFormat="1" applyFont="1" applyFill="1" applyBorder="1" applyAlignment="1">
      <alignment horizontal="center" vertical="center"/>
    </xf>
    <xf numFmtId="10" fontId="86" fillId="0" borderId="0" xfId="55" applyNumberFormat="1" applyFont="1"/>
    <xf numFmtId="9" fontId="74" fillId="0" borderId="0" xfId="19" applyFont="1"/>
    <xf numFmtId="173" fontId="74" fillId="0" borderId="0" xfId="58" applyNumberFormat="1" applyFont="1"/>
    <xf numFmtId="0" fontId="85" fillId="0" borderId="0" xfId="58" applyFont="1" applyAlignment="1">
      <alignment horizontal="left" vertical="center" wrapText="1"/>
    </xf>
    <xf numFmtId="41" fontId="74" fillId="0" borderId="0" xfId="75" applyFont="1"/>
    <xf numFmtId="10" fontId="74" fillId="0" borderId="0" xfId="55" applyNumberFormat="1" applyFont="1"/>
    <xf numFmtId="204" fontId="2" fillId="0" borderId="6" xfId="19" applyNumberFormat="1" applyFont="1" applyBorder="1" applyAlignment="1">
      <alignment horizontal="center" vertical="center"/>
    </xf>
    <xf numFmtId="0" fontId="24" fillId="14" borderId="1" xfId="58" applyFont="1" applyFill="1" applyBorder="1" applyAlignment="1">
      <alignment horizontal="justify" vertical="justify"/>
    </xf>
    <xf numFmtId="204" fontId="70" fillId="14" borderId="6" xfId="55" applyNumberFormat="1" applyFont="1" applyFill="1" applyBorder="1" applyAlignment="1">
      <alignment horizontal="center"/>
    </xf>
    <xf numFmtId="1" fontId="74" fillId="0" borderId="0" xfId="55" applyNumberFormat="1" applyFont="1"/>
    <xf numFmtId="173" fontId="74" fillId="5" borderId="0" xfId="58" applyNumberFormat="1" applyFont="1" applyFill="1"/>
    <xf numFmtId="185" fontId="74" fillId="36" borderId="0" xfId="76" applyNumberFormat="1" applyFont="1" applyFill="1"/>
    <xf numFmtId="49" fontId="2" fillId="0" borderId="1" xfId="58" applyNumberFormat="1" applyBorder="1" applyAlignment="1">
      <alignment horizontal="justify" vertical="center" wrapText="1"/>
    </xf>
    <xf numFmtId="0" fontId="2" fillId="0" borderId="1" xfId="58" applyBorder="1" applyAlignment="1">
      <alignment horizontal="justify" vertical="center" wrapText="1"/>
    </xf>
    <xf numFmtId="10" fontId="2" fillId="0" borderId="6" xfId="55" applyNumberFormat="1" applyFont="1" applyFill="1" applyBorder="1" applyAlignment="1">
      <alignment horizontal="center" vertical="center"/>
    </xf>
    <xf numFmtId="42" fontId="2" fillId="0" borderId="1" xfId="53" applyFont="1" applyBorder="1" applyAlignment="1">
      <alignment horizontal="center" vertical="center"/>
    </xf>
    <xf numFmtId="3" fontId="74" fillId="0" borderId="0" xfId="58" applyNumberFormat="1" applyFont="1"/>
    <xf numFmtId="3" fontId="74" fillId="0" borderId="0" xfId="58" applyNumberFormat="1" applyFont="1" applyAlignment="1">
      <alignment vertical="center"/>
    </xf>
    <xf numFmtId="185" fontId="74" fillId="0" borderId="0" xfId="76" applyNumberFormat="1" applyFont="1" applyAlignment="1">
      <alignment vertical="center"/>
    </xf>
    <xf numFmtId="1" fontId="87" fillId="0" borderId="0" xfId="55" applyNumberFormat="1" applyFont="1" applyAlignment="1">
      <alignment horizontal="center"/>
    </xf>
    <xf numFmtId="0" fontId="88" fillId="0" borderId="0" xfId="58" applyFont="1" applyAlignment="1">
      <alignment horizontal="center"/>
    </xf>
    <xf numFmtId="1" fontId="89" fillId="0" borderId="0" xfId="55" applyNumberFormat="1" applyFont="1" applyAlignment="1">
      <alignment horizontal="center"/>
    </xf>
    <xf numFmtId="0" fontId="24" fillId="38" borderId="1" xfId="58" applyFont="1" applyFill="1" applyBorder="1" applyAlignment="1">
      <alignment horizontal="justify" vertical="center" wrapText="1"/>
    </xf>
    <xf numFmtId="204" fontId="2" fillId="14" borderId="6" xfId="55" applyNumberFormat="1" applyFont="1" applyFill="1" applyBorder="1" applyAlignment="1">
      <alignment horizontal="center" vertical="center"/>
    </xf>
    <xf numFmtId="0" fontId="25" fillId="0" borderId="0" xfId="58" applyFont="1"/>
    <xf numFmtId="0" fontId="24" fillId="37" borderId="1" xfId="58" applyFont="1" applyFill="1" applyBorder="1" applyAlignment="1">
      <alignment horizontal="justify" vertical="center" wrapText="1"/>
    </xf>
    <xf numFmtId="204" fontId="24" fillId="37" borderId="6" xfId="55" applyNumberFormat="1" applyFont="1" applyFill="1" applyBorder="1" applyAlignment="1">
      <alignment horizontal="center" vertical="center"/>
    </xf>
    <xf numFmtId="10" fontId="74" fillId="0" borderId="0" xfId="19" applyNumberFormat="1" applyFont="1"/>
    <xf numFmtId="185" fontId="74" fillId="0" borderId="0" xfId="76" applyNumberFormat="1" applyFont="1"/>
    <xf numFmtId="0" fontId="61" fillId="0" borderId="0" xfId="33" applyFont="1" applyAlignment="1">
      <alignment vertical="center"/>
    </xf>
    <xf numFmtId="0" fontId="1" fillId="0" borderId="0" xfId="58" applyFont="1" applyAlignment="1">
      <alignment horizontal="center"/>
    </xf>
    <xf numFmtId="0" fontId="24" fillId="0" borderId="1" xfId="58" applyFont="1" applyBorder="1" applyAlignment="1">
      <alignment horizontal="justify" vertical="center"/>
    </xf>
    <xf numFmtId="10" fontId="2" fillId="0" borderId="6" xfId="55" applyNumberFormat="1" applyFont="1" applyBorder="1" applyAlignment="1">
      <alignment horizontal="center" vertical="center"/>
    </xf>
    <xf numFmtId="173" fontId="48" fillId="0" borderId="46" xfId="58" applyNumberFormat="1" applyFont="1" applyBorder="1" applyAlignment="1">
      <alignment vertical="center"/>
    </xf>
    <xf numFmtId="173" fontId="74" fillId="0" borderId="0" xfId="58" applyNumberFormat="1" applyFont="1" applyAlignment="1">
      <alignment vertical="center"/>
    </xf>
    <xf numFmtId="0" fontId="24" fillId="38" borderId="11" xfId="58" applyFont="1" applyFill="1" applyBorder="1" applyAlignment="1">
      <alignment horizontal="center" vertical="center"/>
    </xf>
    <xf numFmtId="0" fontId="24" fillId="38" borderId="12" xfId="58" applyFont="1" applyFill="1" applyBorder="1" applyAlignment="1">
      <alignment horizontal="justify" vertical="center"/>
    </xf>
    <xf numFmtId="2" fontId="24" fillId="38" borderId="13" xfId="55" applyNumberFormat="1" applyFont="1" applyFill="1" applyBorder="1" applyAlignment="1">
      <alignment horizontal="center" vertical="center"/>
    </xf>
    <xf numFmtId="201" fontId="2" fillId="0" borderId="0" xfId="57" applyFont="1" applyBorder="1" applyAlignment="1">
      <alignment horizontal="center" vertical="center"/>
    </xf>
    <xf numFmtId="0" fontId="70" fillId="13" borderId="1" xfId="58" applyFont="1" applyFill="1" applyBorder="1" applyAlignment="1">
      <alignment horizontal="left" vertical="center" wrapText="1"/>
    </xf>
    <xf numFmtId="0" fontId="91" fillId="0" borderId="58" xfId="58" applyFont="1" applyBorder="1"/>
    <xf numFmtId="0" fontId="92" fillId="0" borderId="0" xfId="70" applyFont="1" applyAlignment="1">
      <alignment horizontal="left" vertical="justify" wrapText="1"/>
    </xf>
    <xf numFmtId="0" fontId="92" fillId="0" borderId="41" xfId="70" applyFont="1" applyBorder="1" applyAlignment="1">
      <alignment horizontal="left" vertical="justify" wrapText="1"/>
    </xf>
    <xf numFmtId="204" fontId="2" fillId="0" borderId="0" xfId="55" applyNumberFormat="1" applyFont="1" applyBorder="1" applyAlignment="1">
      <alignment horizontal="center" vertical="center"/>
    </xf>
    <xf numFmtId="185" fontId="74" fillId="0" borderId="0" xfId="58" applyNumberFormat="1" applyFont="1"/>
    <xf numFmtId="0" fontId="39" fillId="0" borderId="25" xfId="28" applyFont="1" applyBorder="1"/>
    <xf numFmtId="0" fontId="39" fillId="0" borderId="26" xfId="28" applyFont="1" applyBorder="1"/>
    <xf numFmtId="49" fontId="75" fillId="0" borderId="0" xfId="70" applyNumberFormat="1" applyFont="1" applyAlignment="1">
      <alignment horizontal="center" vertical="center"/>
    </xf>
    <xf numFmtId="0" fontId="2" fillId="0" borderId="0" xfId="70" applyAlignment="1" applyProtection="1">
      <alignment vertical="center"/>
      <protection locked="0"/>
    </xf>
    <xf numFmtId="0" fontId="75" fillId="0" borderId="0" xfId="70" applyFont="1" applyAlignment="1">
      <alignment vertical="center"/>
    </xf>
    <xf numFmtId="0" fontId="75" fillId="0" borderId="0" xfId="70" applyFont="1" applyAlignment="1">
      <alignment horizontal="center" vertical="center"/>
    </xf>
    <xf numFmtId="201" fontId="32" fillId="0" borderId="0" xfId="57" applyFont="1"/>
    <xf numFmtId="177" fontId="24" fillId="0" borderId="0" xfId="28" applyNumberFormat="1" applyFont="1" applyAlignment="1">
      <alignment vertical="center"/>
    </xf>
    <xf numFmtId="0" fontId="32" fillId="0" borderId="0" xfId="28" applyFont="1"/>
    <xf numFmtId="0" fontId="32" fillId="0" borderId="0" xfId="28" applyFont="1" applyAlignment="1">
      <alignment horizontal="center"/>
    </xf>
    <xf numFmtId="0" fontId="30" fillId="0" borderId="1" xfId="28" applyFont="1" applyBorder="1" applyAlignment="1">
      <alignment vertical="center"/>
    </xf>
    <xf numFmtId="0" fontId="30" fillId="0" borderId="1" xfId="28" applyFont="1" applyBorder="1" applyAlignment="1">
      <alignment horizontal="center" vertical="center" wrapText="1"/>
    </xf>
    <xf numFmtId="177" fontId="24" fillId="0" borderId="1" xfId="77" applyNumberFormat="1" applyFont="1" applyBorder="1" applyAlignment="1">
      <alignment horizontal="center" vertical="center" wrapText="1"/>
    </xf>
    <xf numFmtId="0" fontId="32" fillId="0" borderId="1" xfId="28" applyFont="1" applyBorder="1" applyAlignment="1">
      <alignment horizontal="left" vertical="center" wrapText="1"/>
    </xf>
    <xf numFmtId="0" fontId="32" fillId="0" borderId="1" xfId="28" applyFont="1" applyBorder="1" applyAlignment="1">
      <alignment horizontal="center" vertical="center" wrapText="1"/>
    </xf>
    <xf numFmtId="167" fontId="2" fillId="0" borderId="1" xfId="76" applyNumberFormat="1" applyFont="1" applyBorder="1" applyAlignment="1">
      <alignment horizontal="center" vertical="center"/>
    </xf>
    <xf numFmtId="167" fontId="93" fillId="21" borderId="1" xfId="76" applyNumberFormat="1" applyFont="1" applyFill="1" applyBorder="1" applyAlignment="1">
      <alignment horizontal="center" vertical="center"/>
    </xf>
    <xf numFmtId="167" fontId="2" fillId="0" borderId="1" xfId="76" applyNumberFormat="1" applyBorder="1" applyAlignment="1">
      <alignment vertical="center"/>
    </xf>
    <xf numFmtId="167" fontId="2" fillId="0" borderId="1" xfId="76" applyNumberFormat="1" applyBorder="1" applyAlignment="1">
      <alignment horizontal="left" vertical="center" wrapText="1"/>
    </xf>
    <xf numFmtId="0" fontId="2" fillId="0" borderId="1" xfId="28" applyBorder="1" applyAlignment="1">
      <alignment vertical="center" wrapText="1"/>
    </xf>
    <xf numFmtId="0" fontId="2" fillId="0" borderId="1" xfId="58" applyBorder="1" applyAlignment="1">
      <alignment horizontal="center" vertical="center" wrapText="1"/>
    </xf>
    <xf numFmtId="204" fontId="2" fillId="0" borderId="1" xfId="55" applyNumberFormat="1" applyFont="1" applyBorder="1" applyAlignment="1">
      <alignment horizontal="left" vertical="center"/>
    </xf>
    <xf numFmtId="204" fontId="2" fillId="0" borderId="1" xfId="55" applyNumberFormat="1" applyFont="1" applyBorder="1" applyAlignment="1">
      <alignment horizontal="center" vertical="center"/>
    </xf>
    <xf numFmtId="167" fontId="2" fillId="0" borderId="1" xfId="76" applyNumberFormat="1" applyBorder="1" applyAlignment="1">
      <alignment horizontal="center" vertical="center"/>
    </xf>
    <xf numFmtId="167" fontId="2" fillId="21" borderId="1" xfId="76" applyNumberFormat="1" applyFill="1" applyBorder="1" applyAlignment="1">
      <alignment horizontal="center" vertical="center"/>
    </xf>
    <xf numFmtId="0" fontId="75" fillId="0" borderId="0" xfId="70" applyFont="1" applyAlignment="1" applyProtection="1">
      <alignment vertical="center"/>
      <protection locked="0"/>
    </xf>
    <xf numFmtId="207" fontId="75" fillId="0" borderId="0" xfId="70" applyNumberFormat="1" applyFont="1" applyAlignment="1">
      <alignment horizontal="center" vertical="center"/>
    </xf>
    <xf numFmtId="4" fontId="2" fillId="0" borderId="0" xfId="70" applyNumberFormat="1" applyAlignment="1">
      <alignment horizontal="center" vertical="center"/>
    </xf>
    <xf numFmtId="3" fontId="75" fillId="0" borderId="0" xfId="70" applyNumberFormat="1" applyFont="1" applyAlignment="1">
      <alignment horizontal="right" vertical="center"/>
    </xf>
    <xf numFmtId="4" fontId="75" fillId="0" borderId="0" xfId="70" applyNumberFormat="1" applyFont="1" applyAlignment="1">
      <alignment horizontal="center" vertical="center"/>
    </xf>
    <xf numFmtId="207" fontId="75" fillId="0" borderId="0" xfId="70" applyNumberFormat="1" applyFont="1" applyAlignment="1">
      <alignment horizontal="right" vertical="center"/>
    </xf>
    <xf numFmtId="4" fontId="75" fillId="0" borderId="0" xfId="70" applyNumberFormat="1" applyFont="1" applyAlignment="1" applyProtection="1">
      <alignment horizontal="left" vertical="center"/>
      <protection locked="0"/>
    </xf>
    <xf numFmtId="215" fontId="2" fillId="0" borderId="0" xfId="70" applyNumberFormat="1" applyAlignment="1" applyProtection="1">
      <alignment horizontal="center" vertical="center"/>
      <protection locked="0"/>
    </xf>
    <xf numFmtId="0" fontId="24" fillId="0" borderId="0" xfId="66" applyFont="1"/>
    <xf numFmtId="4" fontId="24" fillId="0" borderId="0" xfId="66" applyNumberFormat="1" applyFont="1"/>
    <xf numFmtId="0" fontId="94" fillId="39" borderId="140" xfId="28" applyFont="1" applyFill="1" applyBorder="1" applyAlignment="1">
      <alignment vertical="center"/>
    </xf>
    <xf numFmtId="0" fontId="94" fillId="39" borderId="141" xfId="28" applyFont="1" applyFill="1" applyBorder="1" applyAlignment="1">
      <alignment vertical="center"/>
    </xf>
    <xf numFmtId="0" fontId="94" fillId="39" borderId="142" xfId="28" applyFont="1" applyFill="1" applyBorder="1" applyAlignment="1">
      <alignment vertical="center"/>
    </xf>
    <xf numFmtId="2" fontId="31" fillId="40" borderId="143" xfId="28" applyNumberFormat="1" applyFont="1" applyFill="1" applyBorder="1" applyAlignment="1">
      <alignment vertical="center" wrapText="1"/>
    </xf>
    <xf numFmtId="2" fontId="31" fillId="40" borderId="141" xfId="28" applyNumberFormat="1" applyFont="1" applyFill="1" applyBorder="1" applyAlignment="1">
      <alignment vertical="center" wrapText="1"/>
    </xf>
    <xf numFmtId="2" fontId="31" fillId="40" borderId="142" xfId="28" applyNumberFormat="1" applyFont="1" applyFill="1" applyBorder="1" applyAlignment="1">
      <alignment horizontal="center" vertical="center" wrapText="1"/>
    </xf>
    <xf numFmtId="2" fontId="31" fillId="41" borderId="142" xfId="28" applyNumberFormat="1" applyFont="1" applyFill="1" applyBorder="1" applyAlignment="1">
      <alignment horizontal="center" vertical="center" wrapText="1"/>
    </xf>
    <xf numFmtId="2" fontId="31" fillId="40" borderId="144" xfId="28" applyNumberFormat="1" applyFont="1" applyFill="1" applyBorder="1" applyAlignment="1">
      <alignment horizontal="center" vertical="center"/>
    </xf>
    <xf numFmtId="193" fontId="32" fillId="40" borderId="144" xfId="28" applyNumberFormat="1" applyFont="1" applyFill="1" applyBorder="1"/>
    <xf numFmtId="0" fontId="32" fillId="42" borderId="142" xfId="28" applyFont="1" applyFill="1" applyBorder="1" applyAlignment="1" applyProtection="1">
      <alignment horizontal="center"/>
      <protection locked="0"/>
    </xf>
    <xf numFmtId="10" fontId="32" fillId="40" borderId="144" xfId="19" applyNumberFormat="1" applyFont="1" applyFill="1" applyBorder="1" applyAlignment="1">
      <alignment horizontal="center"/>
    </xf>
    <xf numFmtId="2" fontId="32" fillId="40" borderId="145" xfId="28" applyNumberFormat="1" applyFont="1" applyFill="1" applyBorder="1" applyAlignment="1" applyProtection="1">
      <alignment horizontal="center"/>
      <protection hidden="1"/>
    </xf>
    <xf numFmtId="0" fontId="24" fillId="0" borderId="146" xfId="66" applyFont="1" applyBorder="1"/>
    <xf numFmtId="0" fontId="24" fillId="0" borderId="147" xfId="66" applyFont="1" applyBorder="1"/>
    <xf numFmtId="0" fontId="94" fillId="39" borderId="143" xfId="28" applyFont="1" applyFill="1" applyBorder="1" applyAlignment="1">
      <alignment vertical="center"/>
    </xf>
    <xf numFmtId="0" fontId="94" fillId="39" borderId="148" xfId="28" applyFont="1" applyFill="1" applyBorder="1" applyAlignment="1">
      <alignment vertical="center"/>
    </xf>
    <xf numFmtId="2" fontId="31" fillId="40" borderId="144" xfId="28" applyNumberFormat="1" applyFont="1" applyFill="1" applyBorder="1" applyAlignment="1">
      <alignment horizontal="center" vertical="center" wrapText="1"/>
    </xf>
    <xf numFmtId="42" fontId="32" fillId="40" borderId="149" xfId="53" applyFont="1" applyFill="1" applyBorder="1" applyAlignment="1" applyProtection="1">
      <protection hidden="1"/>
    </xf>
    <xf numFmtId="42" fontId="32" fillId="40" borderId="145" xfId="53" applyFont="1" applyFill="1" applyBorder="1" applyAlignment="1" applyProtection="1">
      <alignment horizontal="center"/>
      <protection hidden="1"/>
    </xf>
    <xf numFmtId="0" fontId="67" fillId="5" borderId="0" xfId="78" applyFont="1" applyFill="1" applyBorder="1" applyAlignment="1">
      <alignment vertical="center" wrapText="1"/>
    </xf>
    <xf numFmtId="0" fontId="54" fillId="5" borderId="0" xfId="78" applyNumberFormat="1" applyFont="1" applyFill="1" applyBorder="1" applyAlignment="1">
      <alignment vertical="center" wrapText="1"/>
    </xf>
    <xf numFmtId="0" fontId="54" fillId="5" borderId="23" xfId="78" applyNumberFormat="1" applyFont="1" applyFill="1" applyBorder="1" applyAlignment="1">
      <alignment horizontal="center" vertical="center" wrapText="1"/>
    </xf>
    <xf numFmtId="0" fontId="54" fillId="5" borderId="23" xfId="78" applyNumberFormat="1" applyFont="1" applyFill="1" applyBorder="1" applyAlignment="1">
      <alignment horizontal="justify" vertical="center" wrapText="1"/>
    </xf>
    <xf numFmtId="0" fontId="54" fillId="5" borderId="23" xfId="78" applyNumberFormat="1" applyFont="1" applyFill="1" applyBorder="1" applyAlignment="1">
      <alignment vertical="center" wrapText="1"/>
    </xf>
    <xf numFmtId="0" fontId="67" fillId="5" borderId="58" xfId="78" applyFont="1" applyFill="1" applyBorder="1" applyAlignment="1">
      <alignment vertical="center" wrapText="1"/>
    </xf>
    <xf numFmtId="0" fontId="53" fillId="0" borderId="41" xfId="79" applyBorder="1" applyAlignment="1">
      <alignment horizontal="center"/>
    </xf>
    <xf numFmtId="0" fontId="67" fillId="5" borderId="0" xfId="78" applyFont="1" applyFill="1" applyBorder="1" applyAlignment="1">
      <alignment horizontal="center" vertical="center" wrapText="1"/>
    </xf>
    <xf numFmtId="0" fontId="54" fillId="5" borderId="0" xfId="78" applyNumberFormat="1" applyFont="1" applyFill="1" applyBorder="1" applyAlignment="1">
      <alignment horizontal="center" vertical="center" wrapText="1"/>
    </xf>
    <xf numFmtId="0" fontId="54" fillId="5" borderId="0" xfId="78" applyNumberFormat="1" applyFont="1" applyFill="1" applyBorder="1" applyAlignment="1">
      <alignment horizontal="justify" vertical="center" wrapText="1"/>
    </xf>
    <xf numFmtId="0" fontId="54" fillId="5" borderId="41" xfId="78" applyNumberFormat="1" applyFont="1" applyFill="1" applyBorder="1" applyAlignment="1">
      <alignment vertical="center" wrapText="1"/>
    </xf>
    <xf numFmtId="0" fontId="54" fillId="5" borderId="58" xfId="78" applyNumberFormat="1" applyFont="1" applyFill="1" applyBorder="1" applyAlignment="1">
      <alignment horizontal="right" vertical="center" wrapText="1"/>
    </xf>
    <xf numFmtId="0" fontId="54" fillId="5" borderId="0" xfId="78" applyNumberFormat="1" applyFont="1" applyFill="1" applyBorder="1" applyAlignment="1">
      <alignment horizontal="right" vertical="center" wrapText="1"/>
    </xf>
    <xf numFmtId="0" fontId="98" fillId="0" borderId="57" xfId="78" quotePrefix="1" applyFont="1" applyFill="1" applyBorder="1" applyAlignment="1">
      <alignment horizontal="center" vertical="center" wrapText="1"/>
    </xf>
    <xf numFmtId="0" fontId="98" fillId="0" borderId="34" xfId="78" quotePrefix="1" applyFont="1" applyBorder="1" applyAlignment="1">
      <alignment horizontal="center" vertical="center" wrapText="1"/>
    </xf>
    <xf numFmtId="0" fontId="75" fillId="0" borderId="27" xfId="78" applyFont="1" applyBorder="1" applyAlignment="1">
      <alignment horizontal="center" vertical="center" wrapText="1"/>
    </xf>
    <xf numFmtId="0" fontId="35" fillId="2" borderId="9" xfId="78" applyFont="1" applyFill="1" applyBorder="1" applyAlignment="1">
      <alignment horizontal="left" vertical="center"/>
    </xf>
    <xf numFmtId="0" fontId="35" fillId="2" borderId="8" xfId="78" applyFont="1" applyFill="1" applyBorder="1" applyAlignment="1">
      <alignment vertical="center" wrapText="1"/>
    </xf>
    <xf numFmtId="0" fontId="35" fillId="2" borderId="30" xfId="78" applyFont="1" applyFill="1" applyBorder="1" applyAlignment="1">
      <alignment vertical="center" wrapText="1"/>
    </xf>
    <xf numFmtId="207" fontId="2" fillId="0" borderId="1" xfId="33" applyNumberFormat="1" applyBorder="1" applyAlignment="1">
      <alignment horizontal="center" vertical="center"/>
    </xf>
    <xf numFmtId="0" fontId="2" fillId="0" borderId="1" xfId="57" applyNumberFormat="1" applyBorder="1" applyAlignment="1">
      <alignment horizontal="left" vertical="center"/>
    </xf>
    <xf numFmtId="202" fontId="2" fillId="0" borderId="1" xfId="57" applyNumberFormat="1" applyBorder="1" applyAlignment="1">
      <alignment horizontal="center" vertical="center"/>
    </xf>
    <xf numFmtId="9" fontId="2" fillId="0" borderId="1" xfId="80" applyFont="1" applyBorder="1" applyAlignment="1">
      <alignment horizontal="center" vertical="center"/>
    </xf>
    <xf numFmtId="216" fontId="2" fillId="0" borderId="6" xfId="81" applyNumberFormat="1" applyFont="1" applyFill="1" applyBorder="1" applyAlignment="1">
      <alignment vertical="center" wrapText="1"/>
    </xf>
    <xf numFmtId="0" fontId="44" fillId="0" borderId="0" xfId="58" applyFont="1" applyAlignment="1">
      <alignment vertical="center" wrapText="1"/>
    </xf>
    <xf numFmtId="216" fontId="75" fillId="2" borderId="6" xfId="81" applyNumberFormat="1" applyFont="1" applyFill="1" applyBorder="1" applyAlignment="1">
      <alignment vertical="center" wrapText="1"/>
    </xf>
    <xf numFmtId="0" fontId="100" fillId="0" borderId="41" xfId="78" applyNumberFormat="1" applyFont="1" applyFill="1" applyBorder="1" applyAlignment="1">
      <alignment horizontal="center" wrapText="1"/>
    </xf>
    <xf numFmtId="2" fontId="35" fillId="2" borderId="6" xfId="78" applyNumberFormat="1" applyFont="1" applyFill="1" applyBorder="1" applyAlignment="1">
      <alignment vertical="center" wrapText="1"/>
    </xf>
    <xf numFmtId="0" fontId="97" fillId="5" borderId="41" xfId="78" applyFont="1" applyFill="1" applyBorder="1" applyAlignment="1">
      <alignment horizontal="center" vertical="center" wrapText="1"/>
    </xf>
    <xf numFmtId="216" fontId="35" fillId="2" borderId="13" xfId="78" applyNumberFormat="1" applyFont="1" applyFill="1" applyBorder="1" applyAlignment="1">
      <alignment vertical="center" wrapText="1"/>
    </xf>
    <xf numFmtId="0" fontId="2" fillId="0" borderId="1" xfId="57" applyNumberFormat="1" applyBorder="1" applyAlignment="1">
      <alignment horizontal="left" vertical="center" wrapText="1"/>
    </xf>
    <xf numFmtId="201" fontId="2" fillId="0" borderId="1" xfId="57" applyBorder="1" applyAlignment="1">
      <alignment horizontal="center" vertical="center"/>
    </xf>
    <xf numFmtId="0" fontId="2" fillId="0" borderId="1" xfId="57" applyNumberFormat="1" applyBorder="1" applyAlignment="1">
      <alignment horizontal="justify" vertical="center" wrapText="1"/>
    </xf>
    <xf numFmtId="2" fontId="2" fillId="0" borderId="14" xfId="78" applyNumberFormat="1" applyFont="1" applyBorder="1" applyAlignment="1">
      <alignment horizontal="center" vertical="center" wrapText="1"/>
    </xf>
    <xf numFmtId="0" fontId="98" fillId="0" borderId="5" xfId="78" quotePrefix="1" applyFont="1" applyFill="1" applyBorder="1" applyAlignment="1">
      <alignment horizontal="center" vertical="center" wrapText="1"/>
    </xf>
    <xf numFmtId="0" fontId="98" fillId="0" borderId="1" xfId="78" quotePrefix="1" applyFont="1" applyBorder="1" applyAlignment="1">
      <alignment horizontal="center" vertical="center" wrapText="1"/>
    </xf>
    <xf numFmtId="0" fontId="75" fillId="0" borderId="6" xfId="78" applyFont="1" applyBorder="1" applyAlignment="1">
      <alignment horizontal="center" vertical="center" wrapText="1"/>
    </xf>
    <xf numFmtId="0" fontId="2" fillId="0" borderId="1" xfId="33" applyBorder="1" applyAlignment="1">
      <alignment horizontal="left" vertical="center" wrapText="1"/>
    </xf>
    <xf numFmtId="0" fontId="102" fillId="0" borderId="1" xfId="33" applyFont="1" applyBorder="1" applyAlignment="1">
      <alignment horizontal="center" vertical="center"/>
    </xf>
    <xf numFmtId="0" fontId="101" fillId="0" borderId="0" xfId="33" applyFont="1" applyAlignment="1">
      <alignment vertical="center"/>
    </xf>
    <xf numFmtId="0" fontId="102" fillId="0" borderId="48" xfId="33" applyFont="1" applyBorder="1" applyAlignment="1">
      <alignment horizontal="center" vertical="center"/>
    </xf>
    <xf numFmtId="202" fontId="2" fillId="0" borderId="48" xfId="57" applyNumberFormat="1" applyBorder="1" applyAlignment="1">
      <alignment horizontal="center" vertical="center"/>
    </xf>
    <xf numFmtId="0" fontId="2" fillId="0" borderId="12" xfId="33" applyBorder="1" applyAlignment="1">
      <alignment horizontal="left" vertical="center" wrapText="1"/>
    </xf>
    <xf numFmtId="0" fontId="102" fillId="0" borderId="12" xfId="33" applyFont="1" applyBorder="1" applyAlignment="1">
      <alignment horizontal="center" vertical="center"/>
    </xf>
    <xf numFmtId="202" fontId="2" fillId="0" borderId="12" xfId="57" applyNumberFormat="1" applyBorder="1" applyAlignment="1">
      <alignment horizontal="center" vertical="center"/>
    </xf>
    <xf numFmtId="42" fontId="54" fillId="5" borderId="41" xfId="83" applyFont="1" applyFill="1" applyBorder="1" applyAlignment="1">
      <alignment vertical="center" wrapText="1"/>
    </xf>
    <xf numFmtId="169" fontId="35" fillId="2" borderId="6" xfId="82" applyFont="1" applyFill="1" applyBorder="1" applyAlignment="1">
      <alignment vertical="center" wrapText="1"/>
    </xf>
    <xf numFmtId="44" fontId="100" fillId="0" borderId="41" xfId="78" applyNumberFormat="1" applyFont="1" applyFill="1" applyBorder="1" applyAlignment="1">
      <alignment horizontal="center" wrapText="1"/>
    </xf>
    <xf numFmtId="169" fontId="35" fillId="2" borderId="6" xfId="84" applyFont="1" applyFill="1" applyBorder="1" applyAlignment="1">
      <alignment vertical="center" wrapText="1"/>
    </xf>
    <xf numFmtId="0" fontId="100" fillId="5" borderId="41" xfId="78" applyNumberFormat="1" applyFont="1" applyFill="1" applyBorder="1" applyAlignment="1">
      <alignment horizontal="center" wrapText="1"/>
    </xf>
    <xf numFmtId="169" fontId="35" fillId="2" borderId="13" xfId="82" applyFont="1" applyFill="1" applyBorder="1" applyAlignment="1">
      <alignment vertical="center" wrapText="1"/>
    </xf>
    <xf numFmtId="0" fontId="2" fillId="0" borderId="0" xfId="33" applyAlignment="1">
      <alignment vertical="center"/>
    </xf>
    <xf numFmtId="0" fontId="75" fillId="5" borderId="22" xfId="78" applyFont="1" applyFill="1" applyBorder="1" applyAlignment="1">
      <alignment horizontal="justify" vertical="center" wrapText="1"/>
    </xf>
    <xf numFmtId="0" fontId="75" fillId="5" borderId="23" xfId="78" applyFont="1" applyFill="1" applyBorder="1" applyAlignment="1">
      <alignment horizontal="justify" vertical="center" wrapText="1"/>
    </xf>
    <xf numFmtId="0" fontId="75" fillId="5" borderId="24" xfId="78" applyFont="1" applyFill="1" applyBorder="1" applyAlignment="1">
      <alignment horizontal="justify" vertical="center" wrapText="1"/>
    </xf>
    <xf numFmtId="0" fontId="2" fillId="0" borderId="26" xfId="64" applyFont="1" applyBorder="1"/>
    <xf numFmtId="4" fontId="2" fillId="0" borderId="27" xfId="33" applyNumberFormat="1" applyBorder="1"/>
    <xf numFmtId="0" fontId="54" fillId="5" borderId="27" xfId="78" applyNumberFormat="1" applyFont="1" applyFill="1" applyBorder="1" applyAlignment="1">
      <alignment vertical="center" wrapText="1"/>
    </xf>
    <xf numFmtId="0" fontId="67" fillId="5" borderId="22" xfId="78" applyFont="1" applyFill="1" applyBorder="1" applyAlignment="1">
      <alignment horizontal="center" vertical="center" wrapText="1"/>
    </xf>
    <xf numFmtId="0" fontId="54" fillId="5" borderId="24" xfId="78" applyNumberFormat="1" applyFont="1" applyFill="1" applyBorder="1" applyAlignment="1">
      <alignment vertical="center" wrapText="1"/>
    </xf>
    <xf numFmtId="0" fontId="43" fillId="0" borderId="58" xfId="33" applyFont="1" applyBorder="1" applyAlignment="1">
      <alignment vertical="center" wrapText="1"/>
    </xf>
    <xf numFmtId="0" fontId="43" fillId="0" borderId="0" xfId="33" applyFont="1" applyAlignment="1">
      <alignment vertical="center" wrapText="1"/>
    </xf>
    <xf numFmtId="0" fontId="43" fillId="0" borderId="41" xfId="33" applyFont="1" applyBorder="1" applyAlignment="1">
      <alignment vertical="center" wrapText="1"/>
    </xf>
    <xf numFmtId="0" fontId="43" fillId="0" borderId="58" xfId="33" applyFont="1" applyBorder="1" applyAlignment="1">
      <alignment vertical="center"/>
    </xf>
    <xf numFmtId="0" fontId="54" fillId="5" borderId="25" xfId="78" applyNumberFormat="1" applyFont="1" applyFill="1" applyBorder="1" applyAlignment="1">
      <alignment vertical="center" wrapText="1"/>
    </xf>
    <xf numFmtId="0" fontId="53" fillId="0" borderId="0" xfId="79" applyAlignment="1">
      <alignment horizontal="center"/>
    </xf>
    <xf numFmtId="0" fontId="2" fillId="0" borderId="0" xfId="66"/>
    <xf numFmtId="0" fontId="1" fillId="0" borderId="0" xfId="64"/>
    <xf numFmtId="0" fontId="46" fillId="0" borderId="0" xfId="58" applyFont="1" applyAlignment="1">
      <alignment vertical="top" wrapText="1"/>
    </xf>
    <xf numFmtId="0" fontId="82" fillId="0" borderId="0" xfId="58" applyFont="1" applyAlignment="1">
      <alignment vertical="top" wrapText="1"/>
    </xf>
    <xf numFmtId="3" fontId="46" fillId="0" borderId="0" xfId="58" applyNumberFormat="1" applyFont="1" applyAlignment="1">
      <alignment horizontal="center" vertical="center" wrapText="1"/>
    </xf>
    <xf numFmtId="207" fontId="46" fillId="0" borderId="1" xfId="58" applyNumberFormat="1" applyFont="1" applyBorder="1" applyAlignment="1">
      <alignment horizontal="center" vertical="top" wrapText="1"/>
    </xf>
    <xf numFmtId="207" fontId="46" fillId="0" borderId="1" xfId="58" applyNumberFormat="1" applyFont="1" applyBorder="1" applyAlignment="1">
      <alignment horizontal="center" vertical="center" wrapText="1"/>
    </xf>
    <xf numFmtId="0" fontId="106" fillId="0" borderId="1" xfId="58" applyFont="1" applyBorder="1" applyAlignment="1">
      <alignment horizontal="center" vertical="top" wrapText="1"/>
    </xf>
    <xf numFmtId="9" fontId="46" fillId="21" borderId="1" xfId="58" applyNumberFormat="1" applyFont="1" applyFill="1" applyBorder="1" applyAlignment="1">
      <alignment horizontal="center" vertical="center" wrapText="1"/>
    </xf>
    <xf numFmtId="0" fontId="46" fillId="0" borderId="1" xfId="58" applyFont="1" applyBorder="1" applyAlignment="1">
      <alignment horizontal="center" vertical="center" wrapText="1"/>
    </xf>
    <xf numFmtId="3" fontId="46" fillId="0" borderId="1" xfId="58" applyNumberFormat="1" applyFont="1" applyBorder="1" applyAlignment="1">
      <alignment horizontal="center" vertical="center" wrapText="1"/>
    </xf>
    <xf numFmtId="207" fontId="46" fillId="21" borderId="1" xfId="58" applyNumberFormat="1" applyFont="1" applyFill="1" applyBorder="1" applyAlignment="1">
      <alignment horizontal="center" vertical="center" wrapText="1"/>
    </xf>
    <xf numFmtId="10" fontId="75" fillId="0" borderId="1" xfId="58" applyNumberFormat="1" applyFont="1" applyBorder="1" applyAlignment="1">
      <alignment horizontal="center" vertical="center" wrapText="1"/>
    </xf>
    <xf numFmtId="0" fontId="107" fillId="0" borderId="0" xfId="64" applyFont="1" applyAlignment="1">
      <alignment vertical="center"/>
    </xf>
    <xf numFmtId="9" fontId="46" fillId="0" borderId="1" xfId="58" applyNumberFormat="1" applyFont="1" applyBorder="1" applyAlignment="1">
      <alignment horizontal="center" vertical="center" wrapText="1"/>
    </xf>
    <xf numFmtId="10" fontId="46" fillId="0" borderId="1" xfId="58" applyNumberFormat="1" applyFont="1" applyBorder="1" applyAlignment="1">
      <alignment horizontal="center" vertical="center" wrapText="1"/>
    </xf>
    <xf numFmtId="9" fontId="106" fillId="0" borderId="1" xfId="58" applyNumberFormat="1" applyFont="1" applyBorder="1" applyAlignment="1">
      <alignment horizontal="center" vertical="center" wrapText="1"/>
    </xf>
    <xf numFmtId="0" fontId="106" fillId="0" borderId="1" xfId="58" applyFont="1" applyBorder="1" applyAlignment="1">
      <alignment horizontal="center" vertical="center" wrapText="1"/>
    </xf>
    <xf numFmtId="3" fontId="106" fillId="0" borderId="1" xfId="58" applyNumberFormat="1" applyFont="1" applyBorder="1" applyAlignment="1">
      <alignment horizontal="center" vertical="center" wrapText="1"/>
    </xf>
    <xf numFmtId="0" fontId="60" fillId="0" borderId="1" xfId="86" applyNumberFormat="1" applyFont="1" applyFill="1" applyBorder="1" applyAlignment="1">
      <alignment horizontal="center" vertical="center" wrapText="1"/>
    </xf>
    <xf numFmtId="177" fontId="46" fillId="0" borderId="1" xfId="85" applyNumberFormat="1" applyFont="1" applyBorder="1" applyAlignment="1">
      <alignment horizontal="center" vertical="center" wrapText="1"/>
    </xf>
    <xf numFmtId="173" fontId="38" fillId="23" borderId="0" xfId="57" applyNumberFormat="1" applyFont="1" applyFill="1" applyAlignment="1">
      <alignment horizontal="center"/>
    </xf>
    <xf numFmtId="173" fontId="39" fillId="23" borderId="0" xfId="57" applyNumberFormat="1" applyFont="1" applyFill="1" applyAlignment="1">
      <alignment horizontal="center" vertical="center" wrapText="1"/>
    </xf>
    <xf numFmtId="173" fontId="39" fillId="23" borderId="0" xfId="57" applyNumberFormat="1" applyFont="1" applyFill="1" applyAlignment="1">
      <alignment horizontal="center" vertical="center"/>
    </xf>
    <xf numFmtId="204" fontId="2" fillId="0" borderId="13" xfId="55" applyNumberFormat="1" applyFont="1" applyBorder="1" applyAlignment="1">
      <alignment horizontal="center" vertical="center"/>
    </xf>
    <xf numFmtId="173" fontId="39" fillId="23" borderId="0" xfId="87" applyNumberFormat="1" applyFont="1" applyFill="1" applyAlignment="1">
      <alignment horizontal="center" vertical="center"/>
    </xf>
    <xf numFmtId="167" fontId="0" fillId="0" borderId="0" xfId="88" applyFont="1"/>
    <xf numFmtId="173" fontId="47" fillId="23" borderId="0" xfId="57" applyNumberFormat="1" applyFont="1" applyFill="1" applyAlignment="1">
      <alignment horizontal="center" vertical="center" wrapText="1"/>
    </xf>
    <xf numFmtId="0" fontId="86" fillId="0" borderId="0" xfId="58" applyFont="1" applyAlignment="1">
      <alignment horizontal="center" vertical="top" wrapText="1"/>
    </xf>
    <xf numFmtId="10" fontId="39" fillId="23" borderId="0" xfId="19" applyNumberFormat="1" applyFont="1" applyFill="1" applyAlignment="1">
      <alignment horizontal="center" vertical="center"/>
    </xf>
    <xf numFmtId="0" fontId="75" fillId="0" borderId="0" xfId="66" applyFont="1"/>
    <xf numFmtId="0" fontId="1" fillId="0" borderId="0" xfId="24"/>
    <xf numFmtId="44" fontId="58" fillId="13" borderId="1" xfId="90" applyFont="1" applyFill="1" applyBorder="1" applyAlignment="1">
      <alignment horizontal="center" vertical="center" wrapText="1"/>
    </xf>
    <xf numFmtId="0" fontId="1" fillId="0" borderId="1" xfId="24" applyBorder="1"/>
    <xf numFmtId="169" fontId="39" fillId="0" borderId="1" xfId="54" applyNumberFormat="1" applyFont="1" applyBorder="1" applyAlignment="1">
      <alignment vertical="center"/>
    </xf>
    <xf numFmtId="173" fontId="48" fillId="0" borderId="0" xfId="58" applyNumberFormat="1" applyFont="1" applyAlignment="1">
      <alignment vertical="center"/>
    </xf>
    <xf numFmtId="0" fontId="1" fillId="25" borderId="1" xfId="29" applyFill="1" applyBorder="1" applyAlignment="1">
      <alignment horizontal="center" vertical="center"/>
    </xf>
    <xf numFmtId="0" fontId="75" fillId="0" borderId="58" xfId="41" applyFont="1" applyBorder="1" applyAlignment="1">
      <alignment horizontal="justify" vertical="center" wrapText="1"/>
    </xf>
    <xf numFmtId="202" fontId="0" fillId="13" borderId="36" xfId="57" applyNumberFormat="1" applyFont="1" applyFill="1" applyBorder="1" applyAlignment="1">
      <alignment vertical="center"/>
    </xf>
    <xf numFmtId="0" fontId="24" fillId="0" borderId="1" xfId="28" applyFont="1" applyBorder="1" applyAlignment="1">
      <alignment horizontal="center"/>
    </xf>
    <xf numFmtId="3" fontId="24" fillId="0" borderId="1" xfId="28" applyNumberFormat="1" applyFont="1" applyBorder="1" applyAlignment="1">
      <alignment horizontal="center"/>
    </xf>
    <xf numFmtId="0" fontId="24" fillId="0" borderId="1" xfId="28" applyFont="1" applyBorder="1" applyAlignment="1">
      <alignment horizontal="center" vertical="center"/>
    </xf>
    <xf numFmtId="9" fontId="2" fillId="0" borderId="1" xfId="92" applyFont="1" applyBorder="1" applyAlignment="1">
      <alignment horizontal="center" vertical="center"/>
    </xf>
    <xf numFmtId="173" fontId="2" fillId="0" borderId="1" xfId="28" applyNumberFormat="1" applyBorder="1" applyAlignment="1">
      <alignment horizontal="center" vertical="center"/>
    </xf>
    <xf numFmtId="0" fontId="2" fillId="0" borderId="1" xfId="33" applyBorder="1" applyAlignment="1">
      <alignment horizontal="left" vertical="center"/>
    </xf>
    <xf numFmtId="3" fontId="2" fillId="0" borderId="0" xfId="28" applyNumberFormat="1" applyAlignment="1">
      <alignment horizontal="center"/>
    </xf>
    <xf numFmtId="3" fontId="2" fillId="0" borderId="0" xfId="28" applyNumberFormat="1"/>
    <xf numFmtId="0" fontId="2" fillId="0" borderId="0" xfId="28" applyAlignment="1">
      <alignment horizontal="center" vertical="center"/>
    </xf>
    <xf numFmtId="0" fontId="24" fillId="0" borderId="7" xfId="51" applyFont="1" applyBorder="1" applyAlignment="1">
      <alignment vertical="center" wrapText="1"/>
    </xf>
    <xf numFmtId="0" fontId="24" fillId="0" borderId="58" xfId="28" applyFont="1" applyBorder="1" applyAlignment="1">
      <alignment horizontal="center"/>
    </xf>
    <xf numFmtId="0" fontId="24" fillId="0" borderId="0" xfId="28" applyFont="1" applyAlignment="1">
      <alignment horizontal="center"/>
    </xf>
    <xf numFmtId="0" fontId="24" fillId="0" borderId="41" xfId="28" applyFont="1" applyBorder="1" applyAlignment="1">
      <alignment horizontal="center"/>
    </xf>
    <xf numFmtId="0" fontId="24" fillId="0" borderId="5" xfId="28" applyFont="1" applyBorder="1" applyAlignment="1">
      <alignment horizontal="center"/>
    </xf>
    <xf numFmtId="0" fontId="24" fillId="0" borderId="6" xfId="28" applyFont="1" applyBorder="1" applyAlignment="1">
      <alignment horizontal="center"/>
    </xf>
    <xf numFmtId="3" fontId="2" fillId="0" borderId="5" xfId="33" applyNumberFormat="1" applyBorder="1" applyAlignment="1">
      <alignment horizontal="center" vertical="center"/>
    </xf>
    <xf numFmtId="173" fontId="2" fillId="0" borderId="6" xfId="28" applyNumberFormat="1" applyBorder="1" applyAlignment="1">
      <alignment horizontal="center" vertical="center"/>
    </xf>
    <xf numFmtId="0" fontId="2" fillId="0" borderId="12" xfId="57" applyNumberFormat="1" applyBorder="1" applyAlignment="1">
      <alignment horizontal="left" vertical="center"/>
    </xf>
    <xf numFmtId="9" fontId="2" fillId="0" borderId="12" xfId="92" applyFont="1" applyBorder="1" applyAlignment="1">
      <alignment horizontal="center" vertical="center"/>
    </xf>
    <xf numFmtId="207" fontId="2" fillId="0" borderId="12" xfId="33" applyNumberFormat="1" applyBorder="1" applyAlignment="1">
      <alignment horizontal="center" vertical="center"/>
    </xf>
    <xf numFmtId="173" fontId="2" fillId="0" borderId="12" xfId="28" applyNumberFormat="1" applyBorder="1" applyAlignment="1">
      <alignment horizontal="center" vertical="center"/>
    </xf>
    <xf numFmtId="173" fontId="2" fillId="0" borderId="13" xfId="28" applyNumberFormat="1" applyBorder="1" applyAlignment="1">
      <alignment horizontal="center" vertical="center"/>
    </xf>
    <xf numFmtId="0" fontId="24" fillId="0" borderId="16" xfId="28" applyFont="1" applyBorder="1"/>
    <xf numFmtId="3" fontId="24" fillId="0" borderId="17" xfId="28" applyNumberFormat="1" applyFont="1" applyBorder="1"/>
    <xf numFmtId="0" fontId="24" fillId="0" borderId="17" xfId="28" applyFont="1" applyBorder="1" applyAlignment="1">
      <alignment horizontal="center" vertical="center"/>
    </xf>
    <xf numFmtId="173" fontId="24" fillId="0" borderId="21" xfId="28" applyNumberFormat="1" applyFont="1" applyBorder="1"/>
    <xf numFmtId="0" fontId="2" fillId="0" borderId="58" xfId="66" applyBorder="1"/>
    <xf numFmtId="0" fontId="2" fillId="0" borderId="41" xfId="66" applyBorder="1"/>
    <xf numFmtId="0" fontId="46" fillId="0" borderId="5" xfId="58" applyFont="1" applyBorder="1" applyAlignment="1">
      <alignment vertical="top" wrapText="1"/>
    </xf>
    <xf numFmtId="0" fontId="1" fillId="0" borderId="58" xfId="64" applyBorder="1"/>
    <xf numFmtId="0" fontId="1" fillId="0" borderId="41" xfId="64" applyBorder="1"/>
    <xf numFmtId="0" fontId="106" fillId="0" borderId="6" xfId="58" applyFont="1" applyBorder="1" applyAlignment="1">
      <alignment horizontal="center" vertical="top" wrapText="1"/>
    </xf>
    <xf numFmtId="0" fontId="46" fillId="0" borderId="5" xfId="58" applyFont="1" applyBorder="1" applyAlignment="1">
      <alignment vertical="center" wrapText="1"/>
    </xf>
    <xf numFmtId="169" fontId="46" fillId="0" borderId="6" xfId="85" applyFont="1" applyBorder="1" applyAlignment="1">
      <alignment horizontal="center" vertical="center" wrapText="1"/>
    </xf>
    <xf numFmtId="169" fontId="106" fillId="0" borderId="6" xfId="85" applyFont="1" applyBorder="1" applyAlignment="1">
      <alignment horizontal="center" vertical="center" wrapText="1"/>
    </xf>
    <xf numFmtId="9" fontId="46" fillId="0" borderId="0" xfId="58" applyNumberFormat="1" applyFont="1" applyAlignment="1">
      <alignment horizontal="center" vertical="top" wrapText="1"/>
    </xf>
    <xf numFmtId="0" fontId="46" fillId="0" borderId="0" xfId="58" applyFont="1" applyAlignment="1">
      <alignment horizontal="center" vertical="top" wrapText="1"/>
    </xf>
    <xf numFmtId="3" fontId="46" fillId="0" borderId="0" xfId="58" applyNumberFormat="1" applyFont="1" applyAlignment="1">
      <alignment horizontal="center" vertical="top" wrapText="1"/>
    </xf>
    <xf numFmtId="207" fontId="46" fillId="0" borderId="0" xfId="58" applyNumberFormat="1" applyFont="1" applyAlignment="1">
      <alignment horizontal="center" vertical="top" wrapText="1"/>
    </xf>
    <xf numFmtId="10" fontId="46" fillId="0" borderId="0" xfId="58" applyNumberFormat="1" applyFont="1" applyAlignment="1">
      <alignment horizontal="center" vertical="top" wrapText="1"/>
    </xf>
    <xf numFmtId="169" fontId="46" fillId="0" borderId="41" xfId="85" applyFont="1" applyBorder="1" applyAlignment="1">
      <alignment horizontal="center" vertical="top" wrapText="1"/>
    </xf>
    <xf numFmtId="169" fontId="106" fillId="12" borderId="13" xfId="85" applyFont="1" applyFill="1" applyBorder="1" applyAlignment="1">
      <alignment horizontal="center" vertical="center" wrapText="1"/>
    </xf>
    <xf numFmtId="0" fontId="57" fillId="5" borderId="5" xfId="89" applyFont="1" applyFill="1" applyBorder="1" applyAlignment="1">
      <alignment horizontal="left" vertical="center" wrapText="1"/>
    </xf>
    <xf numFmtId="3" fontId="58" fillId="0" borderId="0" xfId="89" applyNumberFormat="1" applyFont="1" applyAlignment="1">
      <alignment vertical="center"/>
    </xf>
    <xf numFmtId="0" fontId="58" fillId="0" borderId="0" xfId="89" applyFont="1" applyAlignment="1">
      <alignment vertical="center"/>
    </xf>
    <xf numFmtId="201" fontId="2" fillId="0" borderId="6" xfId="57" applyFont="1" applyFill="1" applyBorder="1" applyAlignment="1">
      <alignment horizontal="center" vertical="center"/>
    </xf>
    <xf numFmtId="0" fontId="62" fillId="5" borderId="58" xfId="89" applyFont="1" applyFill="1" applyBorder="1" applyAlignment="1">
      <alignment vertical="center" wrapText="1"/>
    </xf>
    <xf numFmtId="0" fontId="62" fillId="5" borderId="0" xfId="89" applyFont="1" applyFill="1" applyAlignment="1">
      <alignment vertical="center" wrapText="1"/>
    </xf>
    <xf numFmtId="0" fontId="57" fillId="5" borderId="0" xfId="89" applyFont="1" applyFill="1" applyAlignment="1">
      <alignment vertical="center" wrapText="1"/>
    </xf>
    <xf numFmtId="10" fontId="57" fillId="5" borderId="0" xfId="89" applyNumberFormat="1" applyFont="1" applyFill="1" applyAlignment="1">
      <alignment vertical="center" wrapText="1"/>
    </xf>
    <xf numFmtId="0" fontId="57" fillId="5" borderId="41" xfId="89" applyFont="1" applyFill="1" applyBorder="1" applyAlignment="1">
      <alignment vertical="center" wrapText="1"/>
    </xf>
    <xf numFmtId="0" fontId="40" fillId="0" borderId="5" xfId="51" applyFont="1" applyBorder="1" applyAlignment="1">
      <alignment horizontal="left" vertical="center" wrapText="1"/>
    </xf>
    <xf numFmtId="10" fontId="39" fillId="0" borderId="6" xfId="19" applyNumberFormat="1" applyFont="1" applyBorder="1" applyAlignment="1">
      <alignment vertical="center"/>
    </xf>
    <xf numFmtId="0" fontId="1" fillId="0" borderId="58" xfId="24" applyBorder="1"/>
    <xf numFmtId="0" fontId="1" fillId="0" borderId="41" xfId="24" applyBorder="1"/>
    <xf numFmtId="0" fontId="1" fillId="0" borderId="25" xfId="24" applyBorder="1"/>
    <xf numFmtId="0" fontId="1" fillId="0" borderId="26" xfId="24" applyBorder="1"/>
    <xf numFmtId="204" fontId="39" fillId="0" borderId="13" xfId="55" applyNumberFormat="1" applyFont="1" applyBorder="1" applyAlignment="1">
      <alignment horizontal="center" vertical="center"/>
    </xf>
    <xf numFmtId="1" fontId="3" fillId="0" borderId="5" xfId="0" applyNumberFormat="1" applyFont="1" applyBorder="1" applyAlignment="1">
      <alignment horizontal="left" vertical="center" wrapText="1"/>
    </xf>
    <xf numFmtId="0" fontId="4" fillId="0" borderId="0" xfId="0" applyFont="1"/>
    <xf numFmtId="194" fontId="54" fillId="5" borderId="0" xfId="94" applyFont="1" applyFill="1" applyAlignment="1">
      <alignment horizontal="center" vertical="center"/>
    </xf>
    <xf numFmtId="194" fontId="67" fillId="5" borderId="0" xfId="94" applyFont="1" applyFill="1" applyAlignment="1">
      <alignment horizontal="center" vertical="center"/>
    </xf>
    <xf numFmtId="0" fontId="31" fillId="5" borderId="48" xfId="0" applyFont="1" applyFill="1" applyBorder="1" applyAlignment="1">
      <alignment horizontal="center" vertical="center"/>
    </xf>
    <xf numFmtId="0" fontId="31" fillId="5" borderId="14" xfId="0" applyFont="1" applyFill="1" applyBorder="1" applyAlignment="1">
      <alignment horizontal="center" vertical="center"/>
    </xf>
    <xf numFmtId="0" fontId="39" fillId="5" borderId="5" xfId="33" applyFont="1" applyFill="1" applyBorder="1" applyAlignment="1">
      <alignment horizontal="center" vertical="top"/>
    </xf>
    <xf numFmtId="0" fontId="41" fillId="5" borderId="1" xfId="0" applyFont="1" applyFill="1" applyBorder="1" applyAlignment="1">
      <alignment horizontal="justify" vertical="top" wrapText="1"/>
    </xf>
    <xf numFmtId="10" fontId="2" fillId="0" borderId="1" xfId="57" applyNumberFormat="1" applyFont="1" applyFill="1" applyBorder="1" applyAlignment="1">
      <alignment horizontal="center" vertical="center"/>
    </xf>
    <xf numFmtId="0" fontId="31" fillId="2" borderId="1" xfId="0" applyFont="1" applyFill="1" applyBorder="1" applyAlignment="1">
      <alignment vertical="center"/>
    </xf>
    <xf numFmtId="0" fontId="31" fillId="2" borderId="14" xfId="0" applyFont="1" applyFill="1" applyBorder="1" applyAlignment="1">
      <alignment vertical="center"/>
    </xf>
    <xf numFmtId="0" fontId="31" fillId="0" borderId="1" xfId="0" applyFont="1" applyBorder="1" applyAlignment="1">
      <alignment vertical="center"/>
    </xf>
    <xf numFmtId="9" fontId="31" fillId="0" borderId="1" xfId="0" applyNumberFormat="1" applyFont="1" applyBorder="1" applyAlignment="1">
      <alignment vertical="center"/>
    </xf>
    <xf numFmtId="0" fontId="54" fillId="5" borderId="0" xfId="0" applyFont="1" applyFill="1"/>
    <xf numFmtId="0" fontId="54" fillId="5" borderId="0" xfId="0" applyFont="1" applyFill="1" applyAlignment="1">
      <alignment horizontal="left"/>
    </xf>
    <xf numFmtId="0" fontId="31" fillId="2" borderId="5" xfId="0" applyFont="1" applyFill="1" applyBorder="1" applyAlignment="1">
      <alignment vertical="center"/>
    </xf>
    <xf numFmtId="217" fontId="24" fillId="2" borderId="6" xfId="57" applyNumberFormat="1" applyFont="1" applyFill="1" applyBorder="1" applyAlignment="1">
      <alignment horizontal="center" vertical="center"/>
    </xf>
    <xf numFmtId="0" fontId="32" fillId="0" borderId="5" xfId="0" applyFont="1" applyBorder="1" applyAlignment="1">
      <alignment vertical="center"/>
    </xf>
    <xf numFmtId="202" fontId="24" fillId="0" borderId="6" xfId="57" applyNumberFormat="1" applyFont="1" applyFill="1" applyBorder="1" applyAlignment="1">
      <alignment horizontal="right" vertical="center"/>
    </xf>
    <xf numFmtId="0" fontId="31" fillId="0" borderId="5" xfId="0" applyFont="1" applyBorder="1" applyAlignment="1">
      <alignment vertical="center"/>
    </xf>
    <xf numFmtId="0" fontId="31" fillId="0" borderId="58" xfId="0" applyFont="1" applyBorder="1" applyAlignment="1">
      <alignment vertical="center"/>
    </xf>
    <xf numFmtId="0" fontId="31" fillId="0" borderId="0" xfId="0" applyFont="1" applyAlignment="1">
      <alignment vertical="center"/>
    </xf>
    <xf numFmtId="9" fontId="31" fillId="0" borderId="0" xfId="0" applyNumberFormat="1" applyFont="1" applyAlignment="1">
      <alignment vertical="center"/>
    </xf>
    <xf numFmtId="202" fontId="24" fillId="0" borderId="41" xfId="57" applyNumberFormat="1" applyFont="1" applyFill="1" applyBorder="1" applyAlignment="1">
      <alignment horizontal="right" vertical="center"/>
    </xf>
    <xf numFmtId="0" fontId="31" fillId="5" borderId="58" xfId="0" applyFont="1" applyFill="1" applyBorder="1" applyAlignment="1">
      <alignment horizontal="left" vertical="center"/>
    </xf>
    <xf numFmtId="0" fontId="31" fillId="5" borderId="0" xfId="0" applyFont="1" applyFill="1" applyAlignment="1">
      <alignment horizontal="left" vertical="center"/>
    </xf>
    <xf numFmtId="3" fontId="24" fillId="5" borderId="41" xfId="57" applyNumberFormat="1" applyFont="1" applyFill="1" applyBorder="1" applyAlignment="1">
      <alignment horizontal="right" vertical="center"/>
    </xf>
    <xf numFmtId="174" fontId="8" fillId="0" borderId="0" xfId="1" applyNumberFormat="1" applyFont="1" applyBorder="1"/>
    <xf numFmtId="44" fontId="3" fillId="0" borderId="0" xfId="1" applyFont="1" applyBorder="1"/>
    <xf numFmtId="192" fontId="16" fillId="2" borderId="5" xfId="9" applyNumberFormat="1" applyFont="1" applyFill="1" applyBorder="1" applyAlignment="1">
      <alignment horizontal="center" vertical="center" wrapText="1"/>
    </xf>
    <xf numFmtId="193" fontId="16" fillId="2" borderId="6" xfId="44" applyNumberFormat="1" applyFont="1" applyFill="1" applyBorder="1" applyAlignment="1">
      <alignment horizontal="center" vertical="center" wrapText="1"/>
    </xf>
    <xf numFmtId="192" fontId="22" fillId="15" borderId="5" xfId="9" applyNumberFormat="1" applyFont="1" applyFill="1" applyBorder="1" applyAlignment="1">
      <alignment horizontal="center" vertical="center" wrapText="1"/>
    </xf>
    <xf numFmtId="0" fontId="16" fillId="2" borderId="6" xfId="9" applyFont="1" applyFill="1" applyBorder="1" applyAlignment="1">
      <alignment vertical="center" wrapText="1"/>
    </xf>
    <xf numFmtId="192" fontId="17" fillId="0" borderId="5" xfId="9" applyNumberFormat="1" applyFont="1" applyBorder="1" applyAlignment="1">
      <alignment horizontal="center" vertical="center" wrapText="1"/>
    </xf>
    <xf numFmtId="10" fontId="11" fillId="0" borderId="6" xfId="2" applyNumberFormat="1" applyFont="1" applyFill="1" applyBorder="1" applyAlignment="1">
      <alignment horizontal="center" vertical="center" wrapText="1"/>
    </xf>
    <xf numFmtId="192" fontId="22" fillId="2" borderId="5" xfId="9" applyNumberFormat="1" applyFont="1" applyFill="1" applyBorder="1" applyAlignment="1">
      <alignment horizontal="center" vertical="center" wrapText="1"/>
    </xf>
    <xf numFmtId="49" fontId="17" fillId="0" borderId="5" xfId="9" applyNumberFormat="1" applyFont="1" applyBorder="1" applyAlignment="1">
      <alignment horizontal="center" vertical="center" wrapText="1"/>
    </xf>
    <xf numFmtId="49" fontId="22" fillId="2" borderId="5" xfId="9" applyNumberFormat="1" applyFont="1" applyFill="1" applyBorder="1" applyAlignment="1">
      <alignment horizontal="center" vertical="center" wrapText="1"/>
    </xf>
    <xf numFmtId="1" fontId="16" fillId="2" borderId="6" xfId="9" applyNumberFormat="1" applyFont="1" applyFill="1" applyBorder="1" applyAlignment="1">
      <alignment vertical="center"/>
    </xf>
    <xf numFmtId="2" fontId="3" fillId="0" borderId="34" xfId="0" applyNumberFormat="1" applyFont="1" applyBorder="1" applyAlignment="1">
      <alignment horizontal="center" vertical="center"/>
    </xf>
    <xf numFmtId="167" fontId="3" fillId="0" borderId="35" xfId="18" applyFont="1" applyFill="1" applyBorder="1" applyAlignment="1">
      <alignment vertical="center"/>
    </xf>
    <xf numFmtId="2" fontId="3" fillId="0" borderId="5" xfId="0" applyNumberFormat="1" applyFont="1" applyBorder="1" applyAlignment="1">
      <alignment vertical="center"/>
    </xf>
    <xf numFmtId="2" fontId="3" fillId="0" borderId="57" xfId="0" applyNumberFormat="1" applyFont="1" applyBorder="1" applyAlignment="1">
      <alignment vertical="center"/>
    </xf>
    <xf numFmtId="2" fontId="16" fillId="0" borderId="6" xfId="0" applyNumberFormat="1" applyFont="1" applyBorder="1" applyAlignment="1">
      <alignment horizontal="center" vertical="center"/>
    </xf>
    <xf numFmtId="218" fontId="3" fillId="0" borderId="0" xfId="0" applyNumberFormat="1" applyFont="1"/>
    <xf numFmtId="172" fontId="3" fillId="0" borderId="0" xfId="0" applyNumberFormat="1" applyFont="1"/>
    <xf numFmtId="174" fontId="3" fillId="0" borderId="6" xfId="1" applyNumberFormat="1" applyFont="1" applyBorder="1" applyAlignment="1">
      <alignment horizontal="center" vertical="center"/>
    </xf>
    <xf numFmtId="44" fontId="0" fillId="0" borderId="0" xfId="0" applyNumberFormat="1"/>
    <xf numFmtId="1" fontId="3" fillId="0" borderId="1" xfId="0" applyNumberFormat="1" applyFont="1" applyBorder="1" applyAlignment="1">
      <alignment horizontal="center" vertical="center"/>
    </xf>
    <xf numFmtId="44" fontId="63" fillId="0" borderId="0" xfId="33" applyNumberFormat="1" applyFont="1" applyAlignment="1">
      <alignment vertical="center" wrapText="1"/>
    </xf>
    <xf numFmtId="0" fontId="44" fillId="0" borderId="0" xfId="33" applyFont="1" applyAlignment="1">
      <alignment horizontal="left" vertical="center"/>
    </xf>
    <xf numFmtId="0" fontId="44" fillId="0" borderId="0" xfId="58" applyFont="1" applyAlignment="1">
      <alignment horizontal="left" vertical="center" wrapText="1"/>
    </xf>
    <xf numFmtId="9" fontId="3" fillId="0" borderId="0" xfId="0" applyNumberFormat="1" applyFont="1"/>
    <xf numFmtId="219" fontId="16" fillId="0" borderId="40" xfId="9" applyNumberFormat="1" applyFont="1" applyBorder="1" applyAlignment="1">
      <alignment horizontal="center" vertical="center"/>
    </xf>
    <xf numFmtId="200" fontId="8" fillId="0" borderId="36" xfId="1" applyNumberFormat="1" applyFont="1" applyBorder="1"/>
    <xf numFmtId="200" fontId="3" fillId="0" borderId="6" xfId="1" applyNumberFormat="1" applyFont="1" applyBorder="1" applyAlignment="1">
      <alignment horizontal="center" vertical="center"/>
    </xf>
    <xf numFmtId="200" fontId="3" fillId="0" borderId="41" xfId="0" applyNumberFormat="1" applyFont="1" applyBorder="1"/>
    <xf numFmtId="1" fontId="3" fillId="0" borderId="0" xfId="0" applyNumberFormat="1" applyFont="1"/>
    <xf numFmtId="42" fontId="3" fillId="0" borderId="0" xfId="95" applyFont="1"/>
    <xf numFmtId="42" fontId="3" fillId="0" borderId="0" xfId="0" applyNumberFormat="1" applyFont="1"/>
    <xf numFmtId="42" fontId="0" fillId="0" borderId="0" xfId="95" applyFont="1"/>
    <xf numFmtId="42" fontId="2" fillId="0" borderId="0" xfId="95" applyFont="1" applyAlignment="1">
      <alignment vertical="center"/>
    </xf>
    <xf numFmtId="220" fontId="2" fillId="0" borderId="0" xfId="69" applyNumberFormat="1" applyFont="1" applyAlignment="1">
      <alignment vertical="center"/>
    </xf>
    <xf numFmtId="184" fontId="38" fillId="0" borderId="6" xfId="68" applyNumberFormat="1" applyFont="1" applyBorder="1" applyAlignment="1">
      <alignment horizontal="right" vertical="center" wrapText="1"/>
    </xf>
    <xf numFmtId="184" fontId="16" fillId="8" borderId="1" xfId="2" applyNumberFormat="1" applyFont="1" applyFill="1" applyBorder="1" applyAlignment="1">
      <alignment vertical="center"/>
    </xf>
    <xf numFmtId="0" fontId="0" fillId="0" borderId="0" xfId="0" applyAlignment="1">
      <alignment wrapText="1"/>
    </xf>
    <xf numFmtId="0" fontId="0" fillId="0" borderId="0" xfId="0" applyAlignment="1">
      <alignment horizontal="left"/>
    </xf>
    <xf numFmtId="221" fontId="111" fillId="2" borderId="1" xfId="66" applyNumberFormat="1" applyFont="1" applyFill="1" applyBorder="1" applyAlignment="1">
      <alignment horizontal="center" vertical="center" wrapText="1"/>
    </xf>
    <xf numFmtId="0" fontId="111" fillId="2" borderId="1" xfId="66" applyFont="1" applyFill="1" applyBorder="1" applyAlignment="1">
      <alignment horizontal="center" vertical="center" wrapText="1"/>
    </xf>
    <xf numFmtId="0" fontId="111" fillId="2" borderId="1" xfId="66" applyFont="1" applyFill="1" applyBorder="1" applyAlignment="1">
      <alignment horizontal="centerContinuous" vertical="center" wrapText="1"/>
    </xf>
    <xf numFmtId="1" fontId="114" fillId="0" borderId="1" xfId="9" applyNumberFormat="1" applyFont="1" applyBorder="1" applyAlignment="1">
      <alignment horizontal="justify" vertical="center" wrapText="1"/>
    </xf>
    <xf numFmtId="0" fontId="114" fillId="0" borderId="1" xfId="9" applyFont="1" applyBorder="1" applyAlignment="1">
      <alignment horizontal="center" vertical="center" wrapText="1"/>
    </xf>
    <xf numFmtId="2" fontId="115" fillId="0" borderId="1" xfId="0" applyNumberFormat="1" applyFont="1" applyBorder="1" applyAlignment="1">
      <alignment horizontal="center" vertical="center" wrapText="1"/>
    </xf>
    <xf numFmtId="174" fontId="115" fillId="0" borderId="1" xfId="0" applyNumberFormat="1" applyFont="1" applyBorder="1" applyAlignment="1">
      <alignment horizontal="center" vertical="center" wrapText="1"/>
    </xf>
    <xf numFmtId="174" fontId="114" fillId="0" borderId="1" xfId="44" applyNumberFormat="1" applyFont="1" applyFill="1" applyBorder="1" applyAlignment="1">
      <alignment horizontal="center" vertical="center" wrapText="1"/>
    </xf>
    <xf numFmtId="4" fontId="115" fillId="0" borderId="1" xfId="0" applyNumberFormat="1" applyFont="1" applyBorder="1" applyAlignment="1">
      <alignment horizontal="center" vertical="center" wrapText="1"/>
    </xf>
    <xf numFmtId="173" fontId="115" fillId="0" borderId="1" xfId="0" applyNumberFormat="1" applyFont="1" applyBorder="1" applyAlignment="1">
      <alignment horizontal="center" vertical="center" wrapText="1"/>
    </xf>
    <xf numFmtId="0" fontId="116" fillId="23" borderId="7" xfId="9" applyFont="1" applyFill="1" applyBorder="1" applyAlignment="1">
      <alignment vertical="center" wrapText="1"/>
    </xf>
    <xf numFmtId="0" fontId="116" fillId="23" borderId="8" xfId="9" applyFont="1" applyFill="1" applyBorder="1" applyAlignment="1">
      <alignment vertical="center" wrapText="1"/>
    </xf>
    <xf numFmtId="2" fontId="115" fillId="45" borderId="1" xfId="0" applyNumberFormat="1" applyFont="1" applyFill="1" applyBorder="1" applyAlignment="1">
      <alignment horizontal="center" vertical="center" wrapText="1"/>
    </xf>
    <xf numFmtId="4" fontId="115" fillId="33" borderId="1" xfId="0" applyNumberFormat="1" applyFont="1" applyFill="1" applyBorder="1" applyAlignment="1">
      <alignment horizontal="center" vertical="center" wrapText="1"/>
    </xf>
    <xf numFmtId="0" fontId="117" fillId="0" borderId="1" xfId="9" applyFont="1" applyBorder="1" applyAlignment="1">
      <alignment horizontal="center" vertical="center" wrapText="1"/>
    </xf>
    <xf numFmtId="2" fontId="115" fillId="5" borderId="1" xfId="0" applyNumberFormat="1" applyFont="1" applyFill="1" applyBorder="1" applyAlignment="1">
      <alignment horizontal="center" vertical="center" wrapText="1"/>
    </xf>
    <xf numFmtId="174" fontId="115" fillId="5" borderId="1" xfId="0" applyNumberFormat="1" applyFont="1" applyFill="1" applyBorder="1" applyAlignment="1">
      <alignment horizontal="center" vertical="center" wrapText="1"/>
    </xf>
    <xf numFmtId="0" fontId="120" fillId="0" borderId="1" xfId="64" applyFont="1" applyBorder="1" applyAlignment="1">
      <alignment vertical="center" wrapText="1"/>
    </xf>
    <xf numFmtId="0" fontId="120" fillId="0" borderId="1" xfId="64" applyFont="1" applyBorder="1" applyAlignment="1">
      <alignment horizontal="center" vertical="center" wrapText="1"/>
    </xf>
    <xf numFmtId="2" fontId="119" fillId="0" borderId="1" xfId="0" applyNumberFormat="1" applyFont="1" applyBorder="1" applyAlignment="1">
      <alignment horizontal="center" vertical="center" wrapText="1"/>
    </xf>
    <xf numFmtId="174" fontId="119" fillId="0" borderId="1" xfId="0" applyNumberFormat="1" applyFont="1" applyBorder="1" applyAlignment="1">
      <alignment horizontal="center" vertical="center" wrapText="1"/>
    </xf>
    <xf numFmtId="4" fontId="119" fillId="0" borderId="1" xfId="0" applyNumberFormat="1" applyFont="1" applyBorder="1" applyAlignment="1">
      <alignment horizontal="center" vertical="center" wrapText="1"/>
    </xf>
    <xf numFmtId="0" fontId="121" fillId="0" borderId="58" xfId="66" applyFont="1" applyBorder="1" applyAlignment="1">
      <alignment horizontal="center" wrapText="1"/>
    </xf>
    <xf numFmtId="0" fontId="121" fillId="0" borderId="41" xfId="66" applyFont="1" applyBorder="1" applyAlignment="1">
      <alignment horizontal="center" wrapText="1"/>
    </xf>
    <xf numFmtId="221" fontId="121" fillId="0" borderId="6" xfId="66" applyNumberFormat="1" applyFont="1" applyBorder="1" applyAlignment="1">
      <alignment wrapText="1"/>
    </xf>
    <xf numFmtId="221" fontId="121" fillId="33" borderId="36" xfId="66" applyNumberFormat="1" applyFont="1" applyFill="1" applyBorder="1" applyAlignment="1">
      <alignment horizontal="center" vertical="center" wrapText="1"/>
    </xf>
    <xf numFmtId="9" fontId="121" fillId="0" borderId="0" xfId="2" applyFont="1" applyBorder="1" applyAlignment="1">
      <alignment horizontal="right" wrapText="1"/>
    </xf>
    <xf numFmtId="221" fontId="111" fillId="0" borderId="6" xfId="66" applyNumberFormat="1" applyFont="1" applyBorder="1" applyAlignment="1">
      <alignment wrapText="1"/>
    </xf>
    <xf numFmtId="0" fontId="43" fillId="0" borderId="58" xfId="66" applyFont="1" applyBorder="1" applyAlignment="1">
      <alignment horizontal="center" wrapText="1"/>
    </xf>
    <xf numFmtId="0" fontId="43" fillId="0" borderId="0" xfId="66" applyFont="1" applyAlignment="1">
      <alignment wrapText="1"/>
    </xf>
    <xf numFmtId="0" fontId="43" fillId="0" borderId="0" xfId="66" applyFont="1" applyAlignment="1">
      <alignment horizontal="center" wrapText="1"/>
    </xf>
    <xf numFmtId="221" fontId="43" fillId="0" borderId="0" xfId="66" applyNumberFormat="1" applyFont="1" applyAlignment="1">
      <alignment wrapText="1"/>
    </xf>
    <xf numFmtId="174" fontId="43" fillId="0" borderId="0" xfId="66" applyNumberFormat="1" applyFont="1" applyAlignment="1">
      <alignment wrapText="1"/>
    </xf>
    <xf numFmtId="0" fontId="43" fillId="0" borderId="41" xfId="66" applyFont="1" applyBorder="1" applyAlignment="1">
      <alignment wrapText="1"/>
    </xf>
    <xf numFmtId="0" fontId="43" fillId="0" borderId="0" xfId="66" applyFont="1" applyAlignment="1">
      <alignment horizontal="left" wrapText="1"/>
    </xf>
    <xf numFmtId="0" fontId="43" fillId="0" borderId="41" xfId="66" applyFont="1" applyBorder="1" applyAlignment="1">
      <alignment horizontal="left" wrapText="1"/>
    </xf>
    <xf numFmtId="173" fontId="43" fillId="0" borderId="41" xfId="66" applyNumberFormat="1" applyFont="1" applyBorder="1" applyAlignment="1">
      <alignment horizontal="left" wrapText="1"/>
    </xf>
    <xf numFmtId="0" fontId="96" fillId="0" borderId="58" xfId="66" applyFont="1" applyBorder="1" applyAlignment="1">
      <alignment horizontal="center" wrapText="1"/>
    </xf>
    <xf numFmtId="0" fontId="2" fillId="0" borderId="0" xfId="66" applyAlignment="1">
      <alignment wrapText="1"/>
    </xf>
    <xf numFmtId="0" fontId="96" fillId="0" borderId="0" xfId="66" applyFont="1" applyAlignment="1">
      <alignment horizontal="center" wrapText="1"/>
    </xf>
    <xf numFmtId="221" fontId="2" fillId="0" borderId="0" xfId="66" applyNumberFormat="1" applyAlignment="1">
      <alignment wrapText="1"/>
    </xf>
    <xf numFmtId="0" fontId="96" fillId="0" borderId="0" xfId="66" applyFont="1" applyAlignment="1">
      <alignment wrapText="1"/>
    </xf>
    <xf numFmtId="0" fontId="2" fillId="0" borderId="0" xfId="66" applyAlignment="1">
      <alignment horizontal="center" wrapText="1"/>
    </xf>
    <xf numFmtId="0" fontId="96" fillId="0" borderId="0" xfId="66" applyFont="1" applyAlignment="1">
      <alignment horizontal="left" wrapText="1"/>
    </xf>
    <xf numFmtId="0" fontId="2" fillId="0" borderId="41" xfId="66" applyBorder="1" applyAlignment="1">
      <alignment wrapText="1"/>
    </xf>
    <xf numFmtId="0" fontId="122" fillId="0" borderId="58" xfId="64" applyFont="1" applyBorder="1" applyAlignment="1">
      <alignment horizontal="center" vertical="center" wrapText="1"/>
    </xf>
    <xf numFmtId="0" fontId="122" fillId="0" borderId="0" xfId="64" applyFont="1" applyAlignment="1">
      <alignment horizontal="center" vertical="center" wrapText="1"/>
    </xf>
    <xf numFmtId="0" fontId="122" fillId="0" borderId="0" xfId="64" applyFont="1" applyAlignment="1">
      <alignment vertical="center" wrapText="1"/>
    </xf>
    <xf numFmtId="173" fontId="122" fillId="0" borderId="0" xfId="64" applyNumberFormat="1" applyFont="1" applyAlignment="1">
      <alignment vertical="center" wrapText="1"/>
    </xf>
    <xf numFmtId="1" fontId="122" fillId="0" borderId="0" xfId="64" applyNumberFormat="1" applyFont="1" applyAlignment="1">
      <alignment vertical="center" wrapText="1"/>
    </xf>
    <xf numFmtId="4" fontId="0" fillId="0" borderId="0" xfId="0" applyNumberFormat="1" applyAlignment="1">
      <alignment wrapText="1"/>
    </xf>
    <xf numFmtId="174" fontId="0" fillId="0" borderId="0" xfId="0" applyNumberFormat="1" applyAlignment="1">
      <alignment wrapText="1"/>
    </xf>
    <xf numFmtId="0" fontId="0" fillId="0" borderId="41" xfId="0" applyBorder="1" applyAlignment="1">
      <alignment wrapText="1"/>
    </xf>
    <xf numFmtId="6" fontId="0" fillId="0" borderId="0" xfId="0" applyNumberFormat="1" applyAlignment="1">
      <alignment wrapText="1"/>
    </xf>
    <xf numFmtId="221" fontId="0" fillId="0" borderId="41" xfId="0" applyNumberFormat="1" applyBorder="1" applyAlignment="1">
      <alignment wrapText="1"/>
    </xf>
    <xf numFmtId="174" fontId="122" fillId="0" borderId="0" xfId="64" applyNumberFormat="1" applyFont="1" applyAlignment="1">
      <alignment vertical="center" wrapText="1"/>
    </xf>
    <xf numFmtId="0" fontId="122" fillId="0" borderId="25" xfId="64" applyFont="1" applyBorder="1" applyAlignment="1">
      <alignment horizontal="center" vertical="center" wrapText="1"/>
    </xf>
    <xf numFmtId="0" fontId="122" fillId="0" borderId="26" xfId="64" applyFont="1" applyBorder="1" applyAlignment="1">
      <alignment horizontal="center" vertical="center" wrapText="1"/>
    </xf>
    <xf numFmtId="0" fontId="122" fillId="0" borderId="26" xfId="64" applyFont="1" applyBorder="1" applyAlignment="1">
      <alignment vertical="center" wrapText="1"/>
    </xf>
    <xf numFmtId="173" fontId="122" fillId="0" borderId="26" xfId="64" applyNumberFormat="1" applyFont="1" applyBorder="1" applyAlignment="1">
      <alignment vertical="center" wrapText="1"/>
    </xf>
    <xf numFmtId="1" fontId="122" fillId="0" borderId="26" xfId="64" applyNumberFormat="1" applyFont="1" applyBorder="1" applyAlignment="1">
      <alignment vertical="center" wrapText="1"/>
    </xf>
    <xf numFmtId="0" fontId="0" fillId="0" borderId="26" xfId="0" applyBorder="1" applyAlignment="1">
      <alignment wrapText="1"/>
    </xf>
    <xf numFmtId="0" fontId="0" fillId="0" borderId="27" xfId="0" applyBorder="1" applyAlignment="1">
      <alignment wrapText="1"/>
    </xf>
    <xf numFmtId="0" fontId="0" fillId="33" borderId="26" xfId="0" applyFill="1" applyBorder="1" applyAlignment="1">
      <alignment wrapText="1"/>
    </xf>
    <xf numFmtId="221" fontId="114" fillId="0" borderId="1" xfId="66" applyNumberFormat="1" applyFont="1" applyBorder="1" applyAlignment="1">
      <alignment wrapText="1"/>
    </xf>
    <xf numFmtId="0" fontId="114" fillId="0" borderId="7" xfId="66" applyFont="1" applyBorder="1" applyAlignment="1">
      <alignment wrapText="1"/>
    </xf>
    <xf numFmtId="0" fontId="114" fillId="0" borderId="8" xfId="66" applyFont="1" applyBorder="1" applyAlignment="1">
      <alignment wrapText="1"/>
    </xf>
    <xf numFmtId="9" fontId="114" fillId="0" borderId="10" xfId="2" applyFont="1" applyBorder="1" applyAlignment="1">
      <alignment wrapText="1"/>
    </xf>
    <xf numFmtId="221" fontId="114" fillId="0" borderId="10" xfId="66" applyNumberFormat="1" applyFont="1" applyBorder="1" applyAlignment="1">
      <alignment wrapText="1"/>
    </xf>
    <xf numFmtId="221" fontId="116" fillId="0" borderId="1" xfId="66" applyNumberFormat="1" applyFont="1" applyBorder="1" applyAlignment="1">
      <alignment wrapText="1"/>
    </xf>
    <xf numFmtId="0" fontId="114" fillId="0" borderId="8" xfId="66" applyFont="1" applyBorder="1" applyAlignment="1">
      <alignment horizontal="center" wrapText="1"/>
    </xf>
    <xf numFmtId="174" fontId="114" fillId="0" borderId="1" xfId="66" applyNumberFormat="1" applyFont="1" applyBorder="1" applyAlignment="1">
      <alignment wrapText="1"/>
    </xf>
    <xf numFmtId="0" fontId="16" fillId="0" borderId="52" xfId="9" applyFont="1" applyBorder="1" applyAlignment="1">
      <alignment horizontal="justify"/>
    </xf>
    <xf numFmtId="0" fontId="16" fillId="0" borderId="50" xfId="9" applyFont="1" applyBorder="1" applyAlignment="1">
      <alignment horizontal="center"/>
    </xf>
    <xf numFmtId="0" fontId="11" fillId="0" borderId="71" xfId="9" applyFont="1" applyBorder="1" applyAlignment="1">
      <alignment vertical="top" wrapText="1"/>
    </xf>
    <xf numFmtId="0" fontId="11" fillId="0" borderId="58" xfId="9" applyFont="1" applyBorder="1" applyAlignment="1">
      <alignment horizontal="justify"/>
    </xf>
    <xf numFmtId="0" fontId="16" fillId="0" borderId="44" xfId="9" applyFont="1" applyBorder="1" applyAlignment="1">
      <alignment horizontal="justify"/>
    </xf>
    <xf numFmtId="0" fontId="11" fillId="0" borderId="10" xfId="9" applyFont="1" applyBorder="1" applyAlignment="1">
      <alignment vertical="top" wrapText="1"/>
    </xf>
    <xf numFmtId="0" fontId="11" fillId="0" borderId="65" xfId="9" applyFont="1" applyBorder="1" applyAlignment="1">
      <alignment horizontal="justify"/>
    </xf>
    <xf numFmtId="0" fontId="3" fillId="0" borderId="25" xfId="0" applyFont="1" applyBorder="1" applyAlignment="1">
      <alignment horizontal="left" vertical="center" wrapText="1"/>
    </xf>
    <xf numFmtId="0" fontId="11" fillId="0" borderId="150" xfId="9" applyFont="1" applyBorder="1" applyAlignment="1">
      <alignment vertical="top" wrapText="1"/>
    </xf>
    <xf numFmtId="0" fontId="16" fillId="0" borderId="38" xfId="9" applyFont="1" applyBorder="1" applyAlignment="1">
      <alignment horizontal="justify" vertical="top"/>
    </xf>
    <xf numFmtId="0" fontId="11" fillId="0" borderId="53" xfId="9" applyFont="1" applyBorder="1" applyAlignment="1">
      <alignment horizontal="justify" vertical="top"/>
    </xf>
    <xf numFmtId="0" fontId="11" fillId="0" borderId="52" xfId="9" applyFont="1" applyBorder="1" applyAlignment="1">
      <alignment horizontal="justify"/>
    </xf>
    <xf numFmtId="0" fontId="11" fillId="0" borderId="48" xfId="9" applyFont="1" applyBorder="1" applyAlignment="1">
      <alignment horizontal="center"/>
    </xf>
    <xf numFmtId="44" fontId="11" fillId="0" borderId="7" xfId="9" applyNumberFormat="1" applyFont="1" applyBorder="1" applyAlignment="1">
      <alignment horizontal="center"/>
    </xf>
    <xf numFmtId="0" fontId="16" fillId="0" borderId="73" xfId="9" applyFont="1" applyBorder="1" applyAlignment="1">
      <alignment horizontal="center"/>
    </xf>
    <xf numFmtId="187" fontId="11" fillId="0" borderId="74" xfId="9" applyNumberFormat="1" applyFont="1" applyBorder="1" applyAlignment="1">
      <alignment horizontal="center" vertical="center"/>
    </xf>
    <xf numFmtId="0" fontId="3" fillId="0" borderId="1" xfId="0" applyFont="1" applyBorder="1"/>
    <xf numFmtId="44" fontId="11" fillId="0" borderId="42" xfId="9" applyNumberFormat="1" applyFont="1" applyBorder="1" applyAlignment="1">
      <alignment horizontal="center"/>
    </xf>
    <xf numFmtId="187" fontId="11" fillId="0" borderId="34" xfId="9" applyNumberFormat="1" applyFont="1" applyBorder="1" applyAlignment="1">
      <alignment horizontal="right" vertical="center"/>
    </xf>
    <xf numFmtId="187" fontId="11" fillId="0" borderId="1" xfId="9" applyNumberFormat="1" applyFont="1" applyBorder="1" applyAlignment="1">
      <alignment horizontal="right" vertical="center"/>
    </xf>
    <xf numFmtId="187" fontId="11" fillId="0" borderId="7" xfId="9" applyNumberFormat="1" applyFont="1" applyBorder="1" applyAlignment="1">
      <alignment horizontal="right" vertical="center"/>
    </xf>
    <xf numFmtId="187" fontId="11" fillId="0" borderId="74" xfId="9" applyNumberFormat="1" applyFont="1" applyBorder="1" applyAlignment="1">
      <alignment horizontal="right" vertical="center"/>
    </xf>
    <xf numFmtId="0" fontId="114" fillId="2" borderId="7" xfId="66" applyFont="1" applyFill="1" applyBorder="1" applyAlignment="1">
      <alignment wrapText="1"/>
    </xf>
    <xf numFmtId="0" fontId="114" fillId="2" borderId="8" xfId="66" applyFont="1" applyFill="1" applyBorder="1" applyAlignment="1">
      <alignment horizontal="center" wrapText="1"/>
    </xf>
    <xf numFmtId="221" fontId="114" fillId="2" borderId="8" xfId="66" applyNumberFormat="1" applyFont="1" applyFill="1" applyBorder="1" applyAlignment="1">
      <alignment wrapText="1"/>
    </xf>
    <xf numFmtId="174" fontId="116" fillId="2" borderId="1" xfId="66" applyNumberFormat="1" applyFont="1" applyFill="1" applyBorder="1" applyAlignment="1">
      <alignment vertical="center" wrapText="1"/>
    </xf>
    <xf numFmtId="0" fontId="43" fillId="2" borderId="50" xfId="66" applyFont="1" applyFill="1" applyBorder="1" applyAlignment="1">
      <alignment wrapText="1"/>
    </xf>
    <xf numFmtId="0" fontId="43" fillId="2" borderId="51" xfId="66" applyFont="1" applyFill="1" applyBorder="1" applyAlignment="1">
      <alignment wrapText="1"/>
    </xf>
    <xf numFmtId="0" fontId="43" fillId="46" borderId="51" xfId="66" applyFont="1" applyFill="1" applyBorder="1" applyAlignment="1">
      <alignment wrapText="1"/>
    </xf>
    <xf numFmtId="0" fontId="43" fillId="46" borderId="52" xfId="66" applyFont="1" applyFill="1" applyBorder="1" applyAlignment="1">
      <alignment wrapText="1"/>
    </xf>
    <xf numFmtId="0" fontId="114" fillId="46" borderId="42" xfId="66" applyFont="1" applyFill="1" applyBorder="1" applyAlignment="1">
      <alignment wrapText="1"/>
    </xf>
    <xf numFmtId="0" fontId="43" fillId="46" borderId="43" xfId="66" applyFont="1" applyFill="1" applyBorder="1" applyAlignment="1">
      <alignment horizontal="center" wrapText="1"/>
    </xf>
    <xf numFmtId="221" fontId="43" fillId="46" borderId="44" xfId="66" applyNumberFormat="1" applyFont="1" applyFill="1" applyBorder="1" applyAlignment="1">
      <alignment wrapText="1"/>
    </xf>
    <xf numFmtId="174" fontId="116" fillId="46" borderId="48" xfId="66" applyNumberFormat="1" applyFont="1" applyFill="1" applyBorder="1" applyAlignment="1">
      <alignment vertical="center" wrapText="1"/>
    </xf>
    <xf numFmtId="0" fontId="43" fillId="32" borderId="23" xfId="66" applyFont="1" applyFill="1" applyBorder="1" applyAlignment="1">
      <alignment horizontal="center" wrapText="1"/>
    </xf>
    <xf numFmtId="221" fontId="43" fillId="32" borderId="23" xfId="66" applyNumberFormat="1" applyFont="1" applyFill="1" applyBorder="1" applyAlignment="1">
      <alignment wrapText="1"/>
    </xf>
    <xf numFmtId="0" fontId="43" fillId="32" borderId="26" xfId="66" applyFont="1" applyFill="1" applyBorder="1" applyAlignment="1">
      <alignment horizontal="center" wrapText="1"/>
    </xf>
    <xf numFmtId="221" fontId="43" fillId="32" borderId="26" xfId="66" applyNumberFormat="1" applyFont="1" applyFill="1" applyBorder="1" applyAlignment="1">
      <alignment wrapText="1"/>
    </xf>
    <xf numFmtId="0" fontId="11" fillId="0" borderId="58" xfId="9" applyFont="1" applyBorder="1" applyAlignment="1">
      <alignment horizontal="justify" vertical="top"/>
    </xf>
    <xf numFmtId="0" fontId="16" fillId="0" borderId="52" xfId="9" applyFont="1" applyBorder="1" applyAlignment="1">
      <alignment horizontal="justify" vertical="top"/>
    </xf>
    <xf numFmtId="187" fontId="11" fillId="0" borderId="50" xfId="9" applyNumberFormat="1" applyFont="1" applyBorder="1" applyAlignment="1">
      <alignment horizontal="right" vertical="center"/>
    </xf>
    <xf numFmtId="187" fontId="11" fillId="0" borderId="51" xfId="9" applyNumberFormat="1" applyFont="1" applyBorder="1" applyAlignment="1">
      <alignment horizontal="right" vertical="center"/>
    </xf>
    <xf numFmtId="4" fontId="115" fillId="47" borderId="1" xfId="0" applyNumberFormat="1" applyFont="1" applyFill="1" applyBorder="1" applyAlignment="1">
      <alignment horizontal="center" vertical="center" wrapText="1"/>
    </xf>
    <xf numFmtId="221" fontId="121" fillId="11" borderId="6" xfId="66" applyNumberFormat="1" applyFont="1" applyFill="1" applyBorder="1" applyAlignment="1">
      <alignment wrapText="1"/>
    </xf>
    <xf numFmtId="173" fontId="43" fillId="0" borderId="41" xfId="66" applyNumberFormat="1" applyFont="1" applyBorder="1" applyAlignment="1">
      <alignment wrapText="1"/>
    </xf>
    <xf numFmtId="0" fontId="111" fillId="2" borderId="6" xfId="66" applyFont="1" applyFill="1" applyBorder="1" applyAlignment="1">
      <alignment horizontal="center" vertical="center" wrapText="1"/>
    </xf>
    <xf numFmtId="0" fontId="111" fillId="2" borderId="5" xfId="66" applyFont="1" applyFill="1" applyBorder="1" applyAlignment="1">
      <alignment horizontal="center" vertical="center" wrapText="1"/>
    </xf>
    <xf numFmtId="192" fontId="112" fillId="23" borderId="5" xfId="9" applyNumberFormat="1" applyFont="1" applyFill="1" applyBorder="1" applyAlignment="1">
      <alignment horizontal="center" vertical="center" wrapText="1"/>
    </xf>
    <xf numFmtId="192" fontId="113" fillId="0" borderId="5" xfId="9" applyNumberFormat="1" applyFont="1" applyBorder="1" applyAlignment="1">
      <alignment horizontal="center" vertical="center" wrapText="1"/>
    </xf>
    <xf numFmtId="173" fontId="115" fillId="0" borderId="6" xfId="0" applyNumberFormat="1" applyFont="1" applyBorder="1" applyAlignment="1">
      <alignment horizontal="center" vertical="center" wrapText="1"/>
    </xf>
    <xf numFmtId="0" fontId="116" fillId="23" borderId="30" xfId="9" applyFont="1" applyFill="1" applyBorder="1" applyAlignment="1">
      <alignment vertical="center" wrapText="1"/>
    </xf>
    <xf numFmtId="173" fontId="115" fillId="33" borderId="6" xfId="0" applyNumberFormat="1" applyFont="1" applyFill="1" applyBorder="1" applyAlignment="1">
      <alignment horizontal="center" vertical="center" wrapText="1"/>
    </xf>
    <xf numFmtId="173" fontId="115" fillId="47" borderId="6" xfId="0" applyNumberFormat="1" applyFont="1" applyFill="1" applyBorder="1" applyAlignment="1">
      <alignment horizontal="center" vertical="center" wrapText="1"/>
    </xf>
    <xf numFmtId="49" fontId="113" fillId="0" borderId="5" xfId="9" applyNumberFormat="1" applyFont="1" applyBorder="1" applyAlignment="1">
      <alignment horizontal="center" vertical="center" wrapText="1"/>
    </xf>
    <xf numFmtId="49" fontId="112" fillId="23" borderId="5" xfId="9" applyNumberFormat="1" applyFont="1" applyFill="1" applyBorder="1" applyAlignment="1">
      <alignment horizontal="center" vertical="center" wrapText="1"/>
    </xf>
    <xf numFmtId="0" fontId="118" fillId="35" borderId="5" xfId="0" applyFont="1" applyFill="1" applyBorder="1" applyAlignment="1">
      <alignment horizontal="center" vertical="center" wrapText="1"/>
    </xf>
    <xf numFmtId="0" fontId="119" fillId="0" borderId="5" xfId="0" applyFont="1" applyBorder="1" applyAlignment="1">
      <alignment horizontal="center" vertical="center" wrapText="1"/>
    </xf>
    <xf numFmtId="173" fontId="119" fillId="33" borderId="6" xfId="0" applyNumberFormat="1" applyFont="1" applyFill="1" applyBorder="1" applyAlignment="1">
      <alignment horizontal="center" vertical="center" wrapText="1"/>
    </xf>
    <xf numFmtId="0" fontId="121" fillId="0" borderId="0" xfId="66" applyFont="1" applyAlignment="1">
      <alignment horizontal="center" wrapText="1"/>
    </xf>
    <xf numFmtId="173" fontId="121" fillId="0" borderId="0" xfId="66" applyNumberFormat="1" applyFont="1" applyAlignment="1">
      <alignment horizontal="center" wrapText="1"/>
    </xf>
    <xf numFmtId="221" fontId="121" fillId="0" borderId="0" xfId="66" applyNumberFormat="1" applyFont="1" applyAlignment="1">
      <alignment wrapText="1"/>
    </xf>
    <xf numFmtId="174" fontId="121" fillId="0" borderId="0" xfId="66" applyNumberFormat="1" applyFont="1" applyAlignment="1">
      <alignment horizontal="center" wrapText="1"/>
    </xf>
    <xf numFmtId="0" fontId="121" fillId="0" borderId="0" xfId="66" applyFont="1" applyAlignment="1">
      <alignment horizontal="right" wrapText="1"/>
    </xf>
    <xf numFmtId="0" fontId="121" fillId="0" borderId="0" xfId="66" applyFont="1" applyAlignment="1">
      <alignment wrapText="1"/>
    </xf>
    <xf numFmtId="174" fontId="121" fillId="0" borderId="0" xfId="66" applyNumberFormat="1" applyFont="1" applyAlignment="1">
      <alignment wrapText="1"/>
    </xf>
    <xf numFmtId="174" fontId="114" fillId="0" borderId="6" xfId="66" applyNumberFormat="1" applyFont="1" applyBorder="1" applyAlignment="1">
      <alignment wrapText="1"/>
    </xf>
    <xf numFmtId="0" fontId="43" fillId="2" borderId="0" xfId="66" applyFont="1" applyFill="1" applyAlignment="1">
      <alignment wrapText="1"/>
    </xf>
    <xf numFmtId="174" fontId="116" fillId="2" borderId="49" xfId="66" applyNumberFormat="1" applyFont="1" applyFill="1" applyBorder="1" applyAlignment="1">
      <alignment vertical="center" wrapText="1"/>
    </xf>
    <xf numFmtId="0" fontId="43" fillId="46" borderId="0" xfId="66" applyFont="1" applyFill="1" applyAlignment="1">
      <alignment wrapText="1"/>
    </xf>
    <xf numFmtId="174" fontId="116" fillId="46" borderId="49" xfId="66" applyNumberFormat="1" applyFont="1" applyFill="1" applyBorder="1" applyAlignment="1">
      <alignment vertical="center" wrapText="1"/>
    </xf>
    <xf numFmtId="0" fontId="43" fillId="32" borderId="0" xfId="66" applyFont="1" applyFill="1" applyAlignment="1">
      <alignment wrapText="1"/>
    </xf>
    <xf numFmtId="215" fontId="43" fillId="32" borderId="0" xfId="66" applyNumberFormat="1" applyFont="1" applyFill="1" applyAlignment="1">
      <alignment horizontal="center" wrapText="1"/>
    </xf>
    <xf numFmtId="0" fontId="43" fillId="32" borderId="0" xfId="66" applyFont="1" applyFill="1" applyAlignment="1">
      <alignment horizontal="center" wrapText="1"/>
    </xf>
    <xf numFmtId="221" fontId="43" fillId="32" borderId="0" xfId="66" applyNumberFormat="1" applyFont="1" applyFill="1" applyAlignment="1">
      <alignment wrapText="1"/>
    </xf>
    <xf numFmtId="0" fontId="43" fillId="0" borderId="25" xfId="66" applyFont="1" applyBorder="1" applyAlignment="1">
      <alignment horizontal="center" wrapText="1"/>
    </xf>
    <xf numFmtId="0" fontId="43" fillId="0" borderId="26" xfId="66" applyFont="1" applyBorder="1" applyAlignment="1">
      <alignment wrapText="1"/>
    </xf>
    <xf numFmtId="0" fontId="43" fillId="0" borderId="26" xfId="66" applyFont="1" applyBorder="1" applyAlignment="1">
      <alignment horizontal="center" wrapText="1"/>
    </xf>
    <xf numFmtId="221" fontId="43" fillId="0" borderId="26" xfId="66" applyNumberFormat="1" applyFont="1" applyBorder="1" applyAlignment="1">
      <alignment wrapText="1"/>
    </xf>
    <xf numFmtId="174" fontId="116" fillId="0" borderId="34" xfId="66" applyNumberFormat="1" applyFont="1" applyBorder="1" applyAlignment="1">
      <alignment vertical="center" wrapText="1"/>
    </xf>
    <xf numFmtId="221" fontId="121" fillId="0" borderId="26" xfId="66" applyNumberFormat="1" applyFont="1" applyBorder="1" applyAlignment="1">
      <alignment vertical="center" wrapText="1"/>
    </xf>
    <xf numFmtId="0" fontId="43" fillId="0" borderId="150" xfId="66" applyFont="1" applyBorder="1" applyAlignment="1">
      <alignment wrapText="1"/>
    </xf>
    <xf numFmtId="174" fontId="116" fillId="0" borderId="35" xfId="66" applyNumberFormat="1" applyFont="1" applyBorder="1" applyAlignment="1">
      <alignment vertical="center" wrapText="1"/>
    </xf>
    <xf numFmtId="0" fontId="0" fillId="33" borderId="22" xfId="0" applyFill="1" applyBorder="1" applyAlignment="1">
      <alignment wrapText="1"/>
    </xf>
    <xf numFmtId="0" fontId="0" fillId="33" borderId="23" xfId="0" applyFill="1" applyBorder="1" applyAlignment="1">
      <alignment wrapText="1"/>
    </xf>
    <xf numFmtId="0" fontId="0" fillId="33" borderId="58" xfId="0" applyFill="1" applyBorder="1" applyAlignment="1">
      <alignment wrapText="1"/>
    </xf>
    <xf numFmtId="0" fontId="0" fillId="33" borderId="0" xfId="0" applyFill="1" applyAlignment="1">
      <alignment wrapText="1"/>
    </xf>
    <xf numFmtId="0" fontId="0" fillId="33" borderId="25" xfId="0" applyFill="1" applyBorder="1" applyAlignment="1">
      <alignment wrapText="1"/>
    </xf>
    <xf numFmtId="0" fontId="43" fillId="0" borderId="58" xfId="66" applyFont="1" applyBorder="1" applyAlignment="1">
      <alignment wrapText="1"/>
    </xf>
    <xf numFmtId="0" fontId="16" fillId="5" borderId="1" xfId="0" applyFont="1" applyFill="1" applyBorder="1" applyAlignment="1">
      <alignment horizontal="center" vertical="center"/>
    </xf>
    <xf numFmtId="0" fontId="16" fillId="8" borderId="1" xfId="0" applyFont="1" applyFill="1" applyBorder="1" applyAlignment="1">
      <alignment horizontal="center" vertical="center"/>
    </xf>
    <xf numFmtId="2" fontId="16" fillId="0" borderId="2" xfId="0" applyNumberFormat="1" applyFont="1" applyBorder="1" applyAlignment="1">
      <alignment horizontal="center" vertical="center" wrapText="1"/>
    </xf>
    <xf numFmtId="2" fontId="16" fillId="0" borderId="3" xfId="0" applyNumberFormat="1" applyFont="1" applyBorder="1" applyAlignment="1">
      <alignment horizontal="center" vertical="center" wrapText="1"/>
    </xf>
    <xf numFmtId="2" fontId="16" fillId="0" borderId="4" xfId="0" applyNumberFormat="1" applyFont="1" applyBorder="1" applyAlignment="1">
      <alignment horizontal="center" vertical="center" wrapText="1"/>
    </xf>
    <xf numFmtId="0" fontId="8" fillId="0" borderId="11" xfId="0" applyFont="1" applyBorder="1" applyAlignment="1">
      <alignment horizontal="right" vertical="center"/>
    </xf>
    <xf numFmtId="0" fontId="8" fillId="0" borderId="12" xfId="0" applyFont="1" applyBorder="1" applyAlignment="1">
      <alignment horizontal="right" vertical="center"/>
    </xf>
    <xf numFmtId="173" fontId="16" fillId="8" borderId="1" xfId="0" applyNumberFormat="1" applyFont="1" applyFill="1" applyBorder="1" applyAlignment="1">
      <alignment horizontal="center" vertical="center" wrapText="1"/>
    </xf>
    <xf numFmtId="174" fontId="43" fillId="0" borderId="0" xfId="66" applyNumberFormat="1" applyFont="1" applyAlignment="1">
      <alignment horizontal="center" wrapText="1"/>
    </xf>
    <xf numFmtId="0" fontId="43" fillId="0" borderId="0" xfId="66" applyFont="1" applyAlignment="1">
      <alignment horizontal="center" wrapText="1"/>
    </xf>
    <xf numFmtId="0" fontId="111" fillId="23" borderId="7" xfId="9" applyFont="1" applyFill="1" applyBorder="1" applyAlignment="1">
      <alignment horizontal="left" vertical="center" wrapText="1"/>
    </xf>
    <xf numFmtId="0" fontId="111" fillId="23" borderId="8" xfId="9" applyFont="1" applyFill="1" applyBorder="1" applyAlignment="1">
      <alignment horizontal="left" vertical="center" wrapText="1"/>
    </xf>
    <xf numFmtId="0" fontId="111" fillId="23" borderId="30" xfId="9" applyFont="1" applyFill="1" applyBorder="1" applyAlignment="1">
      <alignment horizontal="left" vertical="center" wrapText="1"/>
    </xf>
    <xf numFmtId="0" fontId="116" fillId="23" borderId="7" xfId="9" applyFont="1" applyFill="1" applyBorder="1" applyAlignment="1">
      <alignment horizontal="left" vertical="center" wrapText="1"/>
    </xf>
    <xf numFmtId="0" fontId="116" fillId="23" borderId="8" xfId="9" applyFont="1" applyFill="1" applyBorder="1" applyAlignment="1">
      <alignment horizontal="left" vertical="center" wrapText="1"/>
    </xf>
    <xf numFmtId="0" fontId="116" fillId="23" borderId="30" xfId="9" applyFont="1" applyFill="1" applyBorder="1" applyAlignment="1">
      <alignment horizontal="left" vertical="center" wrapText="1"/>
    </xf>
    <xf numFmtId="1" fontId="116" fillId="23" borderId="7" xfId="9" applyNumberFormat="1" applyFont="1" applyFill="1" applyBorder="1" applyAlignment="1">
      <alignment horizontal="left" vertical="center" wrapText="1"/>
    </xf>
    <xf numFmtId="1" fontId="116" fillId="23" borderId="8" xfId="9" applyNumberFormat="1" applyFont="1" applyFill="1" applyBorder="1" applyAlignment="1">
      <alignment horizontal="left" vertical="center" wrapText="1"/>
    </xf>
    <xf numFmtId="1" fontId="116" fillId="23" borderId="30" xfId="9" applyNumberFormat="1" applyFont="1" applyFill="1" applyBorder="1" applyAlignment="1">
      <alignment horizontal="left" vertical="center" wrapText="1"/>
    </xf>
    <xf numFmtId="0" fontId="118" fillId="35" borderId="7" xfId="0" applyFont="1" applyFill="1" applyBorder="1" applyAlignment="1">
      <alignment horizontal="left" vertical="center" wrapText="1"/>
    </xf>
    <xf numFmtId="0" fontId="118" fillId="35" borderId="8" xfId="0" applyFont="1" applyFill="1" applyBorder="1" applyAlignment="1">
      <alignment horizontal="left" vertical="center" wrapText="1"/>
    </xf>
    <xf numFmtId="0" fontId="118" fillId="35" borderId="30" xfId="0" applyFont="1" applyFill="1" applyBorder="1" applyAlignment="1">
      <alignment horizontal="left" vertical="center" wrapText="1"/>
    </xf>
    <xf numFmtId="0" fontId="116" fillId="0" borderId="48" xfId="66" applyFont="1" applyBorder="1" applyAlignment="1">
      <alignment horizontal="left" wrapText="1"/>
    </xf>
    <xf numFmtId="221" fontId="121" fillId="0" borderId="48" xfId="66" applyNumberFormat="1" applyFont="1" applyBorder="1" applyAlignment="1">
      <alignment horizontal="center" vertical="center" wrapText="1"/>
    </xf>
    <xf numFmtId="221" fontId="121" fillId="0" borderId="50" xfId="66" applyNumberFormat="1" applyFont="1" applyBorder="1" applyAlignment="1">
      <alignment horizontal="center" vertical="center" wrapText="1"/>
    </xf>
    <xf numFmtId="0" fontId="121" fillId="0" borderId="51" xfId="66" applyFont="1" applyBorder="1" applyAlignment="1">
      <alignment horizontal="center" wrapText="1"/>
    </xf>
    <xf numFmtId="0" fontId="121" fillId="0" borderId="41" xfId="66" applyFont="1" applyBorder="1" applyAlignment="1">
      <alignment horizontal="center" wrapText="1"/>
    </xf>
    <xf numFmtId="0" fontId="43" fillId="32" borderId="22" xfId="66" applyFont="1" applyFill="1" applyBorder="1" applyAlignment="1">
      <alignment vertical="center" wrapText="1"/>
    </xf>
    <xf numFmtId="0" fontId="43" fillId="32" borderId="58" xfId="66" applyFont="1" applyFill="1" applyBorder="1" applyAlignment="1">
      <alignment vertical="center" wrapText="1"/>
    </xf>
    <xf numFmtId="0" fontId="43" fillId="32" borderId="25" xfId="66" applyFont="1" applyFill="1" applyBorder="1" applyAlignment="1">
      <alignment vertical="center" wrapText="1"/>
    </xf>
    <xf numFmtId="221" fontId="121" fillId="23" borderId="37" xfId="66" applyNumberFormat="1" applyFont="1" applyFill="1" applyBorder="1" applyAlignment="1">
      <alignment horizontal="center" vertical="center" wrapText="1"/>
    </xf>
    <xf numFmtId="221" fontId="121" fillId="23" borderId="39" xfId="66" applyNumberFormat="1" applyFont="1" applyFill="1" applyBorder="1" applyAlignment="1">
      <alignment horizontal="center" vertical="center" wrapText="1"/>
    </xf>
    <xf numFmtId="221" fontId="121" fillId="23" borderId="40" xfId="66" applyNumberFormat="1" applyFont="1" applyFill="1" applyBorder="1" applyAlignment="1">
      <alignment horizontal="center" vertical="center" wrapText="1"/>
    </xf>
    <xf numFmtId="174" fontId="116" fillId="32" borderId="37" xfId="66" applyNumberFormat="1" applyFont="1" applyFill="1" applyBorder="1" applyAlignment="1">
      <alignment horizontal="center" vertical="center" wrapText="1"/>
    </xf>
    <xf numFmtId="174" fontId="116" fillId="32" borderId="39" xfId="66" applyNumberFormat="1" applyFont="1" applyFill="1" applyBorder="1" applyAlignment="1">
      <alignment horizontal="center" vertical="center" wrapText="1"/>
    </xf>
    <xf numFmtId="174" fontId="116" fillId="32" borderId="40" xfId="66" applyNumberFormat="1" applyFont="1" applyFill="1" applyBorder="1" applyAlignment="1">
      <alignment horizontal="center" vertical="center" wrapText="1"/>
    </xf>
    <xf numFmtId="44" fontId="116" fillId="32" borderId="55" xfId="66" applyNumberFormat="1" applyFont="1" applyFill="1" applyBorder="1" applyAlignment="1">
      <alignment horizontal="center" vertical="center" wrapText="1"/>
    </xf>
    <xf numFmtId="0" fontId="116" fillId="32" borderId="72" xfId="66" applyFont="1" applyFill="1" applyBorder="1" applyAlignment="1">
      <alignment horizontal="center" vertical="center" wrapText="1"/>
    </xf>
    <xf numFmtId="0" fontId="116" fillId="32" borderId="35" xfId="66" applyFont="1" applyFill="1" applyBorder="1" applyAlignment="1">
      <alignment horizontal="center" vertical="center" wrapText="1"/>
    </xf>
    <xf numFmtId="0" fontId="114" fillId="0" borderId="1" xfId="66" applyFont="1" applyBorder="1" applyAlignment="1">
      <alignment horizontal="left" wrapText="1"/>
    </xf>
    <xf numFmtId="215" fontId="43" fillId="0" borderId="0" xfId="66" applyNumberFormat="1" applyFont="1" applyAlignment="1">
      <alignment horizontal="center" wrapText="1"/>
    </xf>
    <xf numFmtId="0" fontId="96" fillId="0" borderId="0" xfId="66" applyFont="1" applyAlignment="1">
      <alignment horizontal="left" wrapText="1"/>
    </xf>
    <xf numFmtId="0" fontId="96" fillId="0" borderId="41" xfId="66" applyFont="1" applyBorder="1" applyAlignment="1">
      <alignment horizontal="left" wrapText="1"/>
    </xf>
    <xf numFmtId="0" fontId="0" fillId="6" borderId="23" xfId="0" applyFill="1" applyBorder="1" applyAlignment="1">
      <alignment horizontal="left" vertical="top" wrapText="1"/>
    </xf>
    <xf numFmtId="0" fontId="0" fillId="6" borderId="24" xfId="0" applyFill="1" applyBorder="1" applyAlignment="1">
      <alignment horizontal="left" vertical="top" wrapText="1"/>
    </xf>
    <xf numFmtId="0" fontId="0" fillId="6" borderId="0" xfId="0" applyFill="1" applyAlignment="1">
      <alignment horizontal="left" vertical="top" wrapText="1"/>
    </xf>
    <xf numFmtId="0" fontId="0" fillId="6" borderId="41" xfId="0" applyFill="1" applyBorder="1" applyAlignment="1">
      <alignment horizontal="left" vertical="top" wrapText="1"/>
    </xf>
    <xf numFmtId="0" fontId="0" fillId="6" borderId="26" xfId="0" applyFill="1" applyBorder="1" applyAlignment="1">
      <alignment horizontal="left" vertical="top" wrapText="1"/>
    </xf>
    <xf numFmtId="0" fontId="0" fillId="6" borderId="27" xfId="0" applyFill="1" applyBorder="1" applyAlignment="1">
      <alignment horizontal="left" vertical="top" wrapText="1"/>
    </xf>
    <xf numFmtId="221" fontId="111" fillId="2" borderId="5" xfId="66" applyNumberFormat="1" applyFont="1" applyFill="1" applyBorder="1" applyAlignment="1">
      <alignment horizontal="center" vertical="center" wrapText="1"/>
    </xf>
    <xf numFmtId="221" fontId="111" fillId="2" borderId="1" xfId="66" applyNumberFormat="1" applyFont="1" applyFill="1" applyBorder="1" applyAlignment="1">
      <alignment horizontal="center" vertical="center" wrapText="1"/>
    </xf>
    <xf numFmtId="0" fontId="111" fillId="2" borderId="1" xfId="66" applyFont="1" applyFill="1" applyBorder="1" applyAlignment="1">
      <alignment horizontal="center" vertical="center" wrapText="1"/>
    </xf>
    <xf numFmtId="0" fontId="111" fillId="2" borderId="6" xfId="66" applyFont="1" applyFill="1" applyBorder="1" applyAlignment="1">
      <alignment horizontal="center" vertical="center" wrapText="1"/>
    </xf>
    <xf numFmtId="221" fontId="110" fillId="28" borderId="58" xfId="66" applyNumberFormat="1" applyFont="1" applyFill="1" applyBorder="1" applyAlignment="1">
      <alignment horizontal="left"/>
    </xf>
    <xf numFmtId="221" fontId="110" fillId="28" borderId="41" xfId="66" applyNumberFormat="1" applyFont="1" applyFill="1" applyBorder="1" applyAlignment="1">
      <alignment horizontal="left"/>
    </xf>
    <xf numFmtId="0" fontId="110" fillId="28" borderId="58" xfId="66" applyFont="1" applyFill="1" applyBorder="1" applyAlignment="1">
      <alignment horizontal="left"/>
    </xf>
    <xf numFmtId="0" fontId="110" fillId="28" borderId="0" xfId="66" applyFont="1" applyFill="1" applyAlignment="1">
      <alignment horizontal="left"/>
    </xf>
    <xf numFmtId="0" fontId="110" fillId="28" borderId="41" xfId="66" applyFont="1" applyFill="1" applyBorder="1" applyAlignment="1">
      <alignment horizontal="left"/>
    </xf>
    <xf numFmtId="221" fontId="110" fillId="28" borderId="58" xfId="66" applyNumberFormat="1" applyFont="1" applyFill="1" applyBorder="1" applyAlignment="1">
      <alignment horizontal="left" vertical="center"/>
    </xf>
    <xf numFmtId="221" fontId="110" fillId="28" borderId="41" xfId="66" applyNumberFormat="1" applyFont="1" applyFill="1" applyBorder="1" applyAlignment="1">
      <alignment horizontal="left" vertical="center"/>
    </xf>
    <xf numFmtId="0" fontId="110" fillId="28" borderId="58" xfId="66" applyFont="1" applyFill="1" applyBorder="1" applyAlignment="1">
      <alignment horizontal="left" vertical="center"/>
    </xf>
    <xf numFmtId="0" fontId="110" fillId="28" borderId="0" xfId="66" applyFont="1" applyFill="1" applyAlignment="1">
      <alignment horizontal="left" vertical="center"/>
    </xf>
    <xf numFmtId="0" fontId="110" fillId="28" borderId="41" xfId="66" applyFont="1" applyFill="1" applyBorder="1" applyAlignment="1">
      <alignment horizontal="left" vertical="center"/>
    </xf>
    <xf numFmtId="0" fontId="110" fillId="28" borderId="25" xfId="66" applyFont="1" applyFill="1" applyBorder="1" applyAlignment="1">
      <alignment horizontal="left"/>
    </xf>
    <xf numFmtId="0" fontId="110" fillId="28" borderId="27" xfId="66" applyFont="1" applyFill="1" applyBorder="1" applyAlignment="1">
      <alignment horizontal="left"/>
    </xf>
    <xf numFmtId="0" fontId="110" fillId="28" borderId="26" xfId="66" applyFont="1" applyFill="1" applyBorder="1" applyAlignment="1">
      <alignment horizontal="left"/>
    </xf>
    <xf numFmtId="221" fontId="43" fillId="6" borderId="66" xfId="66" applyNumberFormat="1" applyFont="1" applyFill="1" applyBorder="1" applyAlignment="1">
      <alignment horizontal="center" vertical="center" wrapText="1"/>
    </xf>
    <xf numFmtId="221" fontId="43" fillId="6" borderId="67" xfId="66" applyNumberFormat="1" applyFont="1" applyFill="1" applyBorder="1" applyAlignment="1">
      <alignment horizontal="center" vertical="center" wrapText="1"/>
    </xf>
    <xf numFmtId="221" fontId="43" fillId="6" borderId="68" xfId="66" applyNumberFormat="1" applyFont="1" applyFill="1" applyBorder="1" applyAlignment="1">
      <alignment horizontal="center" vertical="center" wrapText="1"/>
    </xf>
    <xf numFmtId="0" fontId="108" fillId="28" borderId="16" xfId="66" applyFont="1" applyFill="1" applyBorder="1" applyAlignment="1">
      <alignment horizontal="center"/>
    </xf>
    <xf numFmtId="0" fontId="108" fillId="28" borderId="17" xfId="66" applyFont="1" applyFill="1" applyBorder="1" applyAlignment="1">
      <alignment horizontal="center"/>
    </xf>
    <xf numFmtId="0" fontId="108" fillId="28" borderId="18" xfId="66" applyFont="1" applyFill="1" applyBorder="1" applyAlignment="1">
      <alignment horizontal="center"/>
    </xf>
    <xf numFmtId="221" fontId="109" fillId="28" borderId="22" xfId="66" applyNumberFormat="1" applyFont="1" applyFill="1" applyBorder="1" applyAlignment="1">
      <alignment horizontal="left" vertical="center"/>
    </xf>
    <xf numFmtId="221" fontId="109" fillId="28" borderId="23" xfId="66" applyNumberFormat="1" applyFont="1" applyFill="1" applyBorder="1" applyAlignment="1">
      <alignment horizontal="left" vertical="center"/>
    </xf>
    <xf numFmtId="0" fontId="110" fillId="28" borderId="22" xfId="66" applyFont="1" applyFill="1" applyBorder="1" applyAlignment="1">
      <alignment horizontal="left"/>
    </xf>
    <xf numFmtId="0" fontId="110" fillId="28" borderId="23" xfId="66" applyFont="1" applyFill="1" applyBorder="1" applyAlignment="1">
      <alignment horizontal="left"/>
    </xf>
    <xf numFmtId="0" fontId="110" fillId="28" borderId="24" xfId="66" applyFont="1" applyFill="1" applyBorder="1" applyAlignment="1">
      <alignment horizontal="left"/>
    </xf>
    <xf numFmtId="173" fontId="16" fillId="8" borderId="9" xfId="0" applyNumberFormat="1" applyFont="1" applyFill="1" applyBorder="1" applyAlignment="1">
      <alignment horizontal="center" vertical="center" wrapText="1"/>
    </xf>
    <xf numFmtId="173" fontId="16" fillId="8" borderId="8" xfId="0" applyNumberFormat="1" applyFont="1" applyFill="1" applyBorder="1" applyAlignment="1">
      <alignment horizontal="center" vertical="center" wrapText="1"/>
    </xf>
    <xf numFmtId="173" fontId="16" fillId="8" borderId="10" xfId="0" applyNumberFormat="1" applyFont="1" applyFill="1" applyBorder="1" applyAlignment="1">
      <alignment horizontal="center" vertical="center" wrapText="1"/>
    </xf>
    <xf numFmtId="0" fontId="16" fillId="8" borderId="11" xfId="0" applyFont="1" applyFill="1" applyBorder="1" applyAlignment="1">
      <alignment horizontal="center" vertical="center"/>
    </xf>
    <xf numFmtId="0" fontId="16" fillId="8" borderId="12" xfId="0" applyFont="1" applyFill="1" applyBorder="1" applyAlignment="1">
      <alignment horizontal="center" vertical="center"/>
    </xf>
    <xf numFmtId="0" fontId="8" fillId="0" borderId="2" xfId="0" applyFont="1" applyBorder="1" applyAlignment="1">
      <alignment horizontal="right" vertical="center"/>
    </xf>
    <xf numFmtId="0" fontId="8" fillId="0" borderId="3" xfId="0" applyFont="1" applyBorder="1" applyAlignment="1">
      <alignment horizontal="right" vertical="center"/>
    </xf>
    <xf numFmtId="173" fontId="16" fillId="8" borderId="5" xfId="0" applyNumberFormat="1" applyFont="1" applyFill="1" applyBorder="1" applyAlignment="1">
      <alignment horizontal="center" vertical="center" wrapText="1"/>
    </xf>
    <xf numFmtId="173" fontId="16" fillId="8" borderId="65" xfId="0" applyNumberFormat="1" applyFont="1" applyFill="1" applyBorder="1" applyAlignment="1">
      <alignment horizontal="center" vertical="center" wrapText="1"/>
    </xf>
    <xf numFmtId="173" fontId="16" fillId="8" borderId="43" xfId="0" applyNumberFormat="1" applyFont="1" applyFill="1" applyBorder="1" applyAlignment="1">
      <alignment horizontal="center" vertical="center" wrapText="1"/>
    </xf>
    <xf numFmtId="173" fontId="16" fillId="8" borderId="44" xfId="0" applyNumberFormat="1" applyFont="1" applyFill="1" applyBorder="1" applyAlignment="1">
      <alignment horizontal="center" vertical="center" wrapText="1"/>
    </xf>
    <xf numFmtId="44" fontId="16" fillId="5" borderId="7" xfId="1" applyFont="1" applyFill="1" applyBorder="1" applyAlignment="1">
      <alignment horizontal="left" vertical="center"/>
    </xf>
    <xf numFmtId="44" fontId="16" fillId="5" borderId="10" xfId="1" applyFont="1" applyFill="1" applyBorder="1" applyAlignment="1">
      <alignment horizontal="left" vertical="center"/>
    </xf>
    <xf numFmtId="44" fontId="16" fillId="5" borderId="7" xfId="1" applyFont="1" applyFill="1" applyBorder="1" applyAlignment="1">
      <alignment vertical="center"/>
    </xf>
    <xf numFmtId="44" fontId="16" fillId="5" borderId="10" xfId="1" applyFont="1" applyFill="1" applyBorder="1" applyAlignment="1">
      <alignment vertical="center"/>
    </xf>
    <xf numFmtId="0" fontId="8" fillId="0" borderId="2" xfId="0" applyFont="1" applyBorder="1" applyAlignment="1">
      <alignment horizontal="center"/>
    </xf>
    <xf numFmtId="0" fontId="8" fillId="0" borderId="3" xfId="0" applyFont="1" applyBorder="1" applyAlignment="1">
      <alignment horizontal="center"/>
    </xf>
    <xf numFmtId="0" fontId="8" fillId="0" borderId="4" xfId="0" applyFont="1" applyBorder="1" applyAlignment="1">
      <alignment horizontal="center"/>
    </xf>
    <xf numFmtId="0" fontId="8" fillId="0" borderId="5" xfId="0" applyFont="1" applyBorder="1" applyAlignment="1">
      <alignment horizontal="center"/>
    </xf>
    <xf numFmtId="0" fontId="8" fillId="0" borderId="1" xfId="0" applyFont="1" applyBorder="1" applyAlignment="1">
      <alignment horizontal="center"/>
    </xf>
    <xf numFmtId="0" fontId="8" fillId="0" borderId="6" xfId="0" applyFont="1" applyBorder="1" applyAlignment="1">
      <alignment horizontal="center"/>
    </xf>
    <xf numFmtId="173" fontId="16" fillId="0" borderId="9" xfId="0" applyNumberFormat="1" applyFont="1" applyBorder="1" applyAlignment="1">
      <alignment horizontal="center" vertical="center" wrapText="1"/>
    </xf>
    <xf numFmtId="173" fontId="16" fillId="0" borderId="8" xfId="0" applyNumberFormat="1" applyFont="1" applyBorder="1" applyAlignment="1">
      <alignment horizontal="center" vertical="center" wrapText="1"/>
    </xf>
    <xf numFmtId="173" fontId="16" fillId="0" borderId="30" xfId="0" applyNumberFormat="1" applyFont="1" applyBorder="1" applyAlignment="1">
      <alignment horizontal="center" vertical="center" wrapText="1"/>
    </xf>
    <xf numFmtId="2" fontId="8" fillId="0" borderId="16" xfId="0" applyNumberFormat="1" applyFont="1" applyBorder="1" applyAlignment="1">
      <alignment horizontal="center" vertical="center" wrapText="1"/>
    </xf>
    <xf numFmtId="2" fontId="8" fillId="0" borderId="17" xfId="0" applyNumberFormat="1" applyFont="1" applyBorder="1" applyAlignment="1">
      <alignment horizontal="center" vertical="center" wrapText="1"/>
    </xf>
    <xf numFmtId="2" fontId="8" fillId="0" borderId="18" xfId="0" applyNumberFormat="1" applyFont="1" applyBorder="1" applyAlignment="1">
      <alignment horizontal="center" vertical="center" wrapText="1"/>
    </xf>
    <xf numFmtId="4" fontId="11" fillId="0" borderId="19" xfId="14" applyNumberFormat="1" applyFont="1" applyBorder="1" applyAlignment="1">
      <alignment horizontal="center" vertical="center"/>
    </xf>
    <xf numFmtId="4" fontId="11" fillId="0" borderId="21" xfId="14" applyNumberFormat="1" applyFont="1" applyBorder="1" applyAlignment="1">
      <alignment horizontal="center" vertical="center"/>
    </xf>
    <xf numFmtId="10" fontId="8" fillId="3" borderId="31" xfId="2" applyNumberFormat="1" applyFont="1" applyFill="1" applyBorder="1" applyAlignment="1">
      <alignment horizontal="center" vertical="center"/>
    </xf>
    <xf numFmtId="10" fontId="8" fillId="3" borderId="32" xfId="2" applyNumberFormat="1" applyFont="1" applyFill="1" applyBorder="1" applyAlignment="1">
      <alignment horizontal="center" vertical="center"/>
    </xf>
    <xf numFmtId="172" fontId="8" fillId="3" borderId="2" xfId="0" applyNumberFormat="1" applyFont="1" applyFill="1" applyBorder="1" applyAlignment="1">
      <alignment horizontal="center" vertical="center"/>
    </xf>
    <xf numFmtId="172" fontId="8" fillId="3" borderId="4" xfId="0" applyNumberFormat="1" applyFont="1" applyFill="1" applyBorder="1" applyAlignment="1">
      <alignment horizontal="center" vertical="center"/>
    </xf>
    <xf numFmtId="2" fontId="8" fillId="0" borderId="16" xfId="0" applyNumberFormat="1" applyFont="1" applyBorder="1" applyAlignment="1">
      <alignment horizontal="center" vertical="center"/>
    </xf>
    <xf numFmtId="0" fontId="8" fillId="0" borderId="17" xfId="0" applyFont="1" applyBorder="1" applyAlignment="1">
      <alignment horizontal="center" vertical="center"/>
    </xf>
    <xf numFmtId="0" fontId="8" fillId="0" borderId="18" xfId="0" applyFont="1" applyBorder="1" applyAlignment="1">
      <alignment horizontal="center" vertical="center"/>
    </xf>
    <xf numFmtId="0" fontId="23" fillId="0" borderId="22" xfId="12" applyFont="1" applyBorder="1" applyAlignment="1">
      <alignment horizontal="center" vertical="center"/>
    </xf>
    <xf numFmtId="0" fontId="23" fillId="0" borderId="23" xfId="12" applyFont="1" applyBorder="1" applyAlignment="1">
      <alignment horizontal="center" vertical="center"/>
    </xf>
    <xf numFmtId="0" fontId="23" fillId="0" borderId="24" xfId="12" applyFont="1" applyBorder="1" applyAlignment="1">
      <alignment horizontal="center" vertical="center"/>
    </xf>
    <xf numFmtId="0" fontId="23" fillId="0" borderId="25" xfId="12" applyFont="1" applyBorder="1" applyAlignment="1">
      <alignment horizontal="center" vertical="center"/>
    </xf>
    <xf numFmtId="0" fontId="23" fillId="0" borderId="26" xfId="12" applyFont="1" applyBorder="1" applyAlignment="1">
      <alignment horizontal="center" vertical="center"/>
    </xf>
    <xf numFmtId="0" fontId="23" fillId="0" borderId="27" xfId="12" applyFont="1" applyBorder="1" applyAlignment="1">
      <alignment horizontal="center" vertical="center"/>
    </xf>
    <xf numFmtId="0" fontId="23" fillId="0" borderId="25" xfId="12" applyFont="1" applyBorder="1" applyAlignment="1">
      <alignment horizontal="center" vertical="center" wrapText="1"/>
    </xf>
    <xf numFmtId="0" fontId="23" fillId="0" borderId="26" xfId="12" applyFont="1" applyBorder="1" applyAlignment="1">
      <alignment horizontal="center" vertical="center" wrapText="1"/>
    </xf>
    <xf numFmtId="0" fontId="23" fillId="0" borderId="27" xfId="12" applyFont="1" applyBorder="1" applyAlignment="1">
      <alignment horizontal="center" vertical="center" wrapText="1"/>
    </xf>
    <xf numFmtId="1" fontId="16" fillId="3" borderId="16" xfId="0" applyNumberFormat="1" applyFont="1" applyFill="1" applyBorder="1" applyAlignment="1">
      <alignment horizontal="center" vertical="center" wrapText="1"/>
    </xf>
    <xf numFmtId="1" fontId="16" fillId="3" borderId="17" xfId="0" applyNumberFormat="1" applyFont="1" applyFill="1" applyBorder="1" applyAlignment="1">
      <alignment horizontal="center" vertical="center" wrapText="1"/>
    </xf>
    <xf numFmtId="1" fontId="16" fillId="3" borderId="18" xfId="0" applyNumberFormat="1" applyFont="1" applyFill="1" applyBorder="1" applyAlignment="1">
      <alignment horizontal="center" vertical="center" wrapText="1"/>
    </xf>
    <xf numFmtId="1" fontId="16" fillId="4" borderId="16" xfId="0" applyNumberFormat="1" applyFont="1" applyFill="1" applyBorder="1" applyAlignment="1">
      <alignment horizontal="center" vertical="center"/>
    </xf>
    <xf numFmtId="1" fontId="16" fillId="4" borderId="17" xfId="0" applyNumberFormat="1" applyFont="1" applyFill="1" applyBorder="1" applyAlignment="1">
      <alignment horizontal="center" vertical="center"/>
    </xf>
    <xf numFmtId="1" fontId="16" fillId="4" borderId="18" xfId="0" applyNumberFormat="1" applyFont="1" applyFill="1" applyBorder="1" applyAlignment="1">
      <alignment horizontal="center" vertical="center"/>
    </xf>
    <xf numFmtId="0" fontId="3" fillId="0" borderId="16" xfId="0" applyFont="1" applyBorder="1" applyAlignment="1">
      <alignment horizontal="center"/>
    </xf>
    <xf numFmtId="0" fontId="3" fillId="0" borderId="17" xfId="0" applyFont="1" applyBorder="1" applyAlignment="1">
      <alignment horizontal="center"/>
    </xf>
    <xf numFmtId="0" fontId="3" fillId="0" borderId="18" xfId="0" applyFont="1" applyBorder="1" applyAlignment="1">
      <alignment horizontal="center"/>
    </xf>
    <xf numFmtId="0" fontId="8" fillId="3" borderId="2" xfId="0" applyFont="1" applyFill="1" applyBorder="1" applyAlignment="1">
      <alignment horizontal="center" vertical="center"/>
    </xf>
    <xf numFmtId="0" fontId="8" fillId="3" borderId="3" xfId="0" applyFont="1" applyFill="1" applyBorder="1" applyAlignment="1">
      <alignment horizontal="center" vertical="center"/>
    </xf>
    <xf numFmtId="0" fontId="8" fillId="3" borderId="4" xfId="0" applyFont="1" applyFill="1" applyBorder="1" applyAlignment="1">
      <alignment horizontal="center" vertical="center"/>
    </xf>
    <xf numFmtId="172" fontId="8" fillId="3" borderId="28" xfId="0" applyNumberFormat="1" applyFont="1" applyFill="1" applyBorder="1" applyAlignment="1">
      <alignment horizontal="center" vertical="center"/>
    </xf>
    <xf numFmtId="172" fontId="8" fillId="3" borderId="29" xfId="0" applyNumberFormat="1" applyFont="1" applyFill="1" applyBorder="1" applyAlignment="1">
      <alignment horizontal="center" vertical="center"/>
    </xf>
    <xf numFmtId="0" fontId="11" fillId="0" borderId="9" xfId="9" applyFont="1" applyBorder="1" applyAlignment="1">
      <alignment horizontal="justify" vertical="top" wrapText="1"/>
    </xf>
    <xf numFmtId="0" fontId="11" fillId="0" borderId="10" xfId="9" applyFont="1" applyBorder="1" applyAlignment="1">
      <alignment horizontal="justify" vertical="top" wrapText="1"/>
    </xf>
    <xf numFmtId="0" fontId="16" fillId="0" borderId="66" xfId="9" applyFont="1" applyBorder="1" applyAlignment="1">
      <alignment horizontal="left" vertical="top"/>
    </xf>
    <xf numFmtId="0" fontId="16" fillId="0" borderId="28" xfId="9" applyFont="1" applyBorder="1" applyAlignment="1">
      <alignment horizontal="left" vertical="top"/>
    </xf>
    <xf numFmtId="0" fontId="11" fillId="0" borderId="9" xfId="9" applyFont="1" applyBorder="1" applyAlignment="1">
      <alignment horizontal="justify" vertical="top"/>
    </xf>
    <xf numFmtId="0" fontId="11" fillId="0" borderId="10" xfId="9" applyFont="1" applyBorder="1" applyAlignment="1">
      <alignment horizontal="justify" vertical="top"/>
    </xf>
    <xf numFmtId="0" fontId="11" fillId="0" borderId="31" xfId="9" applyFont="1" applyBorder="1" applyAlignment="1">
      <alignment horizontal="justify" vertical="top" wrapText="1"/>
    </xf>
    <xf numFmtId="0" fontId="11" fillId="0" borderId="71" xfId="9" applyFont="1" applyBorder="1" applyAlignment="1">
      <alignment horizontal="justify" vertical="top" wrapText="1"/>
    </xf>
    <xf numFmtId="0" fontId="16" fillId="0" borderId="66" xfId="9" applyFont="1" applyBorder="1" applyAlignment="1">
      <alignment horizontal="left" vertical="center"/>
    </xf>
    <xf numFmtId="0" fontId="16" fillId="0" borderId="28" xfId="9" applyFont="1" applyBorder="1" applyAlignment="1">
      <alignment horizontal="left" vertical="center"/>
    </xf>
    <xf numFmtId="0" fontId="11" fillId="0" borderId="2" xfId="28" applyFont="1" applyBorder="1" applyAlignment="1">
      <alignment horizontal="center" vertical="center"/>
    </xf>
    <xf numFmtId="0" fontId="11" fillId="0" borderId="5" xfId="28" applyFont="1" applyBorder="1" applyAlignment="1">
      <alignment horizontal="center" vertical="center"/>
    </xf>
    <xf numFmtId="0" fontId="11" fillId="0" borderId="11" xfId="28" applyFont="1" applyBorder="1" applyAlignment="1">
      <alignment horizontal="center" vertical="center"/>
    </xf>
    <xf numFmtId="0" fontId="22" fillId="0" borderId="15" xfId="28" applyFont="1" applyBorder="1" applyAlignment="1">
      <alignment horizontal="center" vertical="center" wrapText="1" readingOrder="1"/>
    </xf>
    <xf numFmtId="0" fontId="22" fillId="0" borderId="38" xfId="28" applyFont="1" applyBorder="1" applyAlignment="1">
      <alignment horizontal="center" vertical="center" wrapText="1" readingOrder="1"/>
    </xf>
    <xf numFmtId="0" fontId="22" fillId="0" borderId="14" xfId="28" applyFont="1" applyBorder="1" applyAlignment="1">
      <alignment horizontal="center" vertical="center" wrapText="1" readingOrder="1"/>
    </xf>
    <xf numFmtId="0" fontId="22" fillId="0" borderId="5" xfId="28" applyFont="1" applyBorder="1" applyAlignment="1">
      <alignment horizontal="center" vertical="center" wrapText="1" readingOrder="1"/>
    </xf>
    <xf numFmtId="0" fontId="22" fillId="0" borderId="10" xfId="28" applyFont="1" applyBorder="1" applyAlignment="1">
      <alignment horizontal="center" vertical="center" wrapText="1" readingOrder="1"/>
    </xf>
    <xf numFmtId="0" fontId="22" fillId="0" borderId="1" xfId="28" applyFont="1" applyBorder="1" applyAlignment="1">
      <alignment horizontal="center" vertical="center" wrapText="1" readingOrder="1"/>
    </xf>
    <xf numFmtId="0" fontId="22" fillId="0" borderId="11" xfId="28" applyFont="1" applyBorder="1" applyAlignment="1">
      <alignment horizontal="center" vertical="center" wrapText="1" readingOrder="1"/>
    </xf>
    <xf numFmtId="0" fontId="22" fillId="0" borderId="71" xfId="28" applyFont="1" applyBorder="1" applyAlignment="1">
      <alignment horizontal="center" vertical="center" wrapText="1" readingOrder="1"/>
    </xf>
    <xf numFmtId="0" fontId="22" fillId="0" borderId="12" xfId="28" applyFont="1" applyBorder="1" applyAlignment="1">
      <alignment horizontal="center" vertical="center" wrapText="1" readingOrder="1"/>
    </xf>
    <xf numFmtId="0" fontId="17" fillId="0" borderId="14" xfId="28" applyFont="1" applyBorder="1" applyAlignment="1">
      <alignment horizontal="right" vertical="center" wrapText="1" readingOrder="1"/>
    </xf>
    <xf numFmtId="0" fontId="17" fillId="0" borderId="1" xfId="28" applyFont="1" applyBorder="1" applyAlignment="1">
      <alignment horizontal="right" vertical="center" wrapText="1" readingOrder="1"/>
    </xf>
    <xf numFmtId="0" fontId="22" fillId="0" borderId="14" xfId="28" applyFont="1" applyBorder="1" applyAlignment="1">
      <alignment horizontal="left" vertical="center" wrapText="1" readingOrder="1"/>
    </xf>
    <xf numFmtId="0" fontId="22" fillId="0" borderId="33" xfId="28" applyFont="1" applyBorder="1" applyAlignment="1">
      <alignment horizontal="left" vertical="center" wrapText="1" readingOrder="1"/>
    </xf>
    <xf numFmtId="0" fontId="22" fillId="0" borderId="1" xfId="28" applyFont="1" applyBorder="1" applyAlignment="1">
      <alignment horizontal="left" vertical="center" wrapText="1" readingOrder="1"/>
    </xf>
    <xf numFmtId="0" fontId="22" fillId="0" borderId="6" xfId="28" applyFont="1" applyBorder="1" applyAlignment="1">
      <alignment horizontal="left" vertical="center" wrapText="1" readingOrder="1"/>
    </xf>
    <xf numFmtId="191" fontId="22" fillId="0" borderId="1" xfId="28" applyNumberFormat="1" applyFont="1" applyBorder="1" applyAlignment="1">
      <alignment horizontal="left" vertical="center" wrapText="1" readingOrder="1"/>
    </xf>
    <xf numFmtId="191" fontId="22" fillId="0" borderId="6" xfId="28" applyNumberFormat="1" applyFont="1" applyBorder="1" applyAlignment="1">
      <alignment horizontal="left" vertical="center" wrapText="1" readingOrder="1"/>
    </xf>
    <xf numFmtId="0" fontId="17" fillId="0" borderId="12" xfId="28" applyFont="1" applyBorder="1" applyAlignment="1">
      <alignment horizontal="right" vertical="center" wrapText="1" readingOrder="1"/>
    </xf>
    <xf numFmtId="49" fontId="22" fillId="0" borderId="1" xfId="28" applyNumberFormat="1" applyFont="1" applyBorder="1" applyAlignment="1">
      <alignment horizontal="center" vertical="center" wrapText="1" readingOrder="1"/>
    </xf>
    <xf numFmtId="49" fontId="22" fillId="0" borderId="6" xfId="28" applyNumberFormat="1" applyFont="1" applyBorder="1" applyAlignment="1">
      <alignment horizontal="center" vertical="center" wrapText="1" readingOrder="1"/>
    </xf>
    <xf numFmtId="49" fontId="22" fillId="0" borderId="12" xfId="28" applyNumberFormat="1" applyFont="1" applyBorder="1" applyAlignment="1">
      <alignment horizontal="center" vertical="center" wrapText="1" readingOrder="1"/>
    </xf>
    <xf numFmtId="49" fontId="22" fillId="0" borderId="13" xfId="28" applyNumberFormat="1" applyFont="1" applyBorder="1" applyAlignment="1">
      <alignment horizontal="center" vertical="center" wrapText="1" readingOrder="1"/>
    </xf>
    <xf numFmtId="0" fontId="16" fillId="0" borderId="73" xfId="28" applyFont="1" applyBorder="1" applyAlignment="1">
      <alignment horizontal="center" vertical="center" wrapText="1"/>
    </xf>
    <xf numFmtId="0" fontId="16" fillId="0" borderId="23" xfId="28" applyFont="1" applyBorder="1" applyAlignment="1">
      <alignment horizontal="center" vertical="center" wrapText="1"/>
    </xf>
    <xf numFmtId="0" fontId="16" fillId="0" borderId="24" xfId="28" applyFont="1" applyBorder="1" applyAlignment="1">
      <alignment horizontal="center" vertical="center" wrapText="1"/>
    </xf>
    <xf numFmtId="0" fontId="16" fillId="0" borderId="51" xfId="28" applyFont="1" applyBorder="1" applyAlignment="1">
      <alignment horizontal="center" vertical="center" wrapText="1"/>
    </xf>
    <xf numFmtId="0" fontId="16" fillId="0" borderId="0" xfId="28" applyFont="1" applyAlignment="1">
      <alignment horizontal="center" vertical="center" wrapText="1"/>
    </xf>
    <xf numFmtId="0" fontId="16" fillId="0" borderId="41" xfId="28" applyFont="1" applyBorder="1" applyAlignment="1">
      <alignment horizontal="center" vertical="center" wrapText="1"/>
    </xf>
    <xf numFmtId="0" fontId="16" fillId="0" borderId="74" xfId="28" applyFont="1" applyBorder="1" applyAlignment="1">
      <alignment horizontal="center" vertical="center" wrapText="1"/>
    </xf>
    <xf numFmtId="0" fontId="16" fillId="0" borderId="26" xfId="28" applyFont="1" applyBorder="1" applyAlignment="1">
      <alignment horizontal="center" vertical="center" wrapText="1"/>
    </xf>
    <xf numFmtId="0" fontId="16" fillId="0" borderId="27" xfId="28" applyFont="1" applyBorder="1" applyAlignment="1">
      <alignment horizontal="center" vertical="center" wrapText="1"/>
    </xf>
    <xf numFmtId="39" fontId="22" fillId="0" borderId="15" xfId="28" applyNumberFormat="1" applyFont="1" applyBorder="1" applyAlignment="1">
      <alignment horizontal="center" vertical="center" wrapText="1" readingOrder="1"/>
    </xf>
    <xf numFmtId="39" fontId="22" fillId="0" borderId="38" xfId="28" applyNumberFormat="1" applyFont="1" applyBorder="1" applyAlignment="1">
      <alignment horizontal="center" vertical="center" wrapText="1" readingOrder="1"/>
    </xf>
    <xf numFmtId="39" fontId="22" fillId="0" borderId="14" xfId="28" applyNumberFormat="1" applyFont="1" applyBorder="1" applyAlignment="1">
      <alignment horizontal="center" vertical="center" wrapText="1" readingOrder="1"/>
    </xf>
    <xf numFmtId="39" fontId="22" fillId="0" borderId="33" xfId="28" applyNumberFormat="1" applyFont="1" applyBorder="1" applyAlignment="1">
      <alignment horizontal="center" vertical="center" wrapText="1" readingOrder="1"/>
    </xf>
    <xf numFmtId="39" fontId="22" fillId="0" borderId="11" xfId="28" applyNumberFormat="1" applyFont="1" applyBorder="1" applyAlignment="1">
      <alignment horizontal="center" vertical="center" wrapText="1" readingOrder="1"/>
    </xf>
    <xf numFmtId="39" fontId="22" fillId="0" borderId="71" xfId="28" applyNumberFormat="1" applyFont="1" applyBorder="1" applyAlignment="1">
      <alignment horizontal="center" vertical="center" wrapText="1" readingOrder="1"/>
    </xf>
    <xf numFmtId="39" fontId="22" fillId="0" borderId="12" xfId="28" applyNumberFormat="1" applyFont="1" applyBorder="1" applyAlignment="1">
      <alignment horizontal="center" vertical="center" wrapText="1" readingOrder="1"/>
    </xf>
    <xf numFmtId="39" fontId="22" fillId="0" borderId="13" xfId="28" applyNumberFormat="1" applyFont="1" applyBorder="1" applyAlignment="1">
      <alignment horizontal="center" vertical="center" wrapText="1" readingOrder="1"/>
    </xf>
    <xf numFmtId="0" fontId="3" fillId="3" borderId="17" xfId="0" applyFont="1" applyFill="1" applyBorder="1" applyAlignment="1">
      <alignment horizontal="center"/>
    </xf>
    <xf numFmtId="1" fontId="11" fillId="0" borderId="17" xfId="21" quotePrefix="1" applyNumberFormat="1" applyFont="1" applyBorder="1" applyAlignment="1">
      <alignment horizontal="justify" vertical="center" wrapText="1"/>
    </xf>
    <xf numFmtId="0" fontId="11" fillId="0" borderId="17" xfId="21" quotePrefix="1" applyFont="1" applyBorder="1" applyAlignment="1">
      <alignment horizontal="justify" vertical="center" wrapText="1"/>
    </xf>
    <xf numFmtId="0" fontId="16" fillId="3" borderId="16" xfId="21" quotePrefix="1" applyFont="1" applyFill="1" applyBorder="1" applyAlignment="1">
      <alignment horizontal="center" vertical="center"/>
    </xf>
    <xf numFmtId="0" fontId="16" fillId="3" borderId="17" xfId="21" quotePrefix="1" applyFont="1" applyFill="1" applyBorder="1" applyAlignment="1">
      <alignment horizontal="center" vertical="center"/>
    </xf>
    <xf numFmtId="49" fontId="3" fillId="0" borderId="16" xfId="0" applyNumberFormat="1" applyFont="1" applyBorder="1" applyAlignment="1">
      <alignment horizontal="center" vertical="center"/>
    </xf>
    <xf numFmtId="49" fontId="3" fillId="0" borderId="18" xfId="0" applyNumberFormat="1" applyFont="1" applyBorder="1" applyAlignment="1">
      <alignment horizontal="center" vertical="center"/>
    </xf>
    <xf numFmtId="0" fontId="16" fillId="0" borderId="3" xfId="28" applyFont="1" applyBorder="1" applyAlignment="1">
      <alignment horizontal="center" vertical="center" wrapText="1"/>
    </xf>
    <xf numFmtId="0" fontId="16" fillId="0" borderId="4" xfId="28" applyFont="1" applyBorder="1" applyAlignment="1">
      <alignment horizontal="center" vertical="center" wrapText="1"/>
    </xf>
    <xf numFmtId="0" fontId="16" fillId="0" borderId="1" xfId="28" applyFont="1" applyBorder="1" applyAlignment="1">
      <alignment horizontal="center" vertical="center" wrapText="1"/>
    </xf>
    <xf numFmtId="0" fontId="16" fillId="0" borderId="6" xfId="28" applyFont="1" applyBorder="1" applyAlignment="1">
      <alignment horizontal="center" vertical="center" wrapText="1"/>
    </xf>
    <xf numFmtId="0" fontId="16" fillId="0" borderId="12" xfId="28" applyFont="1" applyBorder="1" applyAlignment="1">
      <alignment horizontal="center" vertical="center" wrapText="1"/>
    </xf>
    <xf numFmtId="0" fontId="16" fillId="0" borderId="13" xfId="28" applyFont="1" applyBorder="1" applyAlignment="1">
      <alignment horizontal="center" vertical="center" wrapText="1"/>
    </xf>
    <xf numFmtId="0" fontId="16" fillId="0" borderId="66" xfId="9" applyFont="1" applyBorder="1" applyAlignment="1">
      <alignment horizontal="justify" vertical="top"/>
    </xf>
    <xf numFmtId="0" fontId="16" fillId="0" borderId="28" xfId="9" applyFont="1" applyBorder="1" applyAlignment="1">
      <alignment horizontal="justify" vertical="top"/>
    </xf>
    <xf numFmtId="1" fontId="11" fillId="0" borderId="16" xfId="21" quotePrefix="1" applyNumberFormat="1" applyFont="1" applyBorder="1" applyAlignment="1">
      <alignment horizontal="left" vertical="center" wrapText="1"/>
    </xf>
    <xf numFmtId="1" fontId="11" fillId="0" borderId="17" xfId="21" quotePrefix="1" applyNumberFormat="1" applyFont="1" applyBorder="1" applyAlignment="1">
      <alignment horizontal="left" vertical="center" wrapText="1"/>
    </xf>
    <xf numFmtId="1" fontId="11" fillId="0" borderId="18" xfId="21" quotePrefix="1" applyNumberFormat="1" applyFont="1" applyBorder="1" applyAlignment="1">
      <alignment horizontal="left" vertical="center" wrapText="1"/>
    </xf>
    <xf numFmtId="0" fontId="16" fillId="0" borderId="66" xfId="9" applyFont="1" applyBorder="1" applyAlignment="1">
      <alignment horizontal="justify"/>
    </xf>
    <xf numFmtId="0" fontId="16" fillId="0" borderId="28" xfId="9" applyFont="1" applyBorder="1" applyAlignment="1">
      <alignment horizontal="justify"/>
    </xf>
    <xf numFmtId="0" fontId="11" fillId="0" borderId="5" xfId="9" applyFont="1" applyBorder="1" applyAlignment="1">
      <alignment horizontal="justify" vertical="top"/>
    </xf>
    <xf numFmtId="0" fontId="11" fillId="0" borderId="1" xfId="9" applyFont="1" applyBorder="1" applyAlignment="1">
      <alignment horizontal="justify" vertical="top"/>
    </xf>
    <xf numFmtId="0" fontId="11" fillId="0" borderId="11" xfId="9" applyFont="1" applyBorder="1" applyAlignment="1">
      <alignment horizontal="justify" vertical="top" wrapText="1"/>
    </xf>
    <xf numFmtId="0" fontId="11" fillId="0" borderId="12" xfId="9" applyFont="1" applyBorder="1" applyAlignment="1">
      <alignment horizontal="justify" vertical="top" wrapText="1"/>
    </xf>
    <xf numFmtId="0" fontId="11" fillId="0" borderId="9" xfId="9" applyFont="1" applyBorder="1" applyAlignment="1">
      <alignment horizontal="left" vertical="top"/>
    </xf>
    <xf numFmtId="0" fontId="11" fillId="0" borderId="10" xfId="9" applyFont="1" applyBorder="1" applyAlignment="1">
      <alignment horizontal="left" vertical="top"/>
    </xf>
    <xf numFmtId="0" fontId="16" fillId="17" borderId="5" xfId="0" applyFont="1" applyFill="1" applyBorder="1" applyAlignment="1">
      <alignment horizontal="center" vertical="center"/>
    </xf>
    <xf numFmtId="0" fontId="16" fillId="17" borderId="1" xfId="0" applyFont="1" applyFill="1" applyBorder="1" applyAlignment="1">
      <alignment horizontal="center" vertical="center"/>
    </xf>
    <xf numFmtId="0" fontId="16" fillId="17" borderId="6" xfId="0" applyFont="1" applyFill="1" applyBorder="1" applyAlignment="1">
      <alignment horizontal="center" vertical="center"/>
    </xf>
    <xf numFmtId="2" fontId="8" fillId="0" borderId="2" xfId="0" applyNumberFormat="1" applyFont="1" applyBorder="1" applyAlignment="1">
      <alignment horizontal="center" vertical="center" wrapText="1"/>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8" fillId="0" borderId="5" xfId="0" applyFont="1" applyBorder="1" applyAlignment="1">
      <alignment horizontal="center" vertical="center" wrapText="1"/>
    </xf>
    <xf numFmtId="0" fontId="8" fillId="0" borderId="1" xfId="0" applyFont="1" applyBorder="1" applyAlignment="1">
      <alignment horizontal="center" vertical="center" wrapText="1"/>
    </xf>
    <xf numFmtId="0" fontId="8" fillId="0" borderId="6" xfId="0" applyFont="1" applyBorder="1" applyAlignment="1">
      <alignment horizontal="center" vertical="center" wrapText="1"/>
    </xf>
    <xf numFmtId="0" fontId="16" fillId="0" borderId="0" xfId="0" applyFont="1" applyAlignment="1">
      <alignment horizontal="center"/>
    </xf>
    <xf numFmtId="0" fontId="11" fillId="0" borderId="50" xfId="23" applyFont="1" applyBorder="1" applyAlignment="1">
      <alignment horizontal="center" vertical="center"/>
    </xf>
    <xf numFmtId="0" fontId="11" fillId="0" borderId="14" xfId="23" applyFont="1" applyBorder="1" applyAlignment="1">
      <alignment horizontal="center" vertical="center"/>
    </xf>
    <xf numFmtId="0" fontId="16" fillId="0" borderId="1" xfId="23" applyFont="1" applyBorder="1" applyAlignment="1">
      <alignment horizontal="center" vertical="top" wrapText="1"/>
    </xf>
    <xf numFmtId="0" fontId="16" fillId="0" borderId="42" xfId="23" applyFont="1" applyBorder="1" applyAlignment="1">
      <alignment horizontal="center" vertical="center"/>
    </xf>
    <xf numFmtId="0" fontId="16" fillId="0" borderId="43" xfId="23" applyFont="1" applyBorder="1" applyAlignment="1">
      <alignment horizontal="center" vertical="center"/>
    </xf>
    <xf numFmtId="0" fontId="16" fillId="0" borderId="44" xfId="23" applyFont="1" applyBorder="1" applyAlignment="1">
      <alignment horizontal="center" vertical="center"/>
    </xf>
    <xf numFmtId="0" fontId="16" fillId="0" borderId="45" xfId="23" applyFont="1" applyBorder="1" applyAlignment="1">
      <alignment horizontal="center" vertical="center"/>
    </xf>
    <xf numFmtId="0" fontId="16" fillId="0" borderId="46" xfId="23" applyFont="1" applyBorder="1" applyAlignment="1">
      <alignment horizontal="center" vertical="center"/>
    </xf>
    <xf numFmtId="0" fontId="16" fillId="0" borderId="38" xfId="23" applyFont="1" applyBorder="1" applyAlignment="1">
      <alignment horizontal="center" vertical="center"/>
    </xf>
    <xf numFmtId="0" fontId="16" fillId="0" borderId="1" xfId="0" applyFont="1" applyBorder="1" applyAlignment="1">
      <alignment horizontal="left" vertical="center" wrapText="1"/>
    </xf>
    <xf numFmtId="0" fontId="3" fillId="0" borderId="11" xfId="0" applyFont="1" applyBorder="1" applyAlignment="1">
      <alignment horizontal="center"/>
    </xf>
    <xf numFmtId="0" fontId="3" fillId="0" borderId="12" xfId="0" applyFont="1" applyBorder="1" applyAlignment="1">
      <alignment horizontal="center"/>
    </xf>
    <xf numFmtId="0" fontId="8" fillId="17" borderId="5" xfId="0" applyFont="1" applyFill="1" applyBorder="1" applyAlignment="1">
      <alignment horizontal="center" vertical="center" wrapText="1"/>
    </xf>
    <xf numFmtId="0" fontId="8" fillId="17" borderId="1" xfId="0" applyFont="1" applyFill="1" applyBorder="1" applyAlignment="1">
      <alignment horizontal="center" vertical="center" wrapText="1"/>
    </xf>
    <xf numFmtId="0" fontId="8" fillId="17" borderId="6" xfId="0" applyFont="1" applyFill="1" applyBorder="1" applyAlignment="1">
      <alignment horizontal="center" vertical="center" wrapText="1"/>
    </xf>
    <xf numFmtId="2" fontId="3" fillId="0" borderId="25" xfId="0" applyNumberFormat="1" applyFont="1" applyBorder="1" applyAlignment="1">
      <alignment horizontal="center" vertical="center"/>
    </xf>
    <xf numFmtId="2" fontId="3" fillId="0" borderId="27" xfId="0" applyNumberFormat="1" applyFont="1" applyBorder="1" applyAlignment="1">
      <alignment horizontal="center" vertical="center"/>
    </xf>
    <xf numFmtId="2" fontId="8" fillId="0" borderId="17" xfId="0" applyNumberFormat="1" applyFont="1" applyBorder="1" applyAlignment="1">
      <alignment horizontal="center" vertical="center"/>
    </xf>
    <xf numFmtId="0" fontId="3" fillId="0" borderId="22" xfId="0" applyFont="1" applyBorder="1" applyAlignment="1">
      <alignment horizontal="center" vertical="center"/>
    </xf>
    <xf numFmtId="0" fontId="3" fillId="0" borderId="23" xfId="0" applyFont="1" applyBorder="1" applyAlignment="1">
      <alignment horizontal="center" vertical="center"/>
    </xf>
    <xf numFmtId="0" fontId="3" fillId="0" borderId="24" xfId="0" applyFont="1" applyBorder="1" applyAlignment="1">
      <alignment horizontal="center" vertical="center"/>
    </xf>
    <xf numFmtId="0" fontId="3" fillId="0" borderId="58" xfId="0" applyFont="1" applyBorder="1" applyAlignment="1">
      <alignment horizontal="center" vertical="center"/>
    </xf>
    <xf numFmtId="0" fontId="3" fillId="0" borderId="0" xfId="0" applyFont="1" applyAlignment="1">
      <alignment horizontal="center" vertical="center"/>
    </xf>
    <xf numFmtId="0" fontId="3" fillId="0" borderId="41"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8" fillId="3" borderId="37" xfId="0" applyFont="1" applyFill="1" applyBorder="1" applyAlignment="1">
      <alignment horizontal="center" vertical="center"/>
    </xf>
    <xf numFmtId="0" fontId="8" fillId="3" borderId="39" xfId="0" applyFont="1" applyFill="1" applyBorder="1" applyAlignment="1">
      <alignment horizontal="center" vertical="center"/>
    </xf>
    <xf numFmtId="2" fontId="8" fillId="3" borderId="16" xfId="0" applyNumberFormat="1" applyFont="1" applyFill="1" applyBorder="1" applyAlignment="1">
      <alignment horizontal="center" vertical="center"/>
    </xf>
    <xf numFmtId="2" fontId="8" fillId="3" borderId="17" xfId="0" applyNumberFormat="1" applyFont="1" applyFill="1" applyBorder="1" applyAlignment="1">
      <alignment horizontal="center" vertical="center"/>
    </xf>
    <xf numFmtId="2" fontId="8" fillId="3" borderId="18" xfId="0" applyNumberFormat="1" applyFont="1" applyFill="1" applyBorder="1" applyAlignment="1">
      <alignment horizontal="center" vertical="center"/>
    </xf>
    <xf numFmtId="2" fontId="8" fillId="3" borderId="37" xfId="0" applyNumberFormat="1" applyFont="1" applyFill="1" applyBorder="1" applyAlignment="1">
      <alignment horizontal="center" vertical="center" wrapText="1"/>
    </xf>
    <xf numFmtId="2" fontId="8" fillId="3" borderId="39" xfId="0" applyNumberFormat="1" applyFont="1" applyFill="1" applyBorder="1" applyAlignment="1">
      <alignment horizontal="center" vertical="center" wrapText="1"/>
    </xf>
    <xf numFmtId="2" fontId="8" fillId="3" borderId="37" xfId="0" applyNumberFormat="1" applyFont="1" applyFill="1" applyBorder="1" applyAlignment="1">
      <alignment horizontal="center" vertical="center"/>
    </xf>
    <xf numFmtId="2" fontId="8" fillId="3" borderId="39" xfId="0" applyNumberFormat="1" applyFont="1" applyFill="1" applyBorder="1" applyAlignment="1">
      <alignment horizontal="center" vertical="center"/>
    </xf>
    <xf numFmtId="2" fontId="3" fillId="0" borderId="3" xfId="0" applyNumberFormat="1" applyFont="1" applyBorder="1" applyAlignment="1">
      <alignment horizontal="center" vertical="center"/>
    </xf>
    <xf numFmtId="0" fontId="3" fillId="0" borderId="22" xfId="0" applyFont="1" applyBorder="1" applyAlignment="1">
      <alignment horizontal="center"/>
    </xf>
    <xf numFmtId="0" fontId="3" fillId="0" borderId="24" xfId="0" applyFont="1" applyBorder="1" applyAlignment="1">
      <alignment horizontal="center"/>
    </xf>
    <xf numFmtId="0" fontId="3" fillId="0" borderId="58" xfId="0" applyFont="1" applyBorder="1" applyAlignment="1">
      <alignment horizontal="center"/>
    </xf>
    <xf numFmtId="0" fontId="3" fillId="0" borderId="41" xfId="0" applyFont="1" applyBorder="1" applyAlignment="1">
      <alignment horizontal="center"/>
    </xf>
    <xf numFmtId="0" fontId="3" fillId="0" borderId="25" xfId="0" applyFont="1" applyBorder="1" applyAlignment="1">
      <alignment horizontal="center"/>
    </xf>
    <xf numFmtId="0" fontId="3" fillId="0" borderId="27" xfId="0" applyFont="1" applyBorder="1" applyAlignment="1">
      <alignment horizontal="center"/>
    </xf>
    <xf numFmtId="0" fontId="8" fillId="3" borderId="16" xfId="42" applyFont="1" applyFill="1" applyBorder="1" applyAlignment="1">
      <alignment horizontal="center" vertical="center"/>
    </xf>
    <xf numFmtId="0" fontId="8" fillId="3" borderId="17" xfId="42" applyFont="1" applyFill="1" applyBorder="1" applyAlignment="1">
      <alignment horizontal="center" vertical="center"/>
    </xf>
    <xf numFmtId="0" fontId="8" fillId="3" borderId="18" xfId="42" applyFont="1" applyFill="1" applyBorder="1" applyAlignment="1">
      <alignment horizontal="center" vertical="center"/>
    </xf>
    <xf numFmtId="0" fontId="8" fillId="0" borderId="69" xfId="42" applyFont="1" applyBorder="1" applyAlignment="1">
      <alignment horizontal="center" vertical="center"/>
    </xf>
    <xf numFmtId="0" fontId="8" fillId="0" borderId="70" xfId="42" applyFont="1" applyBorder="1" applyAlignment="1">
      <alignment horizontal="center" vertical="center"/>
    </xf>
    <xf numFmtId="2" fontId="8" fillId="0" borderId="2" xfId="42" applyNumberFormat="1" applyFont="1" applyBorder="1" applyAlignment="1">
      <alignment horizontal="center" vertical="center" wrapText="1"/>
    </xf>
    <xf numFmtId="0" fontId="8" fillId="0" borderId="3" xfId="42" applyFont="1" applyBorder="1" applyAlignment="1">
      <alignment horizontal="center" vertical="center" wrapText="1"/>
    </xf>
    <xf numFmtId="0" fontId="8" fillId="0" borderId="4" xfId="42" applyFont="1" applyBorder="1" applyAlignment="1">
      <alignment horizontal="center" vertical="center" wrapText="1"/>
    </xf>
    <xf numFmtId="0" fontId="8" fillId="0" borderId="11" xfId="42" applyFont="1" applyBorder="1" applyAlignment="1">
      <alignment horizontal="center" vertical="center" wrapText="1"/>
    </xf>
    <xf numFmtId="0" fontId="8" fillId="0" borderId="12" xfId="42" applyFont="1" applyBorder="1" applyAlignment="1">
      <alignment horizontal="center" vertical="center" wrapText="1"/>
    </xf>
    <xf numFmtId="0" fontId="8" fillId="0" borderId="13" xfId="42" applyFont="1" applyBorder="1" applyAlignment="1">
      <alignment horizontal="center" vertical="center" wrapText="1"/>
    </xf>
    <xf numFmtId="49" fontId="3" fillId="0" borderId="69" xfId="42" applyNumberFormat="1" applyFont="1" applyBorder="1" applyAlignment="1">
      <alignment horizontal="center" vertical="center" wrapText="1"/>
    </xf>
    <xf numFmtId="49" fontId="3" fillId="0" borderId="70" xfId="42" applyNumberFormat="1" applyFont="1" applyBorder="1" applyAlignment="1">
      <alignment horizontal="center" vertical="center" wrapText="1"/>
    </xf>
    <xf numFmtId="0" fontId="11" fillId="0" borderId="70" xfId="42" applyFont="1" applyBorder="1" applyAlignment="1">
      <alignment wrapText="1"/>
    </xf>
    <xf numFmtId="3" fontId="8" fillId="0" borderId="2" xfId="42" applyNumberFormat="1" applyFont="1" applyBorder="1" applyAlignment="1">
      <alignment horizontal="center" vertical="center" wrapText="1"/>
    </xf>
    <xf numFmtId="3" fontId="8" fillId="0" borderId="3" xfId="42" applyNumberFormat="1" applyFont="1" applyBorder="1" applyAlignment="1">
      <alignment horizontal="center" vertical="center" wrapText="1"/>
    </xf>
    <xf numFmtId="3" fontId="8" fillId="0" borderId="4" xfId="42" applyNumberFormat="1" applyFont="1" applyBorder="1" applyAlignment="1">
      <alignment horizontal="center" vertical="center" wrapText="1"/>
    </xf>
    <xf numFmtId="3" fontId="8" fillId="0" borderId="5" xfId="42" applyNumberFormat="1" applyFont="1" applyBorder="1" applyAlignment="1">
      <alignment horizontal="center" vertical="center" wrapText="1"/>
    </xf>
    <xf numFmtId="3" fontId="8" fillId="0" borderId="1" xfId="42" applyNumberFormat="1" applyFont="1" applyBorder="1" applyAlignment="1">
      <alignment horizontal="center" vertical="center" wrapText="1"/>
    </xf>
    <xf numFmtId="3" fontId="8" fillId="0" borderId="6" xfId="42" applyNumberFormat="1" applyFont="1" applyBorder="1" applyAlignment="1">
      <alignment horizontal="center" vertical="center" wrapText="1"/>
    </xf>
    <xf numFmtId="3" fontId="8" fillId="0" borderId="11" xfId="42" applyNumberFormat="1" applyFont="1" applyBorder="1" applyAlignment="1">
      <alignment horizontal="center" vertical="center" wrapText="1"/>
    </xf>
    <xf numFmtId="3" fontId="8" fillId="0" borderId="12" xfId="42" applyNumberFormat="1" applyFont="1" applyBorder="1" applyAlignment="1">
      <alignment horizontal="center" vertical="center" wrapText="1"/>
    </xf>
    <xf numFmtId="3" fontId="8" fillId="0" borderId="13" xfId="42" applyNumberFormat="1" applyFont="1" applyBorder="1" applyAlignment="1">
      <alignment horizontal="center" vertical="center" wrapText="1"/>
    </xf>
    <xf numFmtId="0" fontId="3" fillId="0" borderId="27" xfId="0" applyFont="1" applyBorder="1" applyAlignment="1">
      <alignment horizontal="center" vertical="center"/>
    </xf>
    <xf numFmtId="1" fontId="9" fillId="9" borderId="61" xfId="0" applyNumberFormat="1" applyFont="1" applyFill="1" applyBorder="1" applyAlignment="1">
      <alignment horizontal="center" vertical="center"/>
    </xf>
    <xf numFmtId="1" fontId="9" fillId="9" borderId="60" xfId="0" applyNumberFormat="1" applyFont="1" applyFill="1" applyBorder="1" applyAlignment="1">
      <alignment horizontal="center" vertical="center"/>
    </xf>
    <xf numFmtId="182" fontId="5" fillId="9" borderId="16" xfId="0" applyNumberFormat="1" applyFont="1" applyFill="1" applyBorder="1" applyAlignment="1">
      <alignment horizontal="center" vertical="center" wrapText="1"/>
    </xf>
    <xf numFmtId="182" fontId="5" fillId="9" borderId="17" xfId="0" applyNumberFormat="1" applyFont="1" applyFill="1" applyBorder="1" applyAlignment="1">
      <alignment horizontal="center" vertical="center" wrapText="1"/>
    </xf>
    <xf numFmtId="182" fontId="5" fillId="9" borderId="60" xfId="0" applyNumberFormat="1" applyFont="1" applyFill="1" applyBorder="1" applyAlignment="1">
      <alignment horizontal="center" vertical="center" wrapText="1"/>
    </xf>
    <xf numFmtId="0" fontId="11" fillId="0" borderId="1" xfId="0" applyFont="1" applyBorder="1"/>
    <xf numFmtId="0" fontId="11" fillId="0" borderId="5" xfId="0" applyFont="1" applyBorder="1"/>
    <xf numFmtId="182" fontId="4" fillId="9" borderId="5" xfId="0" applyNumberFormat="1" applyFont="1" applyFill="1" applyBorder="1" applyAlignment="1">
      <alignment horizontal="center" vertical="center" wrapText="1"/>
    </xf>
    <xf numFmtId="182" fontId="4" fillId="9" borderId="47" xfId="0" applyNumberFormat="1" applyFont="1" applyFill="1" applyBorder="1" applyAlignment="1">
      <alignment horizontal="center" vertical="center" wrapText="1"/>
    </xf>
    <xf numFmtId="0" fontId="11" fillId="0" borderId="48" xfId="0" applyFont="1" applyBorder="1"/>
    <xf numFmtId="179" fontId="3" fillId="9" borderId="1" xfId="0" applyNumberFormat="1" applyFont="1" applyFill="1" applyBorder="1" applyAlignment="1">
      <alignment horizontal="center" vertical="center" wrapText="1"/>
    </xf>
    <xf numFmtId="179" fontId="8" fillId="9" borderId="2" xfId="0" applyNumberFormat="1" applyFont="1" applyFill="1" applyBorder="1" applyAlignment="1">
      <alignment horizontal="center" vertical="center" wrapText="1"/>
    </xf>
    <xf numFmtId="0" fontId="11" fillId="0" borderId="3" xfId="0" applyFont="1" applyBorder="1"/>
    <xf numFmtId="179" fontId="5" fillId="9" borderId="3" xfId="0" applyNumberFormat="1" applyFont="1" applyFill="1" applyBorder="1" applyAlignment="1">
      <alignment horizontal="center" vertical="center" wrapText="1"/>
    </xf>
    <xf numFmtId="0" fontId="11" fillId="0" borderId="4" xfId="0" applyFont="1" applyBorder="1"/>
    <xf numFmtId="179" fontId="15" fillId="9" borderId="1" xfId="0" applyNumberFormat="1" applyFont="1" applyFill="1" applyBorder="1" applyAlignment="1">
      <alignment horizontal="center" vertical="center" wrapText="1"/>
    </xf>
    <xf numFmtId="0" fontId="11" fillId="0" borderId="6" xfId="0" applyFont="1" applyBorder="1"/>
    <xf numFmtId="179" fontId="8" fillId="10" borderId="1" xfId="0" applyNumberFormat="1" applyFont="1" applyFill="1" applyBorder="1" applyAlignment="1">
      <alignment horizontal="center" vertical="center" wrapText="1"/>
    </xf>
    <xf numFmtId="2" fontId="9" fillId="44" borderId="61" xfId="0" applyNumberFormat="1" applyFont="1" applyFill="1" applyBorder="1" applyAlignment="1">
      <alignment horizontal="center" vertical="center"/>
    </xf>
    <xf numFmtId="2" fontId="9" fillId="44" borderId="60" xfId="0" applyNumberFormat="1" applyFont="1" applyFill="1" applyBorder="1" applyAlignment="1">
      <alignment horizontal="center" vertical="center"/>
    </xf>
    <xf numFmtId="0" fontId="2" fillId="0" borderId="26" xfId="52" applyBorder="1" applyAlignment="1">
      <alignment horizontal="center" vertical="center"/>
    </xf>
    <xf numFmtId="0" fontId="16" fillId="17" borderId="9" xfId="0" applyFont="1" applyFill="1" applyBorder="1" applyAlignment="1">
      <alignment horizontal="center" vertical="center"/>
    </xf>
    <xf numFmtId="0" fontId="16" fillId="17" borderId="8" xfId="0" applyFont="1" applyFill="1" applyBorder="1" applyAlignment="1">
      <alignment horizontal="center" vertical="center"/>
    </xf>
    <xf numFmtId="0" fontId="16" fillId="17" borderId="30" xfId="0" applyFont="1" applyFill="1" applyBorder="1" applyAlignment="1">
      <alignment horizontal="center" vertical="center"/>
    </xf>
    <xf numFmtId="0" fontId="61" fillId="0" borderId="0" xfId="33" applyFont="1" applyAlignment="1">
      <alignment horizontal="left" vertical="center" wrapText="1"/>
    </xf>
    <xf numFmtId="0" fontId="39" fillId="0" borderId="5" xfId="50" applyFont="1" applyBorder="1" applyAlignment="1">
      <alignment horizontal="left" vertical="center" wrapText="1"/>
    </xf>
    <xf numFmtId="0" fontId="39" fillId="0" borderId="1" xfId="50" applyFont="1" applyBorder="1" applyAlignment="1">
      <alignment horizontal="left" vertical="center" wrapText="1"/>
    </xf>
    <xf numFmtId="0" fontId="39" fillId="0" borderId="6" xfId="50" applyFont="1" applyBorder="1" applyAlignment="1">
      <alignment horizontal="left" vertical="center" wrapText="1"/>
    </xf>
    <xf numFmtId="0" fontId="38" fillId="0" borderId="7" xfId="51" applyFont="1" applyBorder="1" applyAlignment="1">
      <alignment horizontal="left" vertical="center" wrapText="1"/>
    </xf>
    <xf numFmtId="0" fontId="38" fillId="0" borderId="8" xfId="51" applyFont="1" applyBorder="1" applyAlignment="1">
      <alignment horizontal="left" vertical="center" wrapText="1"/>
    </xf>
    <xf numFmtId="0" fontId="38" fillId="0" borderId="10" xfId="51" applyFont="1" applyBorder="1" applyAlignment="1">
      <alignment horizontal="left" vertical="center" wrapText="1"/>
    </xf>
    <xf numFmtId="0" fontId="38" fillId="0" borderId="9" xfId="51" applyFont="1" applyBorder="1" applyAlignment="1">
      <alignment horizontal="left" vertical="center" wrapText="1"/>
    </xf>
    <xf numFmtId="0" fontId="38" fillId="0" borderId="9" xfId="50" applyFont="1" applyBorder="1" applyAlignment="1">
      <alignment horizontal="left" vertical="center" wrapText="1"/>
    </xf>
    <xf numFmtId="0" fontId="38" fillId="0" borderId="10" xfId="50" applyFont="1" applyBorder="1" applyAlignment="1">
      <alignment horizontal="left" vertical="center" wrapText="1"/>
    </xf>
    <xf numFmtId="0" fontId="38" fillId="0" borderId="5" xfId="50" applyFont="1" applyBorder="1" applyAlignment="1">
      <alignment horizontal="right" vertical="center" wrapText="1"/>
    </xf>
    <xf numFmtId="0" fontId="38" fillId="0" borderId="1" xfId="50" applyFont="1" applyBorder="1" applyAlignment="1">
      <alignment horizontal="right" vertical="center" wrapText="1"/>
    </xf>
    <xf numFmtId="2" fontId="8" fillId="0" borderId="22" xfId="0" applyNumberFormat="1" applyFont="1" applyBorder="1" applyAlignment="1">
      <alignment horizontal="center" vertical="center" wrapText="1"/>
    </xf>
    <xf numFmtId="2" fontId="8" fillId="0" borderId="23" xfId="0" applyNumberFormat="1" applyFont="1" applyBorder="1" applyAlignment="1">
      <alignment horizontal="center" vertical="center" wrapText="1"/>
    </xf>
    <xf numFmtId="2" fontId="8" fillId="0" borderId="24" xfId="0" applyNumberFormat="1" applyFont="1" applyBorder="1" applyAlignment="1">
      <alignment horizontal="center" vertical="center" wrapText="1"/>
    </xf>
    <xf numFmtId="2" fontId="8" fillId="0" borderId="53" xfId="0" applyNumberFormat="1" applyFont="1" applyBorder="1" applyAlignment="1">
      <alignment horizontal="center" vertical="center" wrapText="1"/>
    </xf>
    <xf numFmtId="2" fontId="8" fillId="0" borderId="46" xfId="0" applyNumberFormat="1" applyFont="1" applyBorder="1" applyAlignment="1">
      <alignment horizontal="center" vertical="center" wrapText="1"/>
    </xf>
    <xf numFmtId="2" fontId="8" fillId="0" borderId="59" xfId="0" applyNumberFormat="1" applyFont="1" applyBorder="1" applyAlignment="1">
      <alignment horizontal="center" vertical="center" wrapText="1"/>
    </xf>
    <xf numFmtId="208" fontId="71" fillId="0" borderId="0" xfId="19" applyNumberFormat="1" applyFont="1" applyBorder="1" applyAlignment="1">
      <alignment horizontal="center" vertical="center"/>
    </xf>
    <xf numFmtId="208" fontId="71" fillId="0" borderId="0" xfId="19" applyNumberFormat="1" applyFont="1" applyAlignment="1">
      <alignment horizontal="center" vertical="center"/>
    </xf>
    <xf numFmtId="0" fontId="38" fillId="33" borderId="7" xfId="51" applyFont="1" applyFill="1" applyBorder="1" applyAlignment="1">
      <alignment horizontal="left" vertical="center" wrapText="1"/>
    </xf>
    <xf numFmtId="0" fontId="38" fillId="33" borderId="8" xfId="51" applyFont="1" applyFill="1" applyBorder="1" applyAlignment="1">
      <alignment horizontal="left" vertical="center" wrapText="1"/>
    </xf>
    <xf numFmtId="0" fontId="38" fillId="33" borderId="10" xfId="51" applyFont="1" applyFill="1" applyBorder="1" applyAlignment="1">
      <alignment horizontal="left" vertical="center" wrapText="1"/>
    </xf>
    <xf numFmtId="0" fontId="38" fillId="0" borderId="5" xfId="50" applyFont="1" applyBorder="1" applyAlignment="1">
      <alignment horizontal="left" vertical="center" wrapText="1"/>
    </xf>
    <xf numFmtId="0" fontId="38" fillId="0" borderId="7" xfId="50" applyFont="1" applyBorder="1" applyAlignment="1">
      <alignment horizontal="left" vertical="center" wrapText="1"/>
    </xf>
    <xf numFmtId="0" fontId="41" fillId="0" borderId="11" xfId="9" applyFont="1" applyBorder="1" applyAlignment="1">
      <alignment horizontal="justify" vertical="center" wrapText="1"/>
    </xf>
    <xf numFmtId="0" fontId="41" fillId="0" borderId="12" xfId="9" applyFont="1" applyBorder="1" applyAlignment="1">
      <alignment horizontal="justify" vertical="center" wrapText="1"/>
    </xf>
    <xf numFmtId="0" fontId="41" fillId="0" borderId="13" xfId="9" applyFont="1" applyBorder="1" applyAlignment="1">
      <alignment horizontal="justify" vertical="center" wrapText="1"/>
    </xf>
    <xf numFmtId="0" fontId="61" fillId="0" borderId="0" xfId="33" applyFont="1" applyAlignment="1">
      <alignment horizontal="center" vertical="center" wrapText="1"/>
    </xf>
    <xf numFmtId="208" fontId="71" fillId="0" borderId="58" xfId="19" applyNumberFormat="1" applyFont="1" applyBorder="1" applyAlignment="1">
      <alignment horizontal="center" vertical="center"/>
    </xf>
    <xf numFmtId="0" fontId="28" fillId="11" borderId="132" xfId="48" applyFont="1" applyFill="1" applyBorder="1" applyAlignment="1">
      <alignment horizontal="center" vertical="center" wrapText="1"/>
    </xf>
    <xf numFmtId="0" fontId="29" fillId="11" borderId="133" xfId="48" applyFont="1" applyFill="1" applyBorder="1"/>
    <xf numFmtId="0" fontId="29" fillId="11" borderId="134" xfId="48" applyFont="1" applyFill="1" applyBorder="1"/>
    <xf numFmtId="0" fontId="30" fillId="18" borderId="76" xfId="48" applyFont="1" applyFill="1" applyBorder="1" applyAlignment="1">
      <alignment horizontal="center" vertical="center" wrapText="1"/>
    </xf>
    <xf numFmtId="0" fontId="30" fillId="18" borderId="77" xfId="48" applyFont="1" applyFill="1" applyBorder="1" applyAlignment="1">
      <alignment horizontal="center" vertical="center" wrapText="1"/>
    </xf>
    <xf numFmtId="0" fontId="31" fillId="19" borderId="108" xfId="48" applyFont="1" applyFill="1" applyBorder="1" applyAlignment="1">
      <alignment vertical="center" wrapText="1"/>
    </xf>
    <xf numFmtId="0" fontId="29" fillId="0" borderId="79" xfId="48" applyFont="1" applyBorder="1"/>
    <xf numFmtId="0" fontId="29" fillId="0" borderId="109" xfId="48" applyFont="1" applyBorder="1"/>
    <xf numFmtId="0" fontId="32" fillId="20" borderId="110" xfId="48" applyFont="1" applyFill="1" applyBorder="1" applyAlignment="1">
      <alignment horizontal="left" vertical="center" wrapText="1"/>
    </xf>
    <xf numFmtId="0" fontId="29" fillId="0" borderId="81" xfId="48" applyFont="1" applyBorder="1"/>
    <xf numFmtId="0" fontId="29" fillId="0" borderId="111" xfId="48" applyFont="1" applyBorder="1"/>
    <xf numFmtId="197" fontId="32" fillId="0" borderId="83" xfId="48" applyNumberFormat="1" applyFont="1" applyBorder="1" applyAlignment="1">
      <alignment horizontal="center" vertical="center"/>
    </xf>
    <xf numFmtId="197" fontId="32" fillId="0" borderId="84" xfId="48" applyNumberFormat="1" applyFont="1" applyBorder="1" applyAlignment="1">
      <alignment horizontal="center" vertical="center"/>
    </xf>
    <xf numFmtId="0" fontId="32" fillId="20" borderId="114" xfId="48" applyFont="1" applyFill="1" applyBorder="1" applyAlignment="1">
      <alignment horizontal="left" vertical="center" wrapText="1"/>
    </xf>
    <xf numFmtId="0" fontId="29" fillId="0" borderId="86" xfId="48" applyFont="1" applyBorder="1"/>
    <xf numFmtId="0" fontId="29" fillId="0" borderId="115" xfId="48" applyFont="1" applyBorder="1"/>
    <xf numFmtId="173" fontId="32" fillId="0" borderId="83" xfId="48" applyNumberFormat="1" applyFont="1" applyBorder="1" applyAlignment="1">
      <alignment horizontal="center" vertical="center"/>
    </xf>
    <xf numFmtId="173" fontId="32" fillId="0" borderId="84" xfId="48" applyNumberFormat="1" applyFont="1" applyBorder="1" applyAlignment="1">
      <alignment horizontal="center" vertical="center"/>
    </xf>
    <xf numFmtId="197" fontId="32" fillId="0" borderId="97" xfId="48" applyNumberFormat="1" applyFont="1" applyBorder="1" applyAlignment="1">
      <alignment horizontal="center" vertical="center"/>
    </xf>
    <xf numFmtId="197" fontId="32" fillId="0" borderId="105" xfId="48" applyNumberFormat="1" applyFont="1" applyBorder="1" applyAlignment="1">
      <alignment horizontal="center" vertical="center"/>
    </xf>
    <xf numFmtId="0" fontId="31" fillId="19" borderId="108" xfId="48" applyFont="1" applyFill="1" applyBorder="1" applyAlignment="1">
      <alignment horizontal="left" vertical="center" wrapText="1"/>
    </xf>
    <xf numFmtId="0" fontId="31" fillId="0" borderId="108" xfId="48" applyFont="1" applyBorder="1" applyAlignment="1">
      <alignment horizontal="left" vertical="center" wrapText="1"/>
    </xf>
    <xf numFmtId="0" fontId="31" fillId="0" borderId="79" xfId="48" applyFont="1" applyBorder="1" applyAlignment="1">
      <alignment horizontal="left" vertical="center" wrapText="1"/>
    </xf>
    <xf numFmtId="0" fontId="31" fillId="0" borderId="77" xfId="48" applyFont="1" applyBorder="1" applyAlignment="1">
      <alignment horizontal="left" vertical="center" wrapText="1"/>
    </xf>
    <xf numFmtId="0" fontId="31" fillId="19" borderId="119" xfId="48" applyFont="1" applyFill="1" applyBorder="1" applyAlignment="1">
      <alignment horizontal="left" vertical="center" wrapText="1"/>
    </xf>
    <xf numFmtId="0" fontId="29" fillId="0" borderId="91" xfId="48" applyFont="1" applyBorder="1"/>
    <xf numFmtId="0" fontId="29" fillId="0" borderId="120" xfId="48" applyFont="1" applyBorder="1"/>
    <xf numFmtId="0" fontId="32" fillId="20" borderId="123" xfId="48" applyFont="1" applyFill="1" applyBorder="1" applyAlignment="1">
      <alignment horizontal="left" vertical="center" wrapText="1"/>
    </xf>
    <xf numFmtId="0" fontId="32" fillId="20" borderId="94" xfId="48" applyFont="1" applyFill="1" applyBorder="1" applyAlignment="1">
      <alignment horizontal="left" vertical="center" wrapText="1"/>
    </xf>
    <xf numFmtId="0" fontId="32" fillId="20" borderId="124" xfId="48" applyFont="1" applyFill="1" applyBorder="1" applyAlignment="1">
      <alignment horizontal="left" vertical="center" wrapText="1"/>
    </xf>
    <xf numFmtId="200" fontId="32" fillId="9" borderId="83" xfId="1" applyNumberFormat="1" applyFont="1" applyFill="1" applyBorder="1" applyAlignment="1">
      <alignment horizontal="center" vertical="center"/>
    </xf>
    <xf numFmtId="200" fontId="32" fillId="9" borderId="84" xfId="1" applyNumberFormat="1" applyFont="1" applyFill="1" applyBorder="1" applyAlignment="1">
      <alignment horizontal="center" vertical="center"/>
    </xf>
    <xf numFmtId="0" fontId="32" fillId="0" borderId="83" xfId="48" applyFont="1" applyBorder="1" applyAlignment="1">
      <alignment horizontal="center" vertical="center" wrapText="1"/>
    </xf>
    <xf numFmtId="0" fontId="32" fillId="0" borderId="84" xfId="48" applyFont="1" applyBorder="1" applyAlignment="1">
      <alignment horizontal="center" vertical="center" wrapText="1"/>
    </xf>
    <xf numFmtId="177" fontId="32" fillId="0" borderId="83" xfId="48" applyNumberFormat="1" applyFont="1" applyBorder="1" applyAlignment="1">
      <alignment horizontal="center" vertical="center"/>
    </xf>
    <xf numFmtId="177" fontId="32" fillId="0" borderId="84" xfId="48" applyNumberFormat="1" applyFont="1" applyBorder="1" applyAlignment="1">
      <alignment horizontal="center" vertical="center"/>
    </xf>
    <xf numFmtId="200" fontId="32" fillId="0" borderId="83" xfId="1" applyNumberFormat="1" applyFont="1" applyFill="1" applyBorder="1" applyAlignment="1">
      <alignment horizontal="center" vertical="center"/>
    </xf>
    <xf numFmtId="200" fontId="32" fillId="0" borderId="84" xfId="1" applyNumberFormat="1" applyFont="1" applyFill="1" applyBorder="1" applyAlignment="1">
      <alignment horizontal="center" vertical="center"/>
    </xf>
    <xf numFmtId="200" fontId="32" fillId="0" borderId="83" xfId="1" applyNumberFormat="1" applyFont="1" applyBorder="1" applyAlignment="1">
      <alignment horizontal="center" vertical="center"/>
    </xf>
    <xf numFmtId="200" fontId="32" fillId="0" borderId="84" xfId="1" applyNumberFormat="1" applyFont="1" applyBorder="1" applyAlignment="1">
      <alignment horizontal="center" vertical="center"/>
    </xf>
    <xf numFmtId="44" fontId="32" fillId="0" borderId="83" xfId="1" applyFont="1" applyBorder="1" applyAlignment="1">
      <alignment horizontal="center" vertical="center"/>
    </xf>
    <xf numFmtId="44" fontId="32" fillId="0" borderId="84" xfId="1" applyFont="1" applyBorder="1" applyAlignment="1">
      <alignment horizontal="center" vertical="center"/>
    </xf>
    <xf numFmtId="197" fontId="32" fillId="0" borderId="98" xfId="48" applyNumberFormat="1" applyFont="1" applyBorder="1" applyAlignment="1">
      <alignment horizontal="center" vertical="center"/>
    </xf>
    <xf numFmtId="0" fontId="29" fillId="0" borderId="94" xfId="48" applyFont="1" applyBorder="1"/>
    <xf numFmtId="200" fontId="32" fillId="0" borderId="86" xfId="1" applyNumberFormat="1" applyFont="1" applyFill="1" applyBorder="1" applyAlignment="1">
      <alignment horizontal="center" vertical="center"/>
    </xf>
    <xf numFmtId="0" fontId="31" fillId="19" borderId="110" xfId="48" applyFont="1" applyFill="1" applyBorder="1" applyAlignment="1">
      <alignment horizontal="left" vertical="center" wrapText="1"/>
    </xf>
    <xf numFmtId="200" fontId="32" fillId="9" borderId="86" xfId="1" applyNumberFormat="1" applyFont="1" applyFill="1" applyBorder="1" applyAlignment="1">
      <alignment horizontal="center" vertical="center"/>
    </xf>
    <xf numFmtId="200" fontId="32" fillId="9" borderId="94" xfId="1" applyNumberFormat="1" applyFont="1" applyFill="1" applyBorder="1" applyAlignment="1">
      <alignment horizontal="center" vertical="center"/>
    </xf>
    <xf numFmtId="200" fontId="32" fillId="9" borderId="100" xfId="1" applyNumberFormat="1" applyFont="1" applyFill="1" applyBorder="1" applyAlignment="1">
      <alignment horizontal="center" vertical="center"/>
    </xf>
    <xf numFmtId="200" fontId="32" fillId="0" borderId="97" xfId="1" applyNumberFormat="1" applyFont="1" applyBorder="1" applyAlignment="1">
      <alignment horizontal="center" vertical="center"/>
    </xf>
    <xf numFmtId="200" fontId="32" fillId="0" borderId="98" xfId="1" applyNumberFormat="1" applyFont="1" applyBorder="1" applyAlignment="1">
      <alignment horizontal="center" vertical="center"/>
    </xf>
    <xf numFmtId="0" fontId="32" fillId="0" borderId="103" xfId="48" applyFont="1" applyBorder="1" applyAlignment="1">
      <alignment horizontal="left" vertical="center" wrapText="1"/>
    </xf>
    <xf numFmtId="0" fontId="1" fillId="0" borderId="0" xfId="48"/>
    <xf numFmtId="0" fontId="29" fillId="0" borderId="104" xfId="48" applyFont="1" applyBorder="1"/>
    <xf numFmtId="0" fontId="32" fillId="20" borderId="86" xfId="48" applyFont="1" applyFill="1" applyBorder="1" applyAlignment="1">
      <alignment horizontal="left" vertical="center" wrapText="1"/>
    </xf>
    <xf numFmtId="0" fontId="32" fillId="20" borderId="115" xfId="48" applyFont="1" applyFill="1" applyBorder="1" applyAlignment="1">
      <alignment horizontal="left" vertical="center" wrapText="1"/>
    </xf>
    <xf numFmtId="2" fontId="8" fillId="0" borderId="58" xfId="0" applyNumberFormat="1" applyFont="1" applyBorder="1" applyAlignment="1">
      <alignment horizontal="center" vertical="center" wrapText="1"/>
    </xf>
    <xf numFmtId="2" fontId="8" fillId="0" borderId="0" xfId="0" applyNumberFormat="1" applyFont="1" applyAlignment="1">
      <alignment horizontal="center" vertical="center" wrapText="1"/>
    </xf>
    <xf numFmtId="2" fontId="8" fillId="0" borderId="41" xfId="0" applyNumberFormat="1" applyFont="1" applyBorder="1" applyAlignment="1">
      <alignment horizontal="center" vertical="center" wrapText="1"/>
    </xf>
    <xf numFmtId="0" fontId="31" fillId="20" borderId="78" xfId="48" applyFont="1" applyFill="1" applyBorder="1" applyAlignment="1">
      <alignment horizontal="left" vertical="center" wrapText="1"/>
    </xf>
    <xf numFmtId="0" fontId="31" fillId="20" borderId="79" xfId="48" applyFont="1" applyFill="1" applyBorder="1" applyAlignment="1">
      <alignment horizontal="left" vertical="center" wrapText="1"/>
    </xf>
    <xf numFmtId="0" fontId="31" fillId="20" borderId="77" xfId="48" applyFont="1" applyFill="1" applyBorder="1" applyAlignment="1">
      <alignment horizontal="left" vertical="center" wrapText="1"/>
    </xf>
    <xf numFmtId="0" fontId="31" fillId="19" borderId="16" xfId="48" applyFont="1" applyFill="1" applyBorder="1" applyAlignment="1">
      <alignment horizontal="left" vertical="center" wrapText="1"/>
    </xf>
    <xf numFmtId="0" fontId="29" fillId="0" borderId="17" xfId="48" applyFont="1" applyBorder="1"/>
    <xf numFmtId="0" fontId="29" fillId="0" borderId="18" xfId="48" applyFont="1" applyBorder="1"/>
    <xf numFmtId="200" fontId="32" fillId="9" borderId="93" xfId="1" applyNumberFormat="1" applyFont="1" applyFill="1" applyBorder="1" applyAlignment="1">
      <alignment horizontal="center" vertical="center"/>
    </xf>
    <xf numFmtId="200" fontId="32" fillId="9" borderId="101" xfId="1" applyNumberFormat="1" applyFont="1" applyFill="1" applyBorder="1" applyAlignment="1">
      <alignment horizontal="center" vertical="center"/>
    </xf>
    <xf numFmtId="0" fontId="31" fillId="0" borderId="80" xfId="48" applyFont="1" applyBorder="1" applyAlignment="1">
      <alignment horizontal="left" vertical="center" wrapText="1"/>
    </xf>
    <xf numFmtId="0" fontId="35" fillId="11" borderId="9" xfId="33" applyFont="1" applyFill="1" applyBorder="1" applyAlignment="1">
      <alignment horizontal="center"/>
    </xf>
    <xf numFmtId="0" fontId="35" fillId="11" borderId="8" xfId="33" applyFont="1" applyFill="1" applyBorder="1" applyAlignment="1">
      <alignment horizontal="center"/>
    </xf>
    <xf numFmtId="0" fontId="35" fillId="11" borderId="30" xfId="33" applyFont="1" applyFill="1" applyBorder="1" applyAlignment="1">
      <alignment horizontal="center"/>
    </xf>
    <xf numFmtId="49" fontId="35" fillId="7" borderId="9" xfId="33" applyNumberFormat="1" applyFont="1" applyFill="1" applyBorder="1" applyAlignment="1">
      <alignment horizontal="center"/>
    </xf>
    <xf numFmtId="49" fontId="35" fillId="7" borderId="8" xfId="33" applyNumberFormat="1" applyFont="1" applyFill="1" applyBorder="1" applyAlignment="1">
      <alignment horizontal="center"/>
    </xf>
    <xf numFmtId="49" fontId="35" fillId="7" borderId="30" xfId="33" applyNumberFormat="1" applyFont="1" applyFill="1" applyBorder="1" applyAlignment="1">
      <alignment horizontal="center"/>
    </xf>
    <xf numFmtId="0" fontId="24" fillId="0" borderId="16" xfId="33" applyFont="1" applyBorder="1" applyAlignment="1">
      <alignment horizontal="center" vertical="center"/>
    </xf>
    <xf numFmtId="0" fontId="24" fillId="0" borderId="18" xfId="33" applyFont="1" applyBorder="1" applyAlignment="1">
      <alignment horizontal="center" vertical="center"/>
    </xf>
    <xf numFmtId="0" fontId="63" fillId="0" borderId="0" xfId="33" applyFont="1" applyAlignment="1">
      <alignment horizontal="center" vertical="center" wrapText="1"/>
    </xf>
    <xf numFmtId="2" fontId="8" fillId="0" borderId="3" xfId="0" applyNumberFormat="1" applyFont="1" applyBorder="1" applyAlignment="1">
      <alignment horizontal="center" vertical="center" wrapText="1"/>
    </xf>
    <xf numFmtId="2" fontId="8" fillId="0" borderId="4" xfId="0" applyNumberFormat="1" applyFont="1" applyBorder="1" applyAlignment="1">
      <alignment horizontal="center" vertical="center" wrapText="1"/>
    </xf>
    <xf numFmtId="2" fontId="8" fillId="0" borderId="5" xfId="0" applyNumberFormat="1" applyFont="1" applyBorder="1" applyAlignment="1">
      <alignment horizontal="center" vertical="center" wrapText="1"/>
    </xf>
    <xf numFmtId="2" fontId="8" fillId="0" borderId="1" xfId="0" applyNumberFormat="1" applyFont="1" applyBorder="1" applyAlignment="1">
      <alignment horizontal="center" vertical="center" wrapText="1"/>
    </xf>
    <xf numFmtId="2" fontId="8" fillId="0" borderId="6" xfId="0" applyNumberFormat="1" applyFont="1" applyBorder="1" applyAlignment="1">
      <alignment horizontal="center" vertical="center" wrapText="1"/>
    </xf>
    <xf numFmtId="0" fontId="57" fillId="5" borderId="5" xfId="60" applyFont="1" applyFill="1" applyBorder="1" applyAlignment="1">
      <alignment horizontal="left" vertical="center" wrapText="1"/>
    </xf>
    <xf numFmtId="0" fontId="57" fillId="5" borderId="1" xfId="60" applyFont="1" applyFill="1" applyBorder="1" applyAlignment="1">
      <alignment horizontal="center" vertical="center" wrapText="1"/>
    </xf>
    <xf numFmtId="10" fontId="57" fillId="5" borderId="1" xfId="61" applyNumberFormat="1" applyFont="1" applyFill="1" applyBorder="1" applyAlignment="1">
      <alignment horizontal="center" vertical="center" wrapText="1"/>
    </xf>
    <xf numFmtId="3" fontId="57" fillId="5" borderId="6" xfId="60" applyNumberFormat="1" applyFont="1" applyFill="1" applyBorder="1" applyAlignment="1">
      <alignment horizontal="center" vertical="center" wrapText="1"/>
    </xf>
    <xf numFmtId="0" fontId="57" fillId="5" borderId="1" xfId="60" applyFont="1" applyFill="1" applyBorder="1" applyAlignment="1">
      <alignment horizontal="left" vertical="center" wrapText="1"/>
    </xf>
    <xf numFmtId="0" fontId="57" fillId="5" borderId="11" xfId="60" applyFont="1" applyFill="1" applyBorder="1" applyAlignment="1">
      <alignment horizontal="left" vertical="center" wrapText="1"/>
    </xf>
    <xf numFmtId="0" fontId="57" fillId="5" borderId="12" xfId="60" applyFont="1" applyFill="1" applyBorder="1" applyAlignment="1">
      <alignment horizontal="left" vertical="center" wrapText="1"/>
    </xf>
    <xf numFmtId="0" fontId="73" fillId="0" borderId="58" xfId="60" applyFont="1" applyBorder="1" applyAlignment="1">
      <alignment horizontal="center" vertical="center" wrapText="1"/>
    </xf>
    <xf numFmtId="0" fontId="73" fillId="0" borderId="0" xfId="60" applyFont="1" applyAlignment="1">
      <alignment horizontal="center" vertical="center" wrapText="1"/>
    </xf>
    <xf numFmtId="0" fontId="73" fillId="0" borderId="41" xfId="60" applyFont="1" applyBorder="1" applyAlignment="1">
      <alignment horizontal="center" vertical="center" wrapText="1"/>
    </xf>
    <xf numFmtId="0" fontId="26" fillId="0" borderId="11" xfId="0" applyFont="1" applyBorder="1" applyAlignment="1">
      <alignment horizontal="center" vertical="center"/>
    </xf>
    <xf numFmtId="0" fontId="26" fillId="0" borderId="12" xfId="0" applyFont="1" applyBorder="1" applyAlignment="1">
      <alignment horizontal="center" vertical="center"/>
    </xf>
    <xf numFmtId="0" fontId="52" fillId="0" borderId="1" xfId="0" applyFont="1" applyBorder="1" applyAlignment="1">
      <alignment horizontal="center"/>
    </xf>
    <xf numFmtId="1" fontId="52" fillId="0" borderId="1" xfId="0" applyNumberFormat="1" applyFont="1" applyBorder="1" applyAlignment="1">
      <alignment horizontal="center"/>
    </xf>
    <xf numFmtId="0" fontId="53" fillId="7" borderId="7" xfId="0" applyFont="1" applyFill="1" applyBorder="1" applyAlignment="1">
      <alignment horizontal="center" vertical="center" wrapText="1"/>
    </xf>
    <xf numFmtId="0" fontId="53" fillId="7" borderId="8" xfId="0" applyFont="1" applyFill="1" applyBorder="1" applyAlignment="1">
      <alignment horizontal="center" vertical="center" wrapText="1"/>
    </xf>
    <xf numFmtId="0" fontId="53" fillId="7" borderId="10" xfId="0" applyFont="1" applyFill="1" applyBorder="1" applyAlignment="1">
      <alignment horizontal="center" vertical="center" wrapText="1"/>
    </xf>
    <xf numFmtId="0" fontId="53" fillId="7" borderId="7" xfId="0" applyFont="1" applyFill="1" applyBorder="1" applyAlignment="1">
      <alignment horizontal="center" wrapText="1"/>
    </xf>
    <xf numFmtId="0" fontId="53" fillId="7" borderId="8" xfId="0" applyFont="1" applyFill="1" applyBorder="1" applyAlignment="1">
      <alignment horizontal="center" wrapText="1"/>
    </xf>
    <xf numFmtId="0" fontId="53" fillId="7" borderId="10" xfId="0" applyFont="1" applyFill="1" applyBorder="1" applyAlignment="1">
      <alignment horizontal="center" wrapText="1"/>
    </xf>
    <xf numFmtId="173" fontId="53" fillId="2" borderId="1" xfId="0" applyNumberFormat="1" applyFont="1" applyFill="1" applyBorder="1" applyAlignment="1">
      <alignment horizontal="center" vertical="center" wrapText="1"/>
    </xf>
    <xf numFmtId="173" fontId="53" fillId="2" borderId="10" xfId="0" applyNumberFormat="1" applyFont="1" applyFill="1" applyBorder="1" applyAlignment="1">
      <alignment horizontal="center" vertical="center" wrapText="1"/>
    </xf>
    <xf numFmtId="0" fontId="53" fillId="4" borderId="1" xfId="0" applyFont="1" applyFill="1" applyBorder="1" applyAlignment="1">
      <alignment horizontal="center"/>
    </xf>
    <xf numFmtId="0" fontId="53" fillId="4" borderId="7" xfId="0" applyFont="1" applyFill="1" applyBorder="1" applyAlignment="1">
      <alignment horizontal="center"/>
    </xf>
    <xf numFmtId="0" fontId="53" fillId="4" borderId="8" xfId="0" applyFont="1" applyFill="1" applyBorder="1" applyAlignment="1">
      <alignment horizontal="center"/>
    </xf>
    <xf numFmtId="0" fontId="53" fillId="4" borderId="10" xfId="0" applyFont="1" applyFill="1" applyBorder="1" applyAlignment="1">
      <alignment horizontal="center"/>
    </xf>
    <xf numFmtId="0" fontId="53" fillId="4" borderId="16" xfId="0" applyFont="1" applyFill="1" applyBorder="1" applyAlignment="1">
      <alignment horizontal="center"/>
    </xf>
    <xf numFmtId="0" fontId="53" fillId="4" borderId="17" xfId="0" applyFont="1" applyFill="1" applyBorder="1" applyAlignment="1">
      <alignment horizontal="center"/>
    </xf>
    <xf numFmtId="0" fontId="53" fillId="4" borderId="18" xfId="0" applyFont="1" applyFill="1" applyBorder="1" applyAlignment="1">
      <alignment horizontal="center"/>
    </xf>
    <xf numFmtId="0" fontId="16" fillId="17" borderId="53" xfId="0" applyFont="1" applyFill="1" applyBorder="1" applyAlignment="1">
      <alignment horizontal="center" vertical="center"/>
    </xf>
    <xf numFmtId="0" fontId="16" fillId="17" borderId="46" xfId="0" applyFont="1" applyFill="1" applyBorder="1" applyAlignment="1">
      <alignment horizontal="center" vertical="center"/>
    </xf>
    <xf numFmtId="0" fontId="16" fillId="17" borderId="59" xfId="0" applyFont="1" applyFill="1" applyBorder="1" applyAlignment="1">
      <alignment horizontal="center" vertical="center"/>
    </xf>
    <xf numFmtId="204" fontId="44" fillId="0" borderId="51" xfId="55" applyNumberFormat="1" applyFont="1" applyBorder="1" applyAlignment="1">
      <alignment horizontal="left" vertical="center" wrapText="1"/>
    </xf>
    <xf numFmtId="0" fontId="48" fillId="0" borderId="51" xfId="33" applyFont="1" applyBorder="1" applyAlignment="1">
      <alignment horizontal="left" vertical="center" wrapText="1"/>
    </xf>
    <xf numFmtId="49" fontId="24" fillId="17" borderId="9" xfId="33" applyNumberFormat="1" applyFont="1" applyFill="1" applyBorder="1" applyAlignment="1">
      <alignment horizontal="center" vertical="center" wrapText="1"/>
    </xf>
    <xf numFmtId="49" fontId="24" fillId="17" borderId="8" xfId="33" applyNumberFormat="1" applyFont="1" applyFill="1" applyBorder="1" applyAlignment="1">
      <alignment horizontal="center" vertical="center" wrapText="1"/>
    </xf>
    <xf numFmtId="49" fontId="24" fillId="17" borderId="30" xfId="33" applyNumberFormat="1" applyFont="1" applyFill="1" applyBorder="1" applyAlignment="1">
      <alignment horizontal="center" vertical="center" wrapText="1"/>
    </xf>
    <xf numFmtId="49" fontId="2" fillId="5" borderId="9" xfId="33" applyNumberFormat="1" applyFill="1" applyBorder="1" applyAlignment="1">
      <alignment horizontal="left" vertical="center" wrapText="1"/>
    </xf>
    <xf numFmtId="49" fontId="2" fillId="5" borderId="8" xfId="33" applyNumberFormat="1" applyFill="1" applyBorder="1" applyAlignment="1">
      <alignment horizontal="left" vertical="center" wrapText="1"/>
    </xf>
    <xf numFmtId="49" fontId="2" fillId="5" borderId="30" xfId="33" applyNumberFormat="1" applyFill="1" applyBorder="1" applyAlignment="1">
      <alignment horizontal="left" vertical="center" wrapText="1"/>
    </xf>
    <xf numFmtId="49" fontId="2" fillId="5" borderId="31" xfId="33" applyNumberFormat="1" applyFill="1" applyBorder="1" applyAlignment="1">
      <alignment horizontal="left" vertical="center" wrapText="1"/>
    </xf>
    <xf numFmtId="49" fontId="2" fillId="5" borderId="138" xfId="33" applyNumberFormat="1" applyFill="1" applyBorder="1" applyAlignment="1">
      <alignment horizontal="left" vertical="center" wrapText="1"/>
    </xf>
    <xf numFmtId="49" fontId="2" fillId="5" borderId="32" xfId="33" applyNumberFormat="1" applyFill="1" applyBorder="1" applyAlignment="1">
      <alignment horizontal="left" vertical="center" wrapText="1"/>
    </xf>
    <xf numFmtId="0" fontId="24" fillId="5" borderId="58" xfId="33" applyFont="1" applyFill="1" applyBorder="1" applyAlignment="1">
      <alignment horizontal="center" vertical="center" wrapText="1"/>
    </xf>
    <xf numFmtId="0" fontId="24" fillId="5" borderId="0" xfId="33" applyFont="1" applyFill="1" applyAlignment="1">
      <alignment horizontal="center" vertical="center" wrapText="1"/>
    </xf>
    <xf numFmtId="0" fontId="24" fillId="5" borderId="41" xfId="33" applyFont="1" applyFill="1" applyBorder="1" applyAlignment="1">
      <alignment horizontal="center" vertical="center" wrapText="1"/>
    </xf>
    <xf numFmtId="0" fontId="24" fillId="7" borderId="9" xfId="33" applyFont="1" applyFill="1" applyBorder="1" applyAlignment="1">
      <alignment horizontal="center" vertical="center" wrapText="1"/>
    </xf>
    <xf numFmtId="0" fontId="24" fillId="7" borderId="8" xfId="33" applyFont="1" applyFill="1" applyBorder="1" applyAlignment="1">
      <alignment horizontal="center" vertical="center" wrapText="1"/>
    </xf>
    <xf numFmtId="0" fontId="24" fillId="7" borderId="30" xfId="33" applyFont="1" applyFill="1" applyBorder="1" applyAlignment="1">
      <alignment horizontal="center" vertical="center" wrapText="1"/>
    </xf>
    <xf numFmtId="0" fontId="24" fillId="5" borderId="5" xfId="33" applyFont="1" applyFill="1" applyBorder="1" applyAlignment="1">
      <alignment horizontal="center" vertical="center"/>
    </xf>
    <xf numFmtId="0" fontId="31" fillId="5" borderId="1" xfId="0" applyFont="1" applyFill="1" applyBorder="1" applyAlignment="1">
      <alignment horizontal="center" vertical="center" wrapText="1"/>
    </xf>
    <xf numFmtId="194" fontId="24" fillId="5" borderId="6" xfId="94" applyFont="1" applyFill="1" applyBorder="1" applyAlignment="1">
      <alignment horizontal="center" vertical="center" wrapText="1"/>
    </xf>
    <xf numFmtId="0" fontId="1" fillId="0" borderId="41" xfId="29" applyBorder="1" applyAlignment="1">
      <alignment horizontal="left" vertical="top" wrapText="1"/>
    </xf>
    <xf numFmtId="0" fontId="1" fillId="0" borderId="51" xfId="29" applyBorder="1" applyAlignment="1">
      <alignment horizontal="center" vertical="center" wrapText="1"/>
    </xf>
    <xf numFmtId="0" fontId="1" fillId="0" borderId="0" xfId="29" applyAlignment="1">
      <alignment horizontal="center" vertical="center" wrapText="1"/>
    </xf>
    <xf numFmtId="0" fontId="24" fillId="0" borderId="16" xfId="58" applyFont="1" applyBorder="1" applyAlignment="1">
      <alignment horizontal="center" vertical="center"/>
    </xf>
    <xf numFmtId="0" fontId="24" fillId="0" borderId="17" xfId="58" applyFont="1" applyBorder="1" applyAlignment="1">
      <alignment horizontal="center" vertical="center"/>
    </xf>
    <xf numFmtId="0" fontId="24" fillId="0" borderId="18" xfId="58" applyFont="1" applyBorder="1" applyAlignment="1">
      <alignment horizontal="center" vertical="center"/>
    </xf>
    <xf numFmtId="0" fontId="3" fillId="3" borderId="16" xfId="0" applyFont="1" applyFill="1" applyBorder="1" applyAlignment="1">
      <alignment horizontal="center"/>
    </xf>
    <xf numFmtId="0" fontId="3" fillId="3" borderId="18" xfId="0" applyFont="1" applyFill="1" applyBorder="1" applyAlignment="1">
      <alignment horizontal="center"/>
    </xf>
    <xf numFmtId="0" fontId="11" fillId="0" borderId="16" xfId="21" quotePrefix="1" applyFont="1" applyBorder="1" applyAlignment="1">
      <alignment horizontal="justify" vertical="center" wrapText="1"/>
    </xf>
    <xf numFmtId="0" fontId="11" fillId="0" borderId="18" xfId="21" quotePrefix="1" applyFont="1" applyBorder="1" applyAlignment="1">
      <alignment horizontal="justify" vertical="center" wrapText="1"/>
    </xf>
    <xf numFmtId="0" fontId="18" fillId="6" borderId="16" xfId="0" applyFont="1" applyFill="1" applyBorder="1" applyAlignment="1">
      <alignment horizontal="center"/>
    </xf>
    <xf numFmtId="0" fontId="18" fillId="6" borderId="17" xfId="0" applyFont="1" applyFill="1" applyBorder="1" applyAlignment="1">
      <alignment horizontal="center"/>
    </xf>
    <xf numFmtId="0" fontId="18" fillId="6" borderId="18" xfId="0" applyFont="1" applyFill="1" applyBorder="1" applyAlignment="1">
      <alignment horizontal="center"/>
    </xf>
    <xf numFmtId="0" fontId="18" fillId="6" borderId="25" xfId="0" applyFont="1" applyFill="1" applyBorder="1" applyAlignment="1">
      <alignment horizontal="center"/>
    </xf>
    <xf numFmtId="0" fontId="18" fillId="6" borderId="26" xfId="0" applyFont="1" applyFill="1" applyBorder="1" applyAlignment="1">
      <alignment horizontal="center"/>
    </xf>
    <xf numFmtId="0" fontId="18" fillId="6" borderId="27" xfId="0" applyFont="1" applyFill="1" applyBorder="1" applyAlignment="1">
      <alignment horizontal="center"/>
    </xf>
    <xf numFmtId="0" fontId="3" fillId="3" borderId="57" xfId="0" applyFont="1" applyFill="1" applyBorder="1" applyAlignment="1">
      <alignment horizontal="center"/>
    </xf>
    <xf numFmtId="0" fontId="3" fillId="3" borderId="34" xfId="0" applyFont="1" applyFill="1" applyBorder="1" applyAlignment="1">
      <alignment horizontal="center"/>
    </xf>
    <xf numFmtId="0" fontId="3" fillId="3" borderId="35" xfId="0" applyFont="1" applyFill="1" applyBorder="1" applyAlignment="1">
      <alignment horizontal="center"/>
    </xf>
    <xf numFmtId="0" fontId="11" fillId="0" borderId="57" xfId="21" quotePrefix="1" applyFont="1" applyBorder="1" applyAlignment="1">
      <alignment horizontal="justify" vertical="center" wrapText="1"/>
    </xf>
    <xf numFmtId="0" fontId="11" fillId="0" borderId="34" xfId="21" quotePrefix="1" applyFont="1" applyBorder="1" applyAlignment="1">
      <alignment horizontal="justify" vertical="center" wrapText="1"/>
    </xf>
    <xf numFmtId="0" fontId="11" fillId="0" borderId="35" xfId="21" quotePrefix="1" applyFont="1" applyBorder="1" applyAlignment="1">
      <alignment horizontal="justify" vertical="center" wrapText="1"/>
    </xf>
    <xf numFmtId="0" fontId="18" fillId="6" borderId="58" xfId="0" applyFont="1" applyFill="1" applyBorder="1" applyAlignment="1">
      <alignment horizontal="center"/>
    </xf>
    <xf numFmtId="0" fontId="18" fillId="6" borderId="0" xfId="0" applyFont="1" applyFill="1" applyAlignment="1">
      <alignment horizontal="center"/>
    </xf>
    <xf numFmtId="0" fontId="18" fillId="6" borderId="41" xfId="0" applyFont="1" applyFill="1" applyBorder="1" applyAlignment="1">
      <alignment horizontal="center"/>
    </xf>
    <xf numFmtId="0" fontId="18" fillId="6" borderId="22" xfId="0" applyFont="1" applyFill="1" applyBorder="1" applyAlignment="1">
      <alignment horizontal="center"/>
    </xf>
    <xf numFmtId="0" fontId="18" fillId="6" borderId="23" xfId="0" applyFont="1" applyFill="1" applyBorder="1" applyAlignment="1">
      <alignment horizontal="center"/>
    </xf>
    <xf numFmtId="0" fontId="18" fillId="6" borderId="24" xfId="0" applyFont="1" applyFill="1" applyBorder="1" applyAlignment="1">
      <alignment horizontal="center"/>
    </xf>
    <xf numFmtId="0" fontId="97" fillId="5" borderId="22" xfId="78" applyFont="1" applyFill="1" applyBorder="1" applyAlignment="1">
      <alignment horizontal="center" vertical="center" wrapText="1"/>
    </xf>
    <xf numFmtId="0" fontId="97" fillId="5" borderId="23" xfId="78" applyFont="1" applyFill="1" applyBorder="1" applyAlignment="1">
      <alignment horizontal="center" vertical="center" wrapText="1"/>
    </xf>
    <xf numFmtId="0" fontId="97" fillId="5" borderId="24" xfId="78" applyFont="1" applyFill="1" applyBorder="1" applyAlignment="1">
      <alignment horizontal="center" vertical="center" wrapText="1"/>
    </xf>
    <xf numFmtId="0" fontId="97" fillId="5" borderId="58" xfId="78" applyFont="1" applyFill="1" applyBorder="1" applyAlignment="1">
      <alignment horizontal="center" vertical="center" wrapText="1"/>
    </xf>
    <xf numFmtId="0" fontId="97" fillId="5" borderId="0" xfId="78" applyFont="1" applyFill="1" applyBorder="1" applyAlignment="1">
      <alignment horizontal="center" vertical="center" wrapText="1"/>
    </xf>
    <xf numFmtId="0" fontId="97" fillId="5" borderId="41" xfId="78" applyFont="1" applyFill="1" applyBorder="1" applyAlignment="1">
      <alignment horizontal="center" vertical="center" wrapText="1"/>
    </xf>
    <xf numFmtId="0" fontId="97" fillId="5" borderId="25" xfId="78" applyFont="1" applyFill="1" applyBorder="1" applyAlignment="1">
      <alignment horizontal="center" vertical="center" wrapText="1"/>
    </xf>
    <xf numFmtId="0" fontId="97" fillId="5" borderId="26" xfId="78" applyFont="1" applyFill="1" applyBorder="1" applyAlignment="1">
      <alignment horizontal="center" vertical="center" wrapText="1"/>
    </xf>
    <xf numFmtId="0" fontId="97" fillId="5" borderId="27" xfId="78" applyFont="1" applyFill="1" applyBorder="1" applyAlignment="1">
      <alignment horizontal="center" vertical="center" wrapText="1"/>
    </xf>
    <xf numFmtId="0" fontId="44" fillId="0" borderId="0" xfId="58" applyFont="1" applyAlignment="1">
      <alignment horizontal="left" vertical="center" wrapText="1"/>
    </xf>
    <xf numFmtId="173" fontId="75" fillId="43" borderId="56" xfId="64" applyNumberFormat="1" applyFont="1" applyFill="1" applyBorder="1" applyAlignment="1">
      <alignment horizontal="center" vertical="center"/>
    </xf>
    <xf numFmtId="173" fontId="75" fillId="43" borderId="15" xfId="64" applyNumberFormat="1" applyFont="1" applyFill="1" applyBorder="1" applyAlignment="1">
      <alignment horizontal="center" vertical="center"/>
    </xf>
    <xf numFmtId="173" fontId="75" fillId="43" borderId="54" xfId="64" applyNumberFormat="1" applyFont="1" applyFill="1" applyBorder="1" applyAlignment="1">
      <alignment horizontal="center" vertical="center"/>
    </xf>
    <xf numFmtId="173" fontId="75" fillId="43" borderId="50" xfId="64" applyNumberFormat="1" applyFont="1" applyFill="1" applyBorder="1" applyAlignment="1">
      <alignment horizontal="center" vertical="center"/>
    </xf>
    <xf numFmtId="173" fontId="75" fillId="43" borderId="34" xfId="64" applyNumberFormat="1" applyFont="1" applyFill="1" applyBorder="1" applyAlignment="1">
      <alignment horizontal="center" vertical="center"/>
    </xf>
    <xf numFmtId="173" fontId="75" fillId="43" borderId="54" xfId="64" applyNumberFormat="1" applyFont="1" applyFill="1" applyBorder="1" applyAlignment="1">
      <alignment horizontal="center" vertical="center" wrapText="1"/>
    </xf>
    <xf numFmtId="173" fontId="75" fillId="43" borderId="14" xfId="64" applyNumberFormat="1" applyFont="1" applyFill="1" applyBorder="1" applyAlignment="1">
      <alignment horizontal="center" vertical="center" wrapText="1"/>
    </xf>
    <xf numFmtId="173" fontId="75" fillId="43" borderId="55" xfId="64" applyNumberFormat="1" applyFont="1" applyFill="1" applyBorder="1" applyAlignment="1">
      <alignment horizontal="center" vertical="center" wrapText="1"/>
    </xf>
    <xf numFmtId="173" fontId="75" fillId="43" borderId="33" xfId="64" applyNumberFormat="1" applyFont="1" applyFill="1" applyBorder="1" applyAlignment="1">
      <alignment horizontal="center" vertical="center" wrapText="1"/>
    </xf>
    <xf numFmtId="0" fontId="99" fillId="8" borderId="66" xfId="78" applyFont="1" applyFill="1" applyBorder="1" applyAlignment="1">
      <alignment horizontal="center" vertical="center" wrapText="1"/>
    </xf>
    <xf numFmtId="0" fontId="99" fillId="8" borderId="67" xfId="78" applyFont="1" applyFill="1" applyBorder="1" applyAlignment="1">
      <alignment horizontal="center" vertical="center" wrapText="1"/>
    </xf>
    <xf numFmtId="0" fontId="99" fillId="8" borderId="68" xfId="78" applyFont="1" applyFill="1" applyBorder="1" applyAlignment="1">
      <alignment horizontal="center" vertical="center" wrapText="1"/>
    </xf>
    <xf numFmtId="0" fontId="35" fillId="2" borderId="9" xfId="78" applyFont="1" applyFill="1" applyBorder="1" applyAlignment="1">
      <alignment horizontal="right" vertical="center" wrapText="1"/>
    </xf>
    <xf numFmtId="0" fontId="35" fillId="2" borderId="8" xfId="78" applyFont="1" applyFill="1" applyBorder="1" applyAlignment="1">
      <alignment horizontal="right" vertical="center" wrapText="1"/>
    </xf>
    <xf numFmtId="0" fontId="35" fillId="2" borderId="10" xfId="78" applyFont="1" applyFill="1" applyBorder="1" applyAlignment="1">
      <alignment horizontal="right" vertical="center" wrapText="1"/>
    </xf>
    <xf numFmtId="0" fontId="35" fillId="2" borderId="31" xfId="78" applyFont="1" applyFill="1" applyBorder="1" applyAlignment="1">
      <alignment horizontal="right" vertical="center" wrapText="1"/>
    </xf>
    <xf numFmtId="0" fontId="35" fillId="2" borderId="138" xfId="78" applyFont="1" applyFill="1" applyBorder="1" applyAlignment="1">
      <alignment horizontal="right" vertical="center" wrapText="1"/>
    </xf>
    <xf numFmtId="0" fontId="35" fillId="2" borderId="71" xfId="78" applyFont="1" applyFill="1" applyBorder="1" applyAlignment="1">
      <alignment horizontal="right" vertical="center" wrapText="1"/>
    </xf>
    <xf numFmtId="0" fontId="35" fillId="2" borderId="9" xfId="78" applyFont="1" applyFill="1" applyBorder="1" applyAlignment="1">
      <alignment horizontal="left" vertical="center" wrapText="1"/>
    </xf>
    <xf numFmtId="0" fontId="35" fillId="2" borderId="8" xfId="78" applyFont="1" applyFill="1" applyBorder="1" applyAlignment="1">
      <alignment horizontal="left" vertical="center" wrapText="1"/>
    </xf>
    <xf numFmtId="0" fontId="35" fillId="2" borderId="30" xfId="78" applyFont="1" applyFill="1" applyBorder="1" applyAlignment="1">
      <alignment horizontal="left" vertical="center" wrapText="1"/>
    </xf>
    <xf numFmtId="0" fontId="35" fillId="2" borderId="65" xfId="78" applyFont="1" applyFill="1" applyBorder="1" applyAlignment="1">
      <alignment horizontal="left" vertical="center" wrapText="1"/>
    </xf>
    <xf numFmtId="0" fontId="35" fillId="2" borderId="43" xfId="78" applyFont="1" applyFill="1" applyBorder="1" applyAlignment="1">
      <alignment horizontal="left" vertical="center" wrapText="1"/>
    </xf>
    <xf numFmtId="0" fontId="35" fillId="2" borderId="137" xfId="78" applyFont="1" applyFill="1" applyBorder="1" applyAlignment="1">
      <alignment horizontal="left" vertical="center" wrapText="1"/>
    </xf>
    <xf numFmtId="0" fontId="35" fillId="2" borderId="5" xfId="78" applyFont="1" applyFill="1" applyBorder="1" applyAlignment="1">
      <alignment horizontal="left" vertical="center" wrapText="1"/>
    </xf>
    <xf numFmtId="0" fontId="35" fillId="2" borderId="1" xfId="78" applyFont="1" applyFill="1" applyBorder="1" applyAlignment="1">
      <alignment horizontal="left" vertical="center" wrapText="1"/>
    </xf>
    <xf numFmtId="0" fontId="35" fillId="2" borderId="6" xfId="78" applyFont="1" applyFill="1" applyBorder="1" applyAlignment="1">
      <alignment horizontal="left" vertical="center" wrapText="1"/>
    </xf>
    <xf numFmtId="173" fontId="75" fillId="43" borderId="42" xfId="64" applyNumberFormat="1" applyFont="1" applyFill="1" applyBorder="1" applyAlignment="1">
      <alignment horizontal="center" vertical="center" wrapText="1"/>
    </xf>
    <xf numFmtId="173" fontId="75" fillId="43" borderId="44" xfId="64" applyNumberFormat="1" applyFont="1" applyFill="1" applyBorder="1" applyAlignment="1">
      <alignment horizontal="center" vertical="center" wrapText="1"/>
    </xf>
    <xf numFmtId="173" fontId="75" fillId="43" borderId="51" xfId="64" applyNumberFormat="1" applyFont="1" applyFill="1" applyBorder="1" applyAlignment="1">
      <alignment horizontal="center" vertical="center" wrapText="1"/>
    </xf>
    <xf numFmtId="173" fontId="75" fillId="43" borderId="52" xfId="64" applyNumberFormat="1" applyFont="1" applyFill="1" applyBorder="1" applyAlignment="1">
      <alignment horizontal="center" vertical="center" wrapText="1"/>
    </xf>
    <xf numFmtId="173" fontId="75" fillId="43" borderId="74" xfId="64" applyNumberFormat="1" applyFont="1" applyFill="1" applyBorder="1" applyAlignment="1">
      <alignment horizontal="center" vertical="center" wrapText="1"/>
    </xf>
    <xf numFmtId="173" fontId="75" fillId="43" borderId="150" xfId="64" applyNumberFormat="1" applyFont="1" applyFill="1" applyBorder="1" applyAlignment="1">
      <alignment horizontal="center" vertical="center" wrapText="1"/>
    </xf>
    <xf numFmtId="0" fontId="24" fillId="2" borderId="66" xfId="78" applyFont="1" applyFill="1" applyBorder="1" applyAlignment="1">
      <alignment horizontal="right" vertical="center" wrapText="1"/>
    </xf>
    <xf numFmtId="0" fontId="24" fillId="2" borderId="67" xfId="78" applyFont="1" applyFill="1" applyBorder="1" applyAlignment="1">
      <alignment horizontal="right" vertical="center" wrapText="1"/>
    </xf>
    <xf numFmtId="0" fontId="24" fillId="2" borderId="28" xfId="78" applyFont="1" applyFill="1" applyBorder="1" applyAlignment="1">
      <alignment horizontal="right" vertical="center" wrapText="1"/>
    </xf>
    <xf numFmtId="0" fontId="24" fillId="2" borderId="9" xfId="78" applyFont="1" applyFill="1" applyBorder="1" applyAlignment="1">
      <alignment horizontal="right" vertical="center" wrapText="1"/>
    </xf>
    <xf numFmtId="0" fontId="24" fillId="2" borderId="8" xfId="78" applyFont="1" applyFill="1" applyBorder="1" applyAlignment="1">
      <alignment horizontal="right" vertical="center" wrapText="1"/>
    </xf>
    <xf numFmtId="0" fontId="24" fillId="2" borderId="10" xfId="78" applyFont="1" applyFill="1" applyBorder="1" applyAlignment="1">
      <alignment horizontal="right" vertical="center" wrapText="1"/>
    </xf>
    <xf numFmtId="173" fontId="75" fillId="43" borderId="5" xfId="64" applyNumberFormat="1" applyFont="1" applyFill="1" applyBorder="1" applyAlignment="1">
      <alignment horizontal="center" vertical="center"/>
    </xf>
    <xf numFmtId="173" fontId="75" fillId="43" borderId="14" xfId="64" applyNumberFormat="1" applyFont="1" applyFill="1" applyBorder="1" applyAlignment="1">
      <alignment horizontal="center" vertical="center"/>
    </xf>
    <xf numFmtId="173" fontId="75" fillId="43" borderId="1" xfId="64" applyNumberFormat="1" applyFont="1" applyFill="1" applyBorder="1" applyAlignment="1">
      <alignment horizontal="center" vertical="center"/>
    </xf>
    <xf numFmtId="173" fontId="75" fillId="43" borderId="1" xfId="64" applyNumberFormat="1" applyFont="1" applyFill="1" applyBorder="1" applyAlignment="1">
      <alignment horizontal="center" vertical="center" wrapText="1"/>
    </xf>
    <xf numFmtId="173" fontId="75" fillId="43" borderId="45" xfId="64" applyNumberFormat="1" applyFont="1" applyFill="1" applyBorder="1" applyAlignment="1">
      <alignment horizontal="center" vertical="center" wrapText="1"/>
    </xf>
    <xf numFmtId="173" fontId="75" fillId="43" borderId="38" xfId="64" applyNumberFormat="1" applyFont="1" applyFill="1" applyBorder="1" applyAlignment="1">
      <alignment horizontal="center" vertical="center" wrapText="1"/>
    </xf>
    <xf numFmtId="173" fontId="75" fillId="43" borderId="6" xfId="64" applyNumberFormat="1" applyFont="1" applyFill="1" applyBorder="1" applyAlignment="1">
      <alignment horizontal="center" vertical="center" wrapText="1"/>
    </xf>
    <xf numFmtId="0" fontId="96" fillId="0" borderId="25" xfId="33" applyFont="1" applyBorder="1" applyAlignment="1">
      <alignment horizontal="left" vertical="center" wrapText="1"/>
    </xf>
    <xf numFmtId="0" fontId="96" fillId="0" borderId="26" xfId="33" applyFont="1" applyBorder="1" applyAlignment="1">
      <alignment horizontal="left" vertical="center" wrapText="1"/>
    </xf>
    <xf numFmtId="0" fontId="96" fillId="0" borderId="27" xfId="33" applyFont="1" applyBorder="1" applyAlignment="1">
      <alignment horizontal="left" vertical="center" wrapText="1"/>
    </xf>
    <xf numFmtId="0" fontId="43" fillId="0" borderId="26" xfId="33" applyFont="1" applyBorder="1" applyAlignment="1">
      <alignment vertical="center" wrapText="1"/>
    </xf>
    <xf numFmtId="0" fontId="43" fillId="0" borderId="58" xfId="33" applyFont="1" applyBorder="1" applyAlignment="1">
      <alignment vertical="center" wrapText="1"/>
    </xf>
    <xf numFmtId="0" fontId="43" fillId="0" borderId="0" xfId="33" applyFont="1" applyAlignment="1">
      <alignment vertical="center" wrapText="1"/>
    </xf>
    <xf numFmtId="0" fontId="43" fillId="0" borderId="41" xfId="33" applyFont="1" applyBorder="1" applyAlignment="1">
      <alignment vertical="center" wrapText="1"/>
    </xf>
    <xf numFmtId="0" fontId="104" fillId="0" borderId="58" xfId="33" applyFont="1" applyBorder="1" applyAlignment="1">
      <alignment vertical="center" wrapText="1"/>
    </xf>
    <xf numFmtId="0" fontId="104" fillId="0" borderId="0" xfId="33" applyFont="1" applyAlignment="1">
      <alignment vertical="center" wrapText="1"/>
    </xf>
    <xf numFmtId="0" fontId="104" fillId="0" borderId="41" xfId="33" applyFont="1" applyBorder="1" applyAlignment="1">
      <alignment vertical="center" wrapText="1"/>
    </xf>
    <xf numFmtId="0" fontId="24" fillId="2" borderId="31" xfId="78" applyFont="1" applyFill="1" applyBorder="1" applyAlignment="1">
      <alignment horizontal="right" vertical="center" wrapText="1"/>
    </xf>
    <xf numFmtId="0" fontId="24" fillId="2" borderId="138" xfId="78" applyFont="1" applyFill="1" applyBorder="1" applyAlignment="1">
      <alignment horizontal="right" vertical="center" wrapText="1"/>
    </xf>
    <xf numFmtId="0" fontId="24" fillId="2" borderId="71" xfId="78" applyFont="1" applyFill="1" applyBorder="1" applyAlignment="1">
      <alignment horizontal="right" vertical="center" wrapText="1"/>
    </xf>
    <xf numFmtId="0" fontId="24" fillId="17" borderId="5" xfId="28" applyFont="1" applyFill="1" applyBorder="1" applyAlignment="1">
      <alignment horizontal="center"/>
    </xf>
    <xf numFmtId="0" fontId="24" fillId="17" borderId="1" xfId="28" applyFont="1" applyFill="1" applyBorder="1" applyAlignment="1">
      <alignment horizontal="center"/>
    </xf>
    <xf numFmtId="0" fontId="24" fillId="17" borderId="6" xfId="28" applyFont="1" applyFill="1" applyBorder="1" applyAlignment="1">
      <alignment horizontal="center"/>
    </xf>
    <xf numFmtId="0" fontId="24" fillId="0" borderId="2" xfId="28" applyFont="1" applyBorder="1" applyAlignment="1">
      <alignment horizontal="center" vertical="center" wrapText="1"/>
    </xf>
    <xf numFmtId="0" fontId="24" fillId="0" borderId="3" xfId="28" applyFont="1" applyBorder="1" applyAlignment="1">
      <alignment horizontal="center" vertical="center" wrapText="1"/>
    </xf>
    <xf numFmtId="0" fontId="24" fillId="0" borderId="4" xfId="28" applyFont="1" applyBorder="1" applyAlignment="1">
      <alignment horizontal="center" vertical="center" wrapText="1"/>
    </xf>
    <xf numFmtId="0" fontId="24" fillId="0" borderId="5" xfId="28" applyFont="1" applyBorder="1" applyAlignment="1">
      <alignment horizontal="center" vertical="center" wrapText="1"/>
    </xf>
    <xf numFmtId="0" fontId="24" fillId="0" borderId="1" xfId="28" applyFont="1" applyBorder="1" applyAlignment="1">
      <alignment horizontal="center" vertical="center" wrapText="1"/>
    </xf>
    <xf numFmtId="0" fontId="24" fillId="0" borderId="6" xfId="28" applyFont="1" applyBorder="1" applyAlignment="1">
      <alignment horizontal="center" vertical="center" wrapText="1"/>
    </xf>
    <xf numFmtId="0" fontId="85" fillId="0" borderId="139" xfId="58" applyFont="1" applyBorder="1" applyAlignment="1">
      <alignment horizontal="left" vertical="center" wrapText="1"/>
    </xf>
    <xf numFmtId="0" fontId="75" fillId="13" borderId="0" xfId="28" applyFont="1" applyFill="1" applyAlignment="1">
      <alignment vertical="center" wrapText="1"/>
    </xf>
    <xf numFmtId="0" fontId="2" fillId="13" borderId="0" xfId="28" applyFill="1" applyAlignment="1">
      <alignment vertical="center" wrapText="1"/>
    </xf>
    <xf numFmtId="0" fontId="2" fillId="0" borderId="0" xfId="28" applyAlignment="1">
      <alignment vertical="center" wrapText="1"/>
    </xf>
    <xf numFmtId="0" fontId="81" fillId="17" borderId="58" xfId="58" applyFont="1" applyFill="1" applyBorder="1" applyAlignment="1">
      <alignment horizontal="center" vertical="center"/>
    </xf>
    <xf numFmtId="0" fontId="81" fillId="17" borderId="0" xfId="58" applyFont="1" applyFill="1" applyAlignment="1">
      <alignment horizontal="center" vertical="center"/>
    </xf>
    <xf numFmtId="0" fontId="81" fillId="17" borderId="41" xfId="58" applyFont="1" applyFill="1" applyBorder="1" applyAlignment="1">
      <alignment horizontal="center" vertical="center"/>
    </xf>
    <xf numFmtId="3" fontId="83" fillId="36" borderId="48" xfId="58" applyNumberFormat="1" applyFont="1" applyFill="1" applyBorder="1" applyAlignment="1">
      <alignment horizontal="center" vertical="center"/>
    </xf>
    <xf numFmtId="3" fontId="83" fillId="36" borderId="14" xfId="58" applyNumberFormat="1" applyFont="1" applyFill="1" applyBorder="1" applyAlignment="1">
      <alignment horizontal="center" vertical="center"/>
    </xf>
    <xf numFmtId="0" fontId="85" fillId="0" borderId="58" xfId="58" applyFont="1" applyBorder="1" applyAlignment="1">
      <alignment horizontal="left" vertical="center" wrapText="1"/>
    </xf>
    <xf numFmtId="0" fontId="74" fillId="0" borderId="0" xfId="58" applyFont="1" applyAlignment="1">
      <alignment horizontal="left" vertical="center" wrapText="1"/>
    </xf>
    <xf numFmtId="0" fontId="26" fillId="0" borderId="2" xfId="64" applyFont="1" applyBorder="1" applyAlignment="1">
      <alignment horizontal="center" vertical="center"/>
    </xf>
    <xf numFmtId="0" fontId="26" fillId="0" borderId="3" xfId="64" applyFont="1" applyBorder="1" applyAlignment="1">
      <alignment horizontal="center" vertical="center"/>
    </xf>
    <xf numFmtId="0" fontId="26" fillId="0" borderId="4" xfId="64" applyFont="1" applyBorder="1" applyAlignment="1">
      <alignment horizontal="center" vertical="center"/>
    </xf>
    <xf numFmtId="0" fontId="26" fillId="0" borderId="5" xfId="64" applyFont="1" applyBorder="1" applyAlignment="1">
      <alignment horizontal="center" vertical="center"/>
    </xf>
    <xf numFmtId="0" fontId="26" fillId="0" borderId="1" xfId="64" applyFont="1" applyBorder="1" applyAlignment="1">
      <alignment horizontal="center" vertical="center"/>
    </xf>
    <xf numFmtId="0" fontId="26" fillId="0" borderId="6" xfId="64" applyFont="1" applyBorder="1" applyAlignment="1">
      <alignment horizontal="center" vertical="center"/>
    </xf>
    <xf numFmtId="0" fontId="106" fillId="17" borderId="5" xfId="58" applyFont="1" applyFill="1" applyBorder="1" applyAlignment="1">
      <alignment horizontal="center" vertical="center" wrapText="1"/>
    </xf>
    <xf numFmtId="0" fontId="106" fillId="17" borderId="1" xfId="58" applyFont="1" applyFill="1" applyBorder="1" applyAlignment="1">
      <alignment horizontal="center" vertical="center" wrapText="1"/>
    </xf>
    <xf numFmtId="0" fontId="106" fillId="17" borderId="6" xfId="58" applyFont="1" applyFill="1" applyBorder="1" applyAlignment="1">
      <alignment horizontal="center" vertical="center" wrapText="1"/>
    </xf>
    <xf numFmtId="0" fontId="106" fillId="0" borderId="5" xfId="58" applyFont="1" applyBorder="1" applyAlignment="1">
      <alignment horizontal="center" vertical="top" wrapText="1"/>
    </xf>
    <xf numFmtId="0" fontId="106" fillId="0" borderId="1" xfId="58" applyFont="1" applyBorder="1" applyAlignment="1">
      <alignment horizontal="center" vertical="top" wrapText="1"/>
    </xf>
    <xf numFmtId="0" fontId="106" fillId="0" borderId="6" xfId="58" applyFont="1" applyBorder="1" applyAlignment="1">
      <alignment horizontal="center" vertical="top" wrapText="1"/>
    </xf>
    <xf numFmtId="0" fontId="106" fillId="0" borderId="7" xfId="58" applyFont="1" applyBorder="1" applyAlignment="1">
      <alignment horizontal="center" vertical="center" wrapText="1"/>
    </xf>
    <xf numFmtId="0" fontId="1" fillId="0" borderId="10" xfId="64" applyBorder="1" applyAlignment="1">
      <alignment horizontal="center" vertical="center" wrapText="1"/>
    </xf>
    <xf numFmtId="10" fontId="106" fillId="0" borderId="7" xfId="58" applyNumberFormat="1" applyFont="1" applyBorder="1" applyAlignment="1">
      <alignment horizontal="center" vertical="center" wrapText="1"/>
    </xf>
    <xf numFmtId="0" fontId="1" fillId="0" borderId="30" xfId="64" applyBorder="1" applyAlignment="1">
      <alignment horizontal="center" vertical="center" wrapText="1"/>
    </xf>
    <xf numFmtId="207" fontId="46" fillId="0" borderId="1" xfId="58" applyNumberFormat="1" applyFont="1" applyBorder="1" applyAlignment="1">
      <alignment horizontal="center" vertical="center" wrapText="1"/>
    </xf>
    <xf numFmtId="0" fontId="1" fillId="0" borderId="1" xfId="64" applyBorder="1" applyAlignment="1">
      <alignment horizontal="center" vertical="center" wrapText="1"/>
    </xf>
    <xf numFmtId="0" fontId="106" fillId="0" borderId="11" xfId="58" applyFont="1" applyBorder="1" applyAlignment="1">
      <alignment horizontal="left" vertical="center" wrapText="1"/>
    </xf>
    <xf numFmtId="0" fontId="106" fillId="0" borderId="12" xfId="58" applyFont="1" applyBorder="1" applyAlignment="1">
      <alignment horizontal="left" vertical="center" wrapText="1"/>
    </xf>
    <xf numFmtId="0" fontId="26" fillId="0" borderId="12" xfId="64" applyFont="1" applyBorder="1" applyAlignment="1">
      <alignment horizontal="center" vertical="center"/>
    </xf>
    <xf numFmtId="0" fontId="73" fillId="0" borderId="2" xfId="89" applyFont="1" applyBorder="1" applyAlignment="1">
      <alignment horizontal="center" vertical="center" wrapText="1"/>
    </xf>
    <xf numFmtId="0" fontId="73" fillId="0" borderId="3" xfId="89" applyFont="1" applyBorder="1" applyAlignment="1">
      <alignment horizontal="center" vertical="center" wrapText="1"/>
    </xf>
    <xf numFmtId="0" fontId="73" fillId="0" borderId="4" xfId="89" applyFont="1" applyBorder="1" applyAlignment="1">
      <alignment horizontal="center" vertical="center" wrapText="1"/>
    </xf>
    <xf numFmtId="0" fontId="73" fillId="0" borderId="5" xfId="89" applyFont="1" applyBorder="1" applyAlignment="1">
      <alignment horizontal="center" vertical="center" wrapText="1"/>
    </xf>
    <xf numFmtId="0" fontId="73" fillId="0" borderId="1" xfId="89" applyFont="1" applyBorder="1" applyAlignment="1">
      <alignment horizontal="center" vertical="center" wrapText="1"/>
    </xf>
    <xf numFmtId="0" fontId="73" fillId="0" borderId="6" xfId="89" applyFont="1" applyBorder="1" applyAlignment="1">
      <alignment horizontal="center" vertical="center" wrapText="1"/>
    </xf>
    <xf numFmtId="0" fontId="73" fillId="17" borderId="5" xfId="72" applyFont="1" applyFill="1" applyBorder="1" applyAlignment="1">
      <alignment horizontal="center" vertical="center" wrapText="1"/>
    </xf>
    <xf numFmtId="0" fontId="73" fillId="17" borderId="1" xfId="72" applyFont="1" applyFill="1" applyBorder="1" applyAlignment="1">
      <alignment horizontal="center" vertical="center" wrapText="1"/>
    </xf>
    <xf numFmtId="0" fontId="73" fillId="17" borderId="6" xfId="72" applyFont="1" applyFill="1" applyBorder="1" applyAlignment="1">
      <alignment horizontal="center" vertical="center" wrapText="1"/>
    </xf>
    <xf numFmtId="0" fontId="73" fillId="0" borderId="58" xfId="89" applyFont="1" applyBorder="1" applyAlignment="1">
      <alignment horizontal="center" vertical="center" wrapText="1"/>
    </xf>
    <xf numFmtId="0" fontId="73" fillId="0" borderId="0" xfId="89" applyFont="1" applyAlignment="1">
      <alignment horizontal="center" vertical="center" wrapText="1"/>
    </xf>
    <xf numFmtId="0" fontId="73" fillId="0" borderId="41" xfId="89" applyFont="1" applyBorder="1" applyAlignment="1">
      <alignment horizontal="center" vertical="center" wrapText="1"/>
    </xf>
    <xf numFmtId="173" fontId="48" fillId="0" borderId="0" xfId="58" applyNumberFormat="1" applyFont="1" applyAlignment="1">
      <alignment horizontal="center" vertical="center" wrapText="1"/>
    </xf>
    <xf numFmtId="0" fontId="26" fillId="0" borderId="9" xfId="24" applyFont="1" applyBorder="1" applyAlignment="1">
      <alignment horizontal="center" vertical="center"/>
    </xf>
    <xf numFmtId="0" fontId="26" fillId="0" borderId="8" xfId="24" applyFont="1" applyBorder="1" applyAlignment="1">
      <alignment horizontal="center" vertical="center"/>
    </xf>
    <xf numFmtId="0" fontId="26" fillId="0" borderId="10" xfId="24" applyFont="1" applyBorder="1" applyAlignment="1">
      <alignment horizontal="center" vertical="center"/>
    </xf>
    <xf numFmtId="0" fontId="1" fillId="0" borderId="0" xfId="29" applyAlignment="1">
      <alignment horizontal="left" wrapText="1"/>
    </xf>
    <xf numFmtId="0" fontId="3" fillId="0" borderId="17" xfId="0" applyFont="1" applyBorder="1" applyAlignment="1">
      <alignment horizontal="center" vertical="center"/>
    </xf>
    <xf numFmtId="2" fontId="8" fillId="0" borderId="25" xfId="0" applyNumberFormat="1" applyFont="1" applyBorder="1" applyAlignment="1">
      <alignment horizontal="center" vertical="center" wrapText="1"/>
    </xf>
    <xf numFmtId="2" fontId="8" fillId="0" borderId="26" xfId="0" applyNumberFormat="1" applyFont="1" applyBorder="1" applyAlignment="1">
      <alignment horizontal="center" vertical="center" wrapText="1"/>
    </xf>
    <xf numFmtId="2" fontId="8" fillId="0" borderId="27" xfId="0" applyNumberFormat="1" applyFont="1" applyBorder="1" applyAlignment="1">
      <alignment horizontal="center" vertical="center" wrapText="1"/>
    </xf>
    <xf numFmtId="0" fontId="14" fillId="11" borderId="16" xfId="0" applyFont="1" applyFill="1" applyBorder="1" applyAlignment="1">
      <alignment horizontal="center" vertical="center" wrapText="1"/>
    </xf>
    <xf numFmtId="0" fontId="14" fillId="11" borderId="17" xfId="0" applyFont="1" applyFill="1" applyBorder="1" applyAlignment="1">
      <alignment horizontal="center" vertical="center" wrapText="1"/>
    </xf>
    <xf numFmtId="0" fontId="14" fillId="11" borderId="18" xfId="0" applyFont="1" applyFill="1" applyBorder="1" applyAlignment="1">
      <alignment horizontal="center" vertical="center" wrapText="1"/>
    </xf>
  </cellXfs>
  <cellStyles count="96">
    <cellStyle name="Hipervínculo" xfId="59" builtinId="8"/>
    <cellStyle name="Hipervínculo 2 2" xfId="93" xr:uid="{8387736B-6889-4D04-A89D-4111D214DA44}"/>
    <cellStyle name="Millares [0]" xfId="47" builtinId="6"/>
    <cellStyle name="Millares [0] 2" xfId="69" xr:uid="{B9BE183A-54CF-4E9E-AA98-9EA0FB99E1DB}"/>
    <cellStyle name="Millares [0] 4 2" xfId="75" xr:uid="{4298414C-EC98-42A1-8712-F9A166955829}"/>
    <cellStyle name="Millares [0] 5" xfId="87" xr:uid="{18FDB445-697F-4D6D-B1D0-E12F35995CA1}"/>
    <cellStyle name="Millares 10" xfId="46" xr:uid="{900B9C72-52BB-4C5E-A1D3-75B233A7E5F7}"/>
    <cellStyle name="Millares 10 5 2" xfId="37" xr:uid="{7D306A35-1F8B-49A6-87F4-60695190BB5E}"/>
    <cellStyle name="Millares 19 2" xfId="74" xr:uid="{37A71E04-FA25-4DB0-8A4B-5FED01A3EF3C}"/>
    <cellStyle name="Millares 2" xfId="43" xr:uid="{109A6BE2-585D-4562-986E-D5AFD50CFB3D}"/>
    <cellStyle name="Millares 2 16" xfId="11" xr:uid="{7EDB5D51-9A96-4380-B5B7-E797BF5C3CE4}"/>
    <cellStyle name="Millares 2 2 2 2" xfId="81" xr:uid="{05AA1DFB-3A15-4080-BF0E-9579AEE5E646}"/>
    <cellStyle name="Millares 3" xfId="94" xr:uid="{BB22FC7D-CE92-465E-9C0D-FA9E2F74F0BA}"/>
    <cellStyle name="Millares 31" xfId="76" xr:uid="{3042F59E-C25C-4B10-A61E-07C196956D11}"/>
    <cellStyle name="Millares 4" xfId="88" xr:uid="{CC30415A-7908-430B-87F9-34A72C886B85}"/>
    <cellStyle name="Millares 4 13" xfId="36" xr:uid="{1979B5E8-5F7C-4FDF-89F2-C2568AE4B00E}"/>
    <cellStyle name="Millares 68" xfId="18" xr:uid="{E28B6F14-312A-490F-8B3E-DD5C9933EC9E}"/>
    <cellStyle name="Moneda" xfId="1" builtinId="4"/>
    <cellStyle name="Moneda [0]" xfId="95" builtinId="7"/>
    <cellStyle name="Moneda [0] 2" xfId="53" xr:uid="{220C5C92-BE68-4759-BFAD-39DAF10DEDC6}"/>
    <cellStyle name="Moneda [0] 2 2" xfId="26" xr:uid="{A4C6C2CC-ECE9-4222-87C8-4D8EBEB855D4}"/>
    <cellStyle name="Moneda [0] 2 3 2" xfId="56" xr:uid="{A5CE719B-894F-4904-87F1-5C3450D5C678}"/>
    <cellStyle name="Moneda [0] 2 3 3" xfId="83" xr:uid="{083A990A-EF04-4556-A002-87040318D8AE}"/>
    <cellStyle name="Moneda 11" xfId="25" xr:uid="{E020F751-A352-4796-9B53-CC1183C2AADF}"/>
    <cellStyle name="Moneda 12 2 2" xfId="30" xr:uid="{760DBD11-5CA4-42C2-85BB-5C1C0B987AAE}"/>
    <cellStyle name="Moneda 12 2 2 2" xfId="34" xr:uid="{3083BBEB-C04B-43BD-9DBF-14364C8116E1}"/>
    <cellStyle name="Moneda 12 3" xfId="31" xr:uid="{F1A8471F-4603-4578-A395-BEE21640345A}"/>
    <cellStyle name="Moneda 12 3 2" xfId="35" xr:uid="{D548E3FE-AEE1-4FAA-80FA-99899EFB1DD6}"/>
    <cellStyle name="Moneda 2" xfId="44" xr:uid="{FB13273C-C1F1-4DBF-9B9F-0DA4F7685411}"/>
    <cellStyle name="Moneda 2 12" xfId="17" xr:uid="{D33BE2FB-177C-44DF-B728-5CB8F462BD16}"/>
    <cellStyle name="Moneda 2 2 2 3" xfId="57" xr:uid="{7B085019-7868-448E-873E-30F1BB1E05E9}"/>
    <cellStyle name="Moneda 2 2 3" xfId="65" xr:uid="{0D925C4F-EED3-4D2A-8EC7-8AE769C30D20}"/>
    <cellStyle name="Moneda 29" xfId="77" xr:uid="{ADEAB092-2C48-4152-940D-524453AD3A79}"/>
    <cellStyle name="Moneda 3 11" xfId="82" xr:uid="{DF8D5868-613F-4814-875F-BE682AD89EC3}"/>
    <cellStyle name="Moneda 3 4 2" xfId="84" xr:uid="{4BDCEE3D-118E-4738-9DC7-67ED21F7AE62}"/>
    <cellStyle name="Moneda 3 6" xfId="10" xr:uid="{32E14728-0D36-4861-BE6D-F3F9DD227D6F}"/>
    <cellStyle name="Moneda 5" xfId="22" xr:uid="{5E474D75-4210-4AAE-9695-906A98ACFA04}"/>
    <cellStyle name="Moneda 5 2" xfId="85" xr:uid="{C08DA2E1-D1D9-4558-8904-DC581279FE53}"/>
    <cellStyle name="Moneda 5 3" xfId="3" xr:uid="{FDAFBB30-3F39-4981-90D4-074697B7DC63}"/>
    <cellStyle name="Moneda 52" xfId="38" xr:uid="{25A83CE1-B854-4255-9539-2E2EDF31EB71}"/>
    <cellStyle name="Moneda 6 3 2" xfId="7" xr:uid="{3C80FE27-6E41-44A0-ADAE-22676D01F71C}"/>
    <cellStyle name="Moneda 64" xfId="15" xr:uid="{C1CD348F-9E6B-496F-B96D-25D42E37464A}"/>
    <cellStyle name="Moneda 7 2" xfId="63" xr:uid="{C6F3D037-24CC-415F-997D-B330F45D2A9A}"/>
    <cellStyle name="Moneda 7 6 2" xfId="39" xr:uid="{C27B5CBF-38D2-4C1C-844F-E76102C0952D}"/>
    <cellStyle name="Moneda 8" xfId="90" xr:uid="{78CC5F79-13B3-4DCF-B0C4-951EDC69D623}"/>
    <cellStyle name="Normal" xfId="0" builtinId="0"/>
    <cellStyle name="Normal 10 2" xfId="28" xr:uid="{26B3A719-9701-4A52-954B-F238A8EDC144}"/>
    <cellStyle name="Normal 112 2" xfId="8" xr:uid="{C4BE898B-5D08-4B3B-8AC0-1150EC36780F}"/>
    <cellStyle name="Normal 12 2" xfId="79" xr:uid="{EA18E02A-1E77-48E5-8987-E82504FEDEB5}"/>
    <cellStyle name="Normal 12 4" xfId="29" xr:uid="{3C31A44C-C8CC-4172-B2C5-40280152BF14}"/>
    <cellStyle name="Normal 12 4 2" xfId="32" xr:uid="{869CF853-C0CF-4449-B543-2D5A21B356CF}"/>
    <cellStyle name="Normal 14" xfId="24" xr:uid="{2EBB3181-A2FE-4B72-B870-0B0C1C3556DD}"/>
    <cellStyle name="Normal 15 2" xfId="4" xr:uid="{7BB5A9F2-F382-43BE-85CE-ED2B37B5E207}"/>
    <cellStyle name="Normal 19" xfId="14" xr:uid="{866A166E-C63D-4626-A504-F0AF62F3545F}"/>
    <cellStyle name="Normal 2" xfId="9" xr:uid="{F07B7462-A61B-4D40-815B-E7E8041A40C7}"/>
    <cellStyle name="Normal 2 10 2 2" xfId="41" xr:uid="{ED79853C-5304-49AE-B80D-B070CD762165}"/>
    <cellStyle name="Normal 2 16 5" xfId="12" xr:uid="{968D4ED6-2975-4894-B457-BE6DE0652E49}"/>
    <cellStyle name="Normal 2 2 2" xfId="33" xr:uid="{2CD19D37-73DE-4804-9DD1-7937B32ABF9B}"/>
    <cellStyle name="Normal 2 2 2 2 2" xfId="58" xr:uid="{1D7B6218-8173-46B4-9E4B-F306AA6B7926}"/>
    <cellStyle name="Normal 2 52 2 2" xfId="60" xr:uid="{3A7BAA9E-F9FE-44F1-B691-32C86DDBCACB}"/>
    <cellStyle name="Normal 2 52 2 2 2" xfId="89" xr:uid="{0CE037BD-35A5-44E2-8AFD-7F6CC87B3F75}"/>
    <cellStyle name="Normal 2 8" xfId="13" xr:uid="{32D43D7D-6650-4A60-BEF0-970F30043B07}"/>
    <cellStyle name="Normal 2_FORMATOS_PARA_ENTREGAR 2 2" xfId="50" xr:uid="{2B9D1F2D-7B3E-4230-86CE-6A673AB3F0B3}"/>
    <cellStyle name="Normal 2_FORMATOS_PARA_ENTREGAR 2 2 2" xfId="51" xr:uid="{A37BDFFE-49AE-4F3A-9EB8-33F2729D2FF1}"/>
    <cellStyle name="Normal 3" xfId="73" xr:uid="{CE2D72CF-4E28-4572-9663-810CBDE7D057}"/>
    <cellStyle name="Normal 3 11" xfId="71" xr:uid="{AE1A603B-CEEE-4D4F-907E-E4D2F0C48FBB}"/>
    <cellStyle name="Normal 3 11 2 2" xfId="78" xr:uid="{4D360EA4-080B-443A-94C3-21407C097777}"/>
    <cellStyle name="Normal 3 2 14 2 2" xfId="66" xr:uid="{27120111-1ACA-4778-B917-44EEF419BD25}"/>
    <cellStyle name="Normal 3_ADM-INGENIEROS 2" xfId="52" xr:uid="{4A4BDA74-008B-4FFB-88D9-8F7123D6DAC4}"/>
    <cellStyle name="Normal 3_ADM-INGENIEROS 2 2" xfId="54" xr:uid="{9946BED8-0E78-4F26-806F-5B6453F52F49}"/>
    <cellStyle name="Normal 4" xfId="42" xr:uid="{CF0B9D90-AB5D-4123-9833-2C24F162A28D}"/>
    <cellStyle name="Normal 4 2 7 2" xfId="62" xr:uid="{A7DB2A69-81D2-4EC8-957E-36B220E9BBD0}"/>
    <cellStyle name="Normal 5" xfId="45" xr:uid="{EF8982D3-BCE6-47A1-A2B7-EBA6BB9D2CA5}"/>
    <cellStyle name="Normal 5 11 3 4" xfId="48" xr:uid="{84EF7F17-6D51-4B64-8EEB-5929559965DF}"/>
    <cellStyle name="Normal 5 4 2" xfId="5" xr:uid="{A3250161-A5E0-449E-AB45-C41EEB4D7E3E}"/>
    <cellStyle name="Normal 5 6" xfId="20" xr:uid="{B6F6E257-596B-432D-BE18-DD3876C9ABB6}"/>
    <cellStyle name="Normal 6 2 2" xfId="64" xr:uid="{8A8CBD73-40AC-4903-BE6E-B78E1C870E1F}"/>
    <cellStyle name="Normal 67" xfId="72" xr:uid="{37578745-6ECA-4351-BD5A-1988C6A28984}"/>
    <cellStyle name="Normal 7 3" xfId="27" xr:uid="{0BD7CA62-C406-4BDA-99C6-921FB109A157}"/>
    <cellStyle name="Normal 9 3" xfId="49" xr:uid="{59EFB8A5-132D-46B7-9254-2D59E1FBD8E9}"/>
    <cellStyle name="Normal_APU ADICIONALES" xfId="23" xr:uid="{017AF1B2-8BB7-49F8-A1FC-FB5B182A9F18}"/>
    <cellStyle name="Normal_CONSOLIDADO PRESUPUESTOS OCC Y URA 2 2" xfId="70" xr:uid="{306BF79C-715F-486A-B852-C9183A0B7FCC}"/>
    <cellStyle name="Normal_DA_PROCESO_08-1-35786_205000001_711363" xfId="21" xr:uid="{C07C7BA6-EC6A-4472-9E78-55A55BFFD309}"/>
    <cellStyle name="Normal_Hoja1" xfId="40" xr:uid="{675CEF8C-3CF4-43A4-A481-97FB3038EC0D}"/>
    <cellStyle name="Porcentaje" xfId="2" builtinId="5"/>
    <cellStyle name="Porcentaje 10 2" xfId="16" xr:uid="{E26C288F-18DB-41DC-9DC4-B1EA2FA58BF4}"/>
    <cellStyle name="Porcentaje 2 2" xfId="19" xr:uid="{74C77167-CF29-4710-8158-9335D42DD012}"/>
    <cellStyle name="Porcentaje 2 2 2" xfId="55" xr:uid="{78E44BB1-9C6B-4564-837C-210F0656A374}"/>
    <cellStyle name="Porcentaje 2 3" xfId="86" xr:uid="{0B4D6459-C95E-40FB-B32F-6C94988E1E1B}"/>
    <cellStyle name="Porcentaje 3" xfId="80" xr:uid="{4DA36A74-A776-45C8-8B94-73FD4A62CA09}"/>
    <cellStyle name="Porcentaje 3 2" xfId="67" xr:uid="{F7A9B570-56AD-4282-A762-FD1399B0E589}"/>
    <cellStyle name="Porcentaje 3 2 2" xfId="68" xr:uid="{CD5B8E72-E989-456D-B80C-099221787236}"/>
    <cellStyle name="Porcentaje 3 4" xfId="92" xr:uid="{64025CC5-9204-4A64-B185-43294FAE0540}"/>
    <cellStyle name="Porcentaje 8 2" xfId="6" xr:uid="{03E5A4A9-5C73-4ACC-B4AB-D8A482801857}"/>
    <cellStyle name="Porcentual 2 2 5 2 2" xfId="61" xr:uid="{B968A8BE-8F68-496F-9135-93B00FB8B800}"/>
    <cellStyle name="Porcentual 2 2 5 2 2 2" xfId="91" xr:uid="{439F1124-EEA5-4D2F-8DE7-46C3DF9BCD80}"/>
  </cellStyles>
  <dxfs count="55">
    <dxf>
      <font>
        <color rgb="FFFF0000"/>
      </font>
    </dxf>
    <dxf>
      <font>
        <color rgb="FFFF0000"/>
      </font>
    </dxf>
    <dxf>
      <font>
        <color rgb="FFFF0000"/>
      </font>
    </dxf>
    <dxf>
      <font>
        <color rgb="FFFF0000"/>
      </font>
    </dxf>
    <dxf>
      <fill>
        <patternFill>
          <bgColor indexed="60"/>
        </patternFill>
      </fill>
    </dxf>
    <dxf>
      <fill>
        <patternFill patternType="none">
          <bgColor auto="1"/>
        </patternFill>
      </fill>
    </dxf>
    <dxf>
      <font>
        <color rgb="FFFF0000"/>
      </font>
    </dxf>
    <dxf>
      <fill>
        <patternFill>
          <bgColor rgb="FF00FF00"/>
        </patternFill>
      </fill>
    </dxf>
    <dxf>
      <font>
        <color rgb="FFFF0000"/>
      </font>
    </dxf>
    <dxf>
      <font>
        <color rgb="FFFF0000"/>
      </font>
    </dxf>
    <dxf>
      <font>
        <color rgb="FFFF0000"/>
      </font>
    </dxf>
    <dxf>
      <fill>
        <patternFill>
          <bgColor rgb="FF00FF00"/>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rgb="FF00FF00"/>
        </patternFill>
      </fill>
    </dxf>
    <dxf>
      <fill>
        <patternFill>
          <bgColor rgb="FF00FF00"/>
        </patternFill>
      </fill>
    </dxf>
    <dxf>
      <fill>
        <patternFill>
          <bgColor indexed="6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patternType="solid">
          <fgColor rgb="FF00FF00"/>
          <bgColor rgb="FF00FF00"/>
        </patternFill>
      </fill>
    </dxf>
    <dxf>
      <fill>
        <patternFill patternType="solid">
          <fgColor rgb="FF00FF00"/>
          <bgColor rgb="FF00FF00"/>
        </patternFill>
      </fill>
    </dxf>
    <dxf>
      <fill>
        <patternFill patternType="solid">
          <fgColor rgb="FF00FF00"/>
          <bgColor rgb="FF00FF00"/>
        </patternFill>
      </fill>
    </dxf>
    <dxf>
      <fill>
        <patternFill patternType="solid">
          <fgColor rgb="FF00FF00"/>
          <bgColor rgb="FF00FF00"/>
        </patternFill>
      </fill>
    </dxf>
    <dxf>
      <fill>
        <patternFill patternType="solid">
          <fgColor rgb="FF00FF00"/>
          <bgColor rgb="FF00FF00"/>
        </patternFill>
      </fill>
    </dxf>
    <dxf>
      <fill>
        <patternFill patternType="solid">
          <fgColor rgb="FF00FF00"/>
          <bgColor rgb="FF00FF00"/>
        </patternFill>
      </fill>
    </dxf>
    <dxf>
      <fill>
        <patternFill patternType="solid">
          <fgColor rgb="FF00FF00"/>
          <bgColor rgb="FF00FF00"/>
        </patternFill>
      </fill>
    </dxf>
    <dxf>
      <fill>
        <patternFill patternType="solid">
          <fgColor rgb="FF00FF00"/>
          <bgColor rgb="FF00FF00"/>
        </patternFill>
      </fill>
    </dxf>
    <dxf>
      <fill>
        <patternFill patternType="solid">
          <fgColor rgb="FF00FF00"/>
          <bgColor rgb="FF00FF00"/>
        </patternFill>
      </fill>
    </dxf>
    <dxf>
      <fill>
        <patternFill patternType="solid">
          <fgColor rgb="FF00FF00"/>
          <bgColor rgb="FF00FF00"/>
        </patternFill>
      </fill>
    </dxf>
    <dxf>
      <fill>
        <patternFill patternType="solid">
          <fgColor rgb="FF00FF00"/>
          <bgColor rgb="FF00FF00"/>
        </patternFill>
      </fill>
    </dxf>
    <dxf>
      <fill>
        <patternFill patternType="solid">
          <fgColor rgb="FF00FF00"/>
          <bgColor rgb="FF00FF00"/>
        </patternFill>
      </fill>
    </dxf>
    <dxf>
      <fill>
        <patternFill patternType="solid">
          <fgColor rgb="FF00FF00"/>
          <bgColor rgb="FF00FF00"/>
        </patternFill>
      </fill>
    </dxf>
    <dxf>
      <fill>
        <patternFill patternType="solid">
          <fgColor rgb="FF00FF00"/>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patternType="solid">
          <fgColor rgb="FFFFFF00"/>
          <bgColor rgb="FFFFFF00"/>
        </patternFill>
      </fill>
    </dxf>
    <dxf>
      <fill>
        <patternFill patternType="solid">
          <fgColor rgb="FFFFFF00"/>
          <bgColor rgb="FFFFFF00"/>
        </patternFill>
      </fill>
    </dxf>
  </dxfs>
  <tableStyles count="0" defaultTableStyle="TableStyleMedium2" defaultPivotStyle="PivotStyleLight16"/>
  <colors>
    <mruColors>
      <color rgb="FFFF4343"/>
      <color rgb="FFF296F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sheetMetadata" Target="metadata.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externalLink" Target="externalLinks/externalLink2.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externalLink" Target="externalLinks/externalLink1.xml"/><Relationship Id="rId8" Type="http://schemas.openxmlformats.org/officeDocument/2006/relationships/worksheet" Target="worksheets/sheet8.xml"/><Relationship Id="rId51"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svg"/><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4.png"/></Relationships>
</file>

<file path=xl/drawings/_rels/drawing6.xml.rels><?xml version="1.0" encoding="UTF-8" standalone="yes"?>
<Relationships xmlns="http://schemas.openxmlformats.org/package/2006/relationships"><Relationship Id="rId1" Type="http://schemas.openxmlformats.org/officeDocument/2006/relationships/image" Target="../media/image4.png"/></Relationships>
</file>

<file path=xl/drawings/_rels/drawing7.xml.rels><?xml version="1.0" encoding="UTF-8" standalone="yes"?>
<Relationships xmlns="http://schemas.openxmlformats.org/package/2006/relationships"><Relationship Id="rId1" Type="http://schemas.openxmlformats.org/officeDocument/2006/relationships/image" Target="../media/image4.png"/></Relationships>
</file>

<file path=xl/drawings/_rels/drawing8.xml.rels><?xml version="1.0" encoding="UTF-8" standalone="yes"?>
<Relationships xmlns="http://schemas.openxmlformats.org/package/2006/relationships"><Relationship Id="rId1" Type="http://schemas.openxmlformats.org/officeDocument/2006/relationships/image" Target="../media/image4.png"/></Relationships>
</file>

<file path=xl/drawings/_rels/drawing9.xml.rels><?xml version="1.0" encoding="UTF-8" standalone="yes"?>
<Relationships xmlns="http://schemas.openxmlformats.org/package/2006/relationships"><Relationship Id="rId1" Type="http://schemas.openxmlformats.org/officeDocument/2006/relationships/image" Target="../media/image4.png"/></Relationships>
</file>

<file path=xl/drawings/_rels/drawing10.xml.rels><?xml version="1.0" encoding="UTF-8" standalone="yes"?>
<Relationships xmlns="http://schemas.openxmlformats.org/package/2006/relationships"><Relationship Id="rId1" Type="http://schemas.openxmlformats.org/officeDocument/2006/relationships/image" Target="../media/image4.png"/></Relationships>
</file>

<file path=xl/drawings/_rels/drawing11.xml.rels><?xml version="1.0" encoding="UTF-8" standalone="yes"?>
<Relationships xmlns="http://schemas.openxmlformats.org/package/2006/relationships"><Relationship Id="rId1" Type="http://schemas.openxmlformats.org/officeDocument/2006/relationships/image" Target="../media/image4.png"/></Relationships>
</file>

<file path=xl/drawings/_rels/drawing12.xml.rels><?xml version="1.0" encoding="UTF-8" standalone="yes"?>
<Relationships xmlns="http://schemas.openxmlformats.org/package/2006/relationships"><Relationship Id="rId1" Type="http://schemas.openxmlformats.org/officeDocument/2006/relationships/image" Target="../media/image4.png"/></Relationships>
</file>

<file path=xl/drawings/_rels/drawing13.xml.rels><?xml version="1.0" encoding="UTF-8" standalone="yes"?>
<Relationships xmlns="http://schemas.openxmlformats.org/package/2006/relationships"><Relationship Id="rId1" Type="http://schemas.openxmlformats.org/officeDocument/2006/relationships/image" Target="../media/image4.png"/></Relationships>
</file>

<file path=xl/drawings/_rels/drawing14.xml.rels><?xml version="1.0" encoding="UTF-8" standalone="yes"?>
<Relationships xmlns="http://schemas.openxmlformats.org/package/2006/relationships"><Relationship Id="rId1" Type="http://schemas.openxmlformats.org/officeDocument/2006/relationships/image" Target="../media/image4.png"/></Relationships>
</file>

<file path=xl/drawings/_rels/drawing15.xml.rels><?xml version="1.0" encoding="UTF-8" standalone="yes"?>
<Relationships xmlns="http://schemas.openxmlformats.org/package/2006/relationships"><Relationship Id="rId1" Type="http://schemas.openxmlformats.org/officeDocument/2006/relationships/image" Target="../media/image4.png"/></Relationships>
</file>

<file path=xl/drawings/_rels/drawing16.xml.rels><?xml version="1.0" encoding="UTF-8" standalone="yes"?>
<Relationships xmlns="http://schemas.openxmlformats.org/package/2006/relationships"><Relationship Id="rId1" Type="http://schemas.openxmlformats.org/officeDocument/2006/relationships/image" Target="../media/image4.png"/></Relationships>
</file>

<file path=xl/drawings/_rels/drawing17.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_rels/drawing18.xml.rels><?xml version="1.0" encoding="UTF-8" standalone="yes"?>
<Relationships xmlns="http://schemas.openxmlformats.org/package/2006/relationships"><Relationship Id="rId1" Type="http://schemas.openxmlformats.org/officeDocument/2006/relationships/image" Target="../media/image4.png"/></Relationships>
</file>

<file path=xl/drawings/_rels/drawing19.xml.rels><?xml version="1.0" encoding="UTF-8" standalone="yes"?>
<Relationships xmlns="http://schemas.openxmlformats.org/package/2006/relationships"><Relationship Id="rId1" Type="http://schemas.openxmlformats.org/officeDocument/2006/relationships/image" Target="../media/image4.png"/></Relationships>
</file>

<file path=xl/drawings/_rels/drawing20.xml.rels><?xml version="1.0" encoding="UTF-8" standalone="yes"?>
<Relationships xmlns="http://schemas.openxmlformats.org/package/2006/relationships"><Relationship Id="rId1" Type="http://schemas.openxmlformats.org/officeDocument/2006/relationships/image" Target="../media/image4.png"/></Relationships>
</file>

<file path=xl/drawings/_rels/drawing21.xml.rels><?xml version="1.0" encoding="UTF-8" standalone="yes"?>
<Relationships xmlns="http://schemas.openxmlformats.org/package/2006/relationships"><Relationship Id="rId1" Type="http://schemas.openxmlformats.org/officeDocument/2006/relationships/image" Target="../media/image7.jpeg"/></Relationships>
</file>

<file path=xl/drawings/_rels/drawing22.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5</xdr:col>
      <xdr:colOff>806375</xdr:colOff>
      <xdr:row>59</xdr:row>
      <xdr:rowOff>102646</xdr:rowOff>
    </xdr:from>
    <xdr:to>
      <xdr:col>8</xdr:col>
      <xdr:colOff>385034</xdr:colOff>
      <xdr:row>63</xdr:row>
      <xdr:rowOff>140746</xdr:rowOff>
    </xdr:to>
    <xdr:sp macro="" textlink="">
      <xdr:nvSpPr>
        <xdr:cNvPr id="2" name="CuadroTexto 1">
          <a:extLst>
            <a:ext uri="{FF2B5EF4-FFF2-40B4-BE49-F238E27FC236}">
              <a16:creationId xmlns:a16="http://schemas.microsoft.com/office/drawing/2014/main" id="{2C391348-A328-4584-AD1D-DC7C99D92B58}"/>
            </a:ext>
          </a:extLst>
        </xdr:cNvPr>
        <xdr:cNvSpPr txBox="1"/>
      </xdr:nvSpPr>
      <xdr:spPr>
        <a:xfrm>
          <a:off x="9296325" y="14904496"/>
          <a:ext cx="3210859" cy="7747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100" b="0" baseline="0"/>
            <a:t>VALENTINA</a:t>
          </a:r>
        </a:p>
        <a:p>
          <a:pPr algn="ctr"/>
          <a:r>
            <a:rPr lang="es-CO" sz="1100" b="1">
              <a:solidFill>
                <a:schemeClr val="dk1"/>
              </a:solidFill>
              <a:effectLst/>
              <a:latin typeface="+mn-lt"/>
              <a:ea typeface="+mn-ea"/>
              <a:cs typeface="+mn-cs"/>
            </a:rPr>
            <a:t>SUPERVISORA</a:t>
          </a:r>
          <a:endParaRPr lang="es-CO">
            <a:effectLst/>
          </a:endParaRPr>
        </a:p>
        <a:p>
          <a:pPr algn="ctr"/>
          <a:endParaRPr lang="es-CO" sz="1100" b="0"/>
        </a:p>
      </xdr:txBody>
    </xdr:sp>
    <xdr:clientData/>
  </xdr:twoCellAnchor>
  <xdr:twoCellAnchor>
    <xdr:from>
      <xdr:col>5</xdr:col>
      <xdr:colOff>859715</xdr:colOff>
      <xdr:row>59</xdr:row>
      <xdr:rowOff>148366</xdr:rowOff>
    </xdr:from>
    <xdr:to>
      <xdr:col>8</xdr:col>
      <xdr:colOff>377414</xdr:colOff>
      <xdr:row>59</xdr:row>
      <xdr:rowOff>160020</xdr:rowOff>
    </xdr:to>
    <xdr:cxnSp macro="">
      <xdr:nvCxnSpPr>
        <xdr:cNvPr id="3" name="Conector recto 2">
          <a:extLst>
            <a:ext uri="{FF2B5EF4-FFF2-40B4-BE49-F238E27FC236}">
              <a16:creationId xmlns:a16="http://schemas.microsoft.com/office/drawing/2014/main" id="{0BA48E96-ADF4-4EA4-81C2-4D54FEF55927}"/>
            </a:ext>
          </a:extLst>
        </xdr:cNvPr>
        <xdr:cNvCxnSpPr/>
      </xdr:nvCxnSpPr>
      <xdr:spPr>
        <a:xfrm>
          <a:off x="9349665" y="14950216"/>
          <a:ext cx="3149899" cy="11654"/>
        </a:xfrm>
        <a:prstGeom prst="line">
          <a:avLst/>
        </a:prstGeom>
        <a:ln w="19050"/>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13547</xdr:colOff>
      <xdr:row>2</xdr:row>
      <xdr:rowOff>34714</xdr:rowOff>
    </xdr:from>
    <xdr:to>
      <xdr:col>6</xdr:col>
      <xdr:colOff>444500</xdr:colOff>
      <xdr:row>4</xdr:row>
      <xdr:rowOff>9314</xdr:rowOff>
    </xdr:to>
    <xdr:sp macro="" textlink="">
      <xdr:nvSpPr>
        <xdr:cNvPr id="4" name="CuadroTexto 3">
          <a:extLst>
            <a:ext uri="{FF2B5EF4-FFF2-40B4-BE49-F238E27FC236}">
              <a16:creationId xmlns:a16="http://schemas.microsoft.com/office/drawing/2014/main" id="{3E718ABF-8A36-4B73-AFB8-D4A35FB77AFE}"/>
            </a:ext>
          </a:extLst>
        </xdr:cNvPr>
        <xdr:cNvSpPr txBox="1"/>
      </xdr:nvSpPr>
      <xdr:spPr>
        <a:xfrm>
          <a:off x="6979497" y="403014"/>
          <a:ext cx="3091603" cy="342900"/>
        </a:xfrm>
        <a:prstGeom prst="rect">
          <a:avLst/>
        </a:prstGeom>
        <a:solidFill>
          <a:schemeClr val="tx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2500" b="1">
              <a:solidFill>
                <a:srgbClr val="F4743A"/>
              </a:solidFill>
              <a:latin typeface="Arial Narrow" panose="020B0606020202030204" pitchFamily="34" charset="0"/>
            </a:rPr>
            <a:t>ACTA</a:t>
          </a:r>
          <a:r>
            <a:rPr lang="es-CO" sz="2500" b="1" baseline="0">
              <a:solidFill>
                <a:srgbClr val="F4743A"/>
              </a:solidFill>
              <a:latin typeface="Arial Narrow" panose="020B0606020202030204" pitchFamily="34" charset="0"/>
            </a:rPr>
            <a:t> MODIFICATORIA</a:t>
          </a:r>
          <a:endParaRPr lang="es-CO" sz="2500" b="1">
            <a:solidFill>
              <a:srgbClr val="F4743A"/>
            </a:solidFill>
            <a:latin typeface="Arial Narrow" panose="020B0606020202030204" pitchFamily="34" charset="0"/>
          </a:endParaRPr>
        </a:p>
      </xdr:txBody>
    </xdr:sp>
    <xdr:clientData/>
  </xdr:twoCellAnchor>
  <xdr:twoCellAnchor editAs="oneCell">
    <xdr:from>
      <xdr:col>9</xdr:col>
      <xdr:colOff>510825</xdr:colOff>
      <xdr:row>1</xdr:row>
      <xdr:rowOff>7762</xdr:rowOff>
    </xdr:from>
    <xdr:to>
      <xdr:col>11</xdr:col>
      <xdr:colOff>171450</xdr:colOff>
      <xdr:row>4</xdr:row>
      <xdr:rowOff>164585</xdr:rowOff>
    </xdr:to>
    <xdr:pic>
      <xdr:nvPicPr>
        <xdr:cNvPr id="5" name="Imagen 4">
          <a:extLst>
            <a:ext uri="{FF2B5EF4-FFF2-40B4-BE49-F238E27FC236}">
              <a16:creationId xmlns:a16="http://schemas.microsoft.com/office/drawing/2014/main" id="{A574DC7B-57CD-48AC-8DE6-60E57DA0311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394975" y="191912"/>
          <a:ext cx="1654525" cy="709273"/>
        </a:xfrm>
        <a:prstGeom prst="rect">
          <a:avLst/>
        </a:prstGeom>
      </xdr:spPr>
    </xdr:pic>
    <xdr:clientData/>
  </xdr:twoCellAnchor>
  <xdr:twoCellAnchor editAs="oneCell">
    <xdr:from>
      <xdr:col>1</xdr:col>
      <xdr:colOff>666751</xdr:colOff>
      <xdr:row>1</xdr:row>
      <xdr:rowOff>57150</xdr:rowOff>
    </xdr:from>
    <xdr:to>
      <xdr:col>2</xdr:col>
      <xdr:colOff>961968</xdr:colOff>
      <xdr:row>4</xdr:row>
      <xdr:rowOff>163195</xdr:rowOff>
    </xdr:to>
    <xdr:pic>
      <xdr:nvPicPr>
        <xdr:cNvPr id="6" name="Gráfico 192">
          <a:extLst>
            <a:ext uri="{FF2B5EF4-FFF2-40B4-BE49-F238E27FC236}">
              <a16:creationId xmlns:a16="http://schemas.microsoft.com/office/drawing/2014/main" id="{FA05DDB2-D521-7BBF-85B1-B54425147EAC}"/>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1428751" y="241300"/>
          <a:ext cx="1057217" cy="65849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6299200</xdr:colOff>
      <xdr:row>0</xdr:row>
      <xdr:rowOff>196547</xdr:rowOff>
    </xdr:from>
    <xdr:to>
      <xdr:col>2</xdr:col>
      <xdr:colOff>492874</xdr:colOff>
      <xdr:row>0</xdr:row>
      <xdr:rowOff>1568147</xdr:rowOff>
    </xdr:to>
    <xdr:pic>
      <xdr:nvPicPr>
        <xdr:cNvPr id="4" name="Imagen 3">
          <a:extLst>
            <a:ext uri="{FF2B5EF4-FFF2-40B4-BE49-F238E27FC236}">
              <a16:creationId xmlns:a16="http://schemas.microsoft.com/office/drawing/2014/main" id="{2D8BA936-1FF3-4F4F-BCD9-E0807426521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997700" y="196547"/>
          <a:ext cx="1712074" cy="13716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938893</xdr:colOff>
      <xdr:row>1</xdr:row>
      <xdr:rowOff>108857</xdr:rowOff>
    </xdr:from>
    <xdr:to>
      <xdr:col>1</xdr:col>
      <xdr:colOff>1836964</xdr:colOff>
      <xdr:row>5</xdr:row>
      <xdr:rowOff>342899</xdr:rowOff>
    </xdr:to>
    <xdr:pic>
      <xdr:nvPicPr>
        <xdr:cNvPr id="2" name="Imagen 1">
          <a:extLst>
            <a:ext uri="{FF2B5EF4-FFF2-40B4-BE49-F238E27FC236}">
              <a16:creationId xmlns:a16="http://schemas.microsoft.com/office/drawing/2014/main" id="{C16B1A17-6CFD-4D4D-A4B6-1394B1C5DBE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81768" y="308882"/>
          <a:ext cx="898071" cy="108176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938893</xdr:colOff>
      <xdr:row>1</xdr:row>
      <xdr:rowOff>108857</xdr:rowOff>
    </xdr:from>
    <xdr:to>
      <xdr:col>1</xdr:col>
      <xdr:colOff>1836964</xdr:colOff>
      <xdr:row>5</xdr:row>
      <xdr:rowOff>342899</xdr:rowOff>
    </xdr:to>
    <xdr:pic>
      <xdr:nvPicPr>
        <xdr:cNvPr id="2" name="Imagen 1">
          <a:extLst>
            <a:ext uri="{FF2B5EF4-FFF2-40B4-BE49-F238E27FC236}">
              <a16:creationId xmlns:a16="http://schemas.microsoft.com/office/drawing/2014/main" id="{98BC292C-F3F1-4776-8AE5-0042818787A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81768" y="308882"/>
          <a:ext cx="898071" cy="1081767"/>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938893</xdr:colOff>
      <xdr:row>1</xdr:row>
      <xdr:rowOff>108857</xdr:rowOff>
    </xdr:from>
    <xdr:to>
      <xdr:col>1</xdr:col>
      <xdr:colOff>1836964</xdr:colOff>
      <xdr:row>5</xdr:row>
      <xdr:rowOff>342899</xdr:rowOff>
    </xdr:to>
    <xdr:pic>
      <xdr:nvPicPr>
        <xdr:cNvPr id="2" name="Imagen 1">
          <a:extLst>
            <a:ext uri="{FF2B5EF4-FFF2-40B4-BE49-F238E27FC236}">
              <a16:creationId xmlns:a16="http://schemas.microsoft.com/office/drawing/2014/main" id="{F405D27C-B472-4AF1-B4B1-50E8C08F165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81768" y="308882"/>
          <a:ext cx="898071" cy="1081767"/>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938893</xdr:colOff>
      <xdr:row>1</xdr:row>
      <xdr:rowOff>108857</xdr:rowOff>
    </xdr:from>
    <xdr:to>
      <xdr:col>1</xdr:col>
      <xdr:colOff>1836964</xdr:colOff>
      <xdr:row>5</xdr:row>
      <xdr:rowOff>342899</xdr:rowOff>
    </xdr:to>
    <xdr:pic>
      <xdr:nvPicPr>
        <xdr:cNvPr id="2" name="Imagen 1">
          <a:extLst>
            <a:ext uri="{FF2B5EF4-FFF2-40B4-BE49-F238E27FC236}">
              <a16:creationId xmlns:a16="http://schemas.microsoft.com/office/drawing/2014/main" id="{E4B95A54-00F1-429D-9A17-A1DA6C8F20D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81768" y="308882"/>
          <a:ext cx="898071" cy="1081767"/>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938893</xdr:colOff>
      <xdr:row>1</xdr:row>
      <xdr:rowOff>108857</xdr:rowOff>
    </xdr:from>
    <xdr:to>
      <xdr:col>1</xdr:col>
      <xdr:colOff>1836964</xdr:colOff>
      <xdr:row>5</xdr:row>
      <xdr:rowOff>342899</xdr:rowOff>
    </xdr:to>
    <xdr:pic>
      <xdr:nvPicPr>
        <xdr:cNvPr id="2" name="Imagen 1">
          <a:extLst>
            <a:ext uri="{FF2B5EF4-FFF2-40B4-BE49-F238E27FC236}">
              <a16:creationId xmlns:a16="http://schemas.microsoft.com/office/drawing/2014/main" id="{BDB9C6E0-97BF-4458-8911-299D339E7DB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81768" y="308882"/>
          <a:ext cx="898071" cy="1081767"/>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938893</xdr:colOff>
      <xdr:row>1</xdr:row>
      <xdr:rowOff>108857</xdr:rowOff>
    </xdr:from>
    <xdr:to>
      <xdr:col>1</xdr:col>
      <xdr:colOff>1836964</xdr:colOff>
      <xdr:row>5</xdr:row>
      <xdr:rowOff>342899</xdr:rowOff>
    </xdr:to>
    <xdr:pic>
      <xdr:nvPicPr>
        <xdr:cNvPr id="2" name="Imagen 1">
          <a:extLst>
            <a:ext uri="{FF2B5EF4-FFF2-40B4-BE49-F238E27FC236}">
              <a16:creationId xmlns:a16="http://schemas.microsoft.com/office/drawing/2014/main" id="{83BB124E-797A-4C42-9A70-EFDA46E43F2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81768" y="308882"/>
          <a:ext cx="898071" cy="1081767"/>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938893</xdr:colOff>
      <xdr:row>1</xdr:row>
      <xdr:rowOff>108857</xdr:rowOff>
    </xdr:from>
    <xdr:to>
      <xdr:col>1</xdr:col>
      <xdr:colOff>1836964</xdr:colOff>
      <xdr:row>5</xdr:row>
      <xdr:rowOff>342899</xdr:rowOff>
    </xdr:to>
    <xdr:pic>
      <xdr:nvPicPr>
        <xdr:cNvPr id="2" name="Imagen 1">
          <a:extLst>
            <a:ext uri="{FF2B5EF4-FFF2-40B4-BE49-F238E27FC236}">
              <a16:creationId xmlns:a16="http://schemas.microsoft.com/office/drawing/2014/main" id="{0C444C2C-5C0E-42A9-B63D-8944195C93A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81768" y="308882"/>
          <a:ext cx="898071" cy="1081767"/>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938893</xdr:colOff>
      <xdr:row>1</xdr:row>
      <xdr:rowOff>108857</xdr:rowOff>
    </xdr:from>
    <xdr:to>
      <xdr:col>1</xdr:col>
      <xdr:colOff>1836964</xdr:colOff>
      <xdr:row>5</xdr:row>
      <xdr:rowOff>342899</xdr:rowOff>
    </xdr:to>
    <xdr:pic>
      <xdr:nvPicPr>
        <xdr:cNvPr id="2" name="Imagen 1">
          <a:extLst>
            <a:ext uri="{FF2B5EF4-FFF2-40B4-BE49-F238E27FC236}">
              <a16:creationId xmlns:a16="http://schemas.microsoft.com/office/drawing/2014/main" id="{3EE4F496-9B37-4BA8-9E7F-F729587FC17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81768" y="308882"/>
          <a:ext cx="898071" cy="1081767"/>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938893</xdr:colOff>
      <xdr:row>1</xdr:row>
      <xdr:rowOff>108857</xdr:rowOff>
    </xdr:from>
    <xdr:to>
      <xdr:col>1</xdr:col>
      <xdr:colOff>1836964</xdr:colOff>
      <xdr:row>5</xdr:row>
      <xdr:rowOff>342899</xdr:rowOff>
    </xdr:to>
    <xdr:pic>
      <xdr:nvPicPr>
        <xdr:cNvPr id="2" name="Imagen 1">
          <a:extLst>
            <a:ext uri="{FF2B5EF4-FFF2-40B4-BE49-F238E27FC236}">
              <a16:creationId xmlns:a16="http://schemas.microsoft.com/office/drawing/2014/main" id="{64A5BB70-B4EE-411E-970C-E0C319D8CA4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81768" y="308882"/>
          <a:ext cx="898071" cy="1081767"/>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938893</xdr:colOff>
      <xdr:row>1</xdr:row>
      <xdr:rowOff>108857</xdr:rowOff>
    </xdr:from>
    <xdr:to>
      <xdr:col>1</xdr:col>
      <xdr:colOff>1836964</xdr:colOff>
      <xdr:row>5</xdr:row>
      <xdr:rowOff>342899</xdr:rowOff>
    </xdr:to>
    <xdr:pic>
      <xdr:nvPicPr>
        <xdr:cNvPr id="2" name="Imagen 1">
          <a:extLst>
            <a:ext uri="{FF2B5EF4-FFF2-40B4-BE49-F238E27FC236}">
              <a16:creationId xmlns:a16="http://schemas.microsoft.com/office/drawing/2014/main" id="{1C48A41F-4DC8-4A03-A097-F0E63CF7288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81768" y="308882"/>
          <a:ext cx="898071" cy="1081767"/>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938893</xdr:colOff>
      <xdr:row>1</xdr:row>
      <xdr:rowOff>108857</xdr:rowOff>
    </xdr:from>
    <xdr:to>
      <xdr:col>1</xdr:col>
      <xdr:colOff>1836964</xdr:colOff>
      <xdr:row>5</xdr:row>
      <xdr:rowOff>342899</xdr:rowOff>
    </xdr:to>
    <xdr:pic>
      <xdr:nvPicPr>
        <xdr:cNvPr id="2" name="Imagen 1">
          <a:extLst>
            <a:ext uri="{FF2B5EF4-FFF2-40B4-BE49-F238E27FC236}">
              <a16:creationId xmlns:a16="http://schemas.microsoft.com/office/drawing/2014/main" id="{EB8E44A9-40F3-41C8-950F-5186722D720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81768" y="308882"/>
          <a:ext cx="898071" cy="1081767"/>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938893</xdr:colOff>
      <xdr:row>1</xdr:row>
      <xdr:rowOff>108857</xdr:rowOff>
    </xdr:from>
    <xdr:to>
      <xdr:col>1</xdr:col>
      <xdr:colOff>1836964</xdr:colOff>
      <xdr:row>5</xdr:row>
      <xdr:rowOff>342899</xdr:rowOff>
    </xdr:to>
    <xdr:pic>
      <xdr:nvPicPr>
        <xdr:cNvPr id="2" name="Imagen 1">
          <a:extLst>
            <a:ext uri="{FF2B5EF4-FFF2-40B4-BE49-F238E27FC236}">
              <a16:creationId xmlns:a16="http://schemas.microsoft.com/office/drawing/2014/main" id="{49B69597-AAF9-4A63-9C6F-58748058E90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84943" y="299357"/>
          <a:ext cx="898071" cy="1078592"/>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938893</xdr:colOff>
      <xdr:row>1</xdr:row>
      <xdr:rowOff>108857</xdr:rowOff>
    </xdr:from>
    <xdr:to>
      <xdr:col>1</xdr:col>
      <xdr:colOff>1836964</xdr:colOff>
      <xdr:row>5</xdr:row>
      <xdr:rowOff>342899</xdr:rowOff>
    </xdr:to>
    <xdr:pic>
      <xdr:nvPicPr>
        <xdr:cNvPr id="2" name="Imagen 1">
          <a:extLst>
            <a:ext uri="{FF2B5EF4-FFF2-40B4-BE49-F238E27FC236}">
              <a16:creationId xmlns:a16="http://schemas.microsoft.com/office/drawing/2014/main" id="{0D9CBB25-065A-426A-B936-A62CEC18788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84943" y="299357"/>
          <a:ext cx="898071" cy="1078592"/>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oneCellAnchor>
    <xdr:from>
      <xdr:col>12</xdr:col>
      <xdr:colOff>0</xdr:colOff>
      <xdr:row>8</xdr:row>
      <xdr:rowOff>0</xdr:rowOff>
    </xdr:from>
    <xdr:ext cx="114300" cy="200025"/>
    <xdr:sp macro="" textlink="">
      <xdr:nvSpPr>
        <xdr:cNvPr id="3" name="Shape 3">
          <a:extLst>
            <a:ext uri="{FF2B5EF4-FFF2-40B4-BE49-F238E27FC236}">
              <a16:creationId xmlns:a16="http://schemas.microsoft.com/office/drawing/2014/main" id="{15FABF85-1343-44D5-83ED-FFB1D8E1F513}"/>
            </a:ext>
          </a:extLst>
        </xdr:cNvPr>
        <xdr:cNvSpPr txBox="1"/>
      </xdr:nvSpPr>
      <xdr:spPr>
        <a:xfrm>
          <a:off x="5067300" y="2101596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12</xdr:col>
      <xdr:colOff>0</xdr:colOff>
      <xdr:row>8</xdr:row>
      <xdr:rowOff>0</xdr:rowOff>
    </xdr:from>
    <xdr:ext cx="114300" cy="200025"/>
    <xdr:sp macro="" textlink="">
      <xdr:nvSpPr>
        <xdr:cNvPr id="4" name="Shape 3">
          <a:extLst>
            <a:ext uri="{FF2B5EF4-FFF2-40B4-BE49-F238E27FC236}">
              <a16:creationId xmlns:a16="http://schemas.microsoft.com/office/drawing/2014/main" id="{352D8DE7-148A-434E-B322-6B17802C85B8}"/>
            </a:ext>
          </a:extLst>
        </xdr:cNvPr>
        <xdr:cNvSpPr txBox="1"/>
      </xdr:nvSpPr>
      <xdr:spPr>
        <a:xfrm>
          <a:off x="5067300" y="2101596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12</xdr:col>
      <xdr:colOff>0</xdr:colOff>
      <xdr:row>8</xdr:row>
      <xdr:rowOff>0</xdr:rowOff>
    </xdr:from>
    <xdr:ext cx="114300" cy="200025"/>
    <xdr:sp macro="" textlink="">
      <xdr:nvSpPr>
        <xdr:cNvPr id="5" name="Shape 3">
          <a:extLst>
            <a:ext uri="{FF2B5EF4-FFF2-40B4-BE49-F238E27FC236}">
              <a16:creationId xmlns:a16="http://schemas.microsoft.com/office/drawing/2014/main" id="{6C4F3F2A-CC01-48C8-AF31-ED0576EA0612}"/>
            </a:ext>
          </a:extLst>
        </xdr:cNvPr>
        <xdr:cNvSpPr txBox="1"/>
      </xdr:nvSpPr>
      <xdr:spPr>
        <a:xfrm>
          <a:off x="5067300" y="2101596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12</xdr:col>
      <xdr:colOff>0</xdr:colOff>
      <xdr:row>21</xdr:row>
      <xdr:rowOff>0</xdr:rowOff>
    </xdr:from>
    <xdr:ext cx="114300" cy="200025"/>
    <xdr:sp macro="" textlink="">
      <xdr:nvSpPr>
        <xdr:cNvPr id="6" name="Shape 3">
          <a:extLst>
            <a:ext uri="{FF2B5EF4-FFF2-40B4-BE49-F238E27FC236}">
              <a16:creationId xmlns:a16="http://schemas.microsoft.com/office/drawing/2014/main" id="{4DF602ED-C631-4625-8C0C-142CAA87810C}"/>
            </a:ext>
          </a:extLst>
        </xdr:cNvPr>
        <xdr:cNvSpPr txBox="1"/>
      </xdr:nvSpPr>
      <xdr:spPr>
        <a:xfrm>
          <a:off x="5067300" y="2340864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7</xdr:row>
      <xdr:rowOff>0</xdr:rowOff>
    </xdr:from>
    <xdr:ext cx="114300" cy="200025"/>
    <xdr:sp macro="" textlink="">
      <xdr:nvSpPr>
        <xdr:cNvPr id="10" name="Shape 3">
          <a:extLst>
            <a:ext uri="{FF2B5EF4-FFF2-40B4-BE49-F238E27FC236}">
              <a16:creationId xmlns:a16="http://schemas.microsoft.com/office/drawing/2014/main" id="{944D4FC0-AC24-4496-807A-CA21D4BAC1A9}"/>
            </a:ext>
          </a:extLst>
        </xdr:cNvPr>
        <xdr:cNvSpPr txBox="1"/>
      </xdr:nvSpPr>
      <xdr:spPr>
        <a:xfrm>
          <a:off x="25628600" y="872490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29</xdr:row>
      <xdr:rowOff>0</xdr:rowOff>
    </xdr:from>
    <xdr:ext cx="114300" cy="200025"/>
    <xdr:sp macro="" textlink="">
      <xdr:nvSpPr>
        <xdr:cNvPr id="14" name="Shape 3">
          <a:extLst>
            <a:ext uri="{FF2B5EF4-FFF2-40B4-BE49-F238E27FC236}">
              <a16:creationId xmlns:a16="http://schemas.microsoft.com/office/drawing/2014/main" id="{AD93C89E-E3F1-4C9B-98B6-BBEA9790667D}"/>
            </a:ext>
          </a:extLst>
        </xdr:cNvPr>
        <xdr:cNvSpPr txBox="1"/>
      </xdr:nvSpPr>
      <xdr:spPr>
        <a:xfrm>
          <a:off x="11087100" y="199390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31</xdr:row>
      <xdr:rowOff>0</xdr:rowOff>
    </xdr:from>
    <xdr:ext cx="114300" cy="200025"/>
    <xdr:sp macro="" textlink="">
      <xdr:nvSpPr>
        <xdr:cNvPr id="16" name="Shape 3">
          <a:extLst>
            <a:ext uri="{FF2B5EF4-FFF2-40B4-BE49-F238E27FC236}">
              <a16:creationId xmlns:a16="http://schemas.microsoft.com/office/drawing/2014/main" id="{8C9FAF0F-797D-40FF-91E9-21C2C3C36923}"/>
            </a:ext>
          </a:extLst>
        </xdr:cNvPr>
        <xdr:cNvSpPr txBox="1"/>
      </xdr:nvSpPr>
      <xdr:spPr>
        <a:xfrm>
          <a:off x="11087100" y="840740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29</xdr:row>
      <xdr:rowOff>0</xdr:rowOff>
    </xdr:from>
    <xdr:ext cx="114300" cy="200025"/>
    <xdr:sp macro="" textlink="">
      <xdr:nvSpPr>
        <xdr:cNvPr id="18" name="Shape 3">
          <a:extLst>
            <a:ext uri="{FF2B5EF4-FFF2-40B4-BE49-F238E27FC236}">
              <a16:creationId xmlns:a16="http://schemas.microsoft.com/office/drawing/2014/main" id="{83A71190-A1E7-458F-8BFD-08761E77BDD6}"/>
            </a:ext>
          </a:extLst>
        </xdr:cNvPr>
        <xdr:cNvSpPr txBox="1"/>
      </xdr:nvSpPr>
      <xdr:spPr>
        <a:xfrm>
          <a:off x="11087100" y="1563370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7</xdr:row>
      <xdr:rowOff>0</xdr:rowOff>
    </xdr:from>
    <xdr:ext cx="114300" cy="200025"/>
    <xdr:sp macro="" textlink="">
      <xdr:nvSpPr>
        <xdr:cNvPr id="19" name="Shape 3">
          <a:extLst>
            <a:ext uri="{FF2B5EF4-FFF2-40B4-BE49-F238E27FC236}">
              <a16:creationId xmlns:a16="http://schemas.microsoft.com/office/drawing/2014/main" id="{C795E46D-5C84-48B5-9A46-522640EA5204}"/>
            </a:ext>
          </a:extLst>
        </xdr:cNvPr>
        <xdr:cNvSpPr txBox="1"/>
      </xdr:nvSpPr>
      <xdr:spPr>
        <a:xfrm>
          <a:off x="11087100" y="840740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7</xdr:row>
      <xdr:rowOff>0</xdr:rowOff>
    </xdr:from>
    <xdr:ext cx="114300" cy="200025"/>
    <xdr:sp macro="" textlink="">
      <xdr:nvSpPr>
        <xdr:cNvPr id="20" name="Shape 3">
          <a:extLst>
            <a:ext uri="{FF2B5EF4-FFF2-40B4-BE49-F238E27FC236}">
              <a16:creationId xmlns:a16="http://schemas.microsoft.com/office/drawing/2014/main" id="{9C693E54-F4E3-4611-9B1B-D5FFC666AC0C}"/>
            </a:ext>
          </a:extLst>
        </xdr:cNvPr>
        <xdr:cNvSpPr txBox="1"/>
      </xdr:nvSpPr>
      <xdr:spPr>
        <a:xfrm>
          <a:off x="11087100" y="840740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31</xdr:row>
      <xdr:rowOff>0</xdr:rowOff>
    </xdr:from>
    <xdr:ext cx="114300" cy="200025"/>
    <xdr:sp macro="" textlink="">
      <xdr:nvSpPr>
        <xdr:cNvPr id="24" name="Shape 3">
          <a:extLst>
            <a:ext uri="{FF2B5EF4-FFF2-40B4-BE49-F238E27FC236}">
              <a16:creationId xmlns:a16="http://schemas.microsoft.com/office/drawing/2014/main" id="{333DC1CC-B10D-4918-BF6C-D627490FE020}"/>
            </a:ext>
          </a:extLst>
        </xdr:cNvPr>
        <xdr:cNvSpPr txBox="1"/>
      </xdr:nvSpPr>
      <xdr:spPr>
        <a:xfrm>
          <a:off x="11087100" y="1563370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31</xdr:row>
      <xdr:rowOff>0</xdr:rowOff>
    </xdr:from>
    <xdr:ext cx="114300" cy="200025"/>
    <xdr:sp macro="" textlink="">
      <xdr:nvSpPr>
        <xdr:cNvPr id="26" name="Shape 3">
          <a:extLst>
            <a:ext uri="{FF2B5EF4-FFF2-40B4-BE49-F238E27FC236}">
              <a16:creationId xmlns:a16="http://schemas.microsoft.com/office/drawing/2014/main" id="{641A0712-B268-4F5D-8524-05FDC9C93F05}"/>
            </a:ext>
          </a:extLst>
        </xdr:cNvPr>
        <xdr:cNvSpPr txBox="1"/>
      </xdr:nvSpPr>
      <xdr:spPr>
        <a:xfrm>
          <a:off x="11087100" y="2393950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31</xdr:row>
      <xdr:rowOff>0</xdr:rowOff>
    </xdr:from>
    <xdr:ext cx="114300" cy="200025"/>
    <xdr:sp macro="" textlink="">
      <xdr:nvSpPr>
        <xdr:cNvPr id="28" name="Shape 3">
          <a:extLst>
            <a:ext uri="{FF2B5EF4-FFF2-40B4-BE49-F238E27FC236}">
              <a16:creationId xmlns:a16="http://schemas.microsoft.com/office/drawing/2014/main" id="{E8FDE306-C3FE-4E21-9C2A-F516CCF36B1F}"/>
            </a:ext>
          </a:extLst>
        </xdr:cNvPr>
        <xdr:cNvSpPr txBox="1"/>
      </xdr:nvSpPr>
      <xdr:spPr>
        <a:xfrm>
          <a:off x="11087100" y="3110230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31</xdr:row>
      <xdr:rowOff>0</xdr:rowOff>
    </xdr:from>
    <xdr:ext cx="114300" cy="200025"/>
    <xdr:sp macro="" textlink="">
      <xdr:nvSpPr>
        <xdr:cNvPr id="30" name="Shape 3">
          <a:extLst>
            <a:ext uri="{FF2B5EF4-FFF2-40B4-BE49-F238E27FC236}">
              <a16:creationId xmlns:a16="http://schemas.microsoft.com/office/drawing/2014/main" id="{6F3E62F3-8722-4CE2-8375-73B61E19D222}"/>
            </a:ext>
          </a:extLst>
        </xdr:cNvPr>
        <xdr:cNvSpPr txBox="1"/>
      </xdr:nvSpPr>
      <xdr:spPr>
        <a:xfrm>
          <a:off x="11087100" y="3754120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31</xdr:row>
      <xdr:rowOff>0</xdr:rowOff>
    </xdr:from>
    <xdr:ext cx="114300" cy="200025"/>
    <xdr:sp macro="" textlink="">
      <xdr:nvSpPr>
        <xdr:cNvPr id="32" name="Shape 3">
          <a:extLst>
            <a:ext uri="{FF2B5EF4-FFF2-40B4-BE49-F238E27FC236}">
              <a16:creationId xmlns:a16="http://schemas.microsoft.com/office/drawing/2014/main" id="{DDE86F1B-1FBD-4B38-8BC2-580E5D499BEB}"/>
            </a:ext>
          </a:extLst>
        </xdr:cNvPr>
        <xdr:cNvSpPr txBox="1"/>
      </xdr:nvSpPr>
      <xdr:spPr>
        <a:xfrm>
          <a:off x="11087100" y="4418330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31</xdr:row>
      <xdr:rowOff>0</xdr:rowOff>
    </xdr:from>
    <xdr:ext cx="114300" cy="200025"/>
    <xdr:sp macro="" textlink="">
      <xdr:nvSpPr>
        <xdr:cNvPr id="34" name="Shape 3">
          <a:extLst>
            <a:ext uri="{FF2B5EF4-FFF2-40B4-BE49-F238E27FC236}">
              <a16:creationId xmlns:a16="http://schemas.microsoft.com/office/drawing/2014/main" id="{360CEC2C-BF25-4FF9-8EBD-EF81F53DF646}"/>
            </a:ext>
          </a:extLst>
        </xdr:cNvPr>
        <xdr:cNvSpPr txBox="1"/>
      </xdr:nvSpPr>
      <xdr:spPr>
        <a:xfrm>
          <a:off x="11087100" y="4965700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31</xdr:row>
      <xdr:rowOff>0</xdr:rowOff>
    </xdr:from>
    <xdr:ext cx="114300" cy="200025"/>
    <xdr:sp macro="" textlink="">
      <xdr:nvSpPr>
        <xdr:cNvPr id="36" name="Shape 3">
          <a:extLst>
            <a:ext uri="{FF2B5EF4-FFF2-40B4-BE49-F238E27FC236}">
              <a16:creationId xmlns:a16="http://schemas.microsoft.com/office/drawing/2014/main" id="{78C82322-6004-4074-AC34-FC6C0BFC818E}"/>
            </a:ext>
          </a:extLst>
        </xdr:cNvPr>
        <xdr:cNvSpPr txBox="1"/>
      </xdr:nvSpPr>
      <xdr:spPr>
        <a:xfrm>
          <a:off x="11087100" y="4965700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31</xdr:row>
      <xdr:rowOff>0</xdr:rowOff>
    </xdr:from>
    <xdr:ext cx="114300" cy="200025"/>
    <xdr:sp macro="" textlink="">
      <xdr:nvSpPr>
        <xdr:cNvPr id="38" name="Shape 3">
          <a:extLst>
            <a:ext uri="{FF2B5EF4-FFF2-40B4-BE49-F238E27FC236}">
              <a16:creationId xmlns:a16="http://schemas.microsoft.com/office/drawing/2014/main" id="{7349F57F-8845-4F4B-A265-21957F4A2DF5}"/>
            </a:ext>
          </a:extLst>
        </xdr:cNvPr>
        <xdr:cNvSpPr txBox="1"/>
      </xdr:nvSpPr>
      <xdr:spPr>
        <a:xfrm>
          <a:off x="11087100" y="4965700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31</xdr:row>
      <xdr:rowOff>0</xdr:rowOff>
    </xdr:from>
    <xdr:ext cx="114300" cy="200025"/>
    <xdr:sp macro="" textlink="">
      <xdr:nvSpPr>
        <xdr:cNvPr id="40" name="Shape 3">
          <a:extLst>
            <a:ext uri="{FF2B5EF4-FFF2-40B4-BE49-F238E27FC236}">
              <a16:creationId xmlns:a16="http://schemas.microsoft.com/office/drawing/2014/main" id="{A1AAF037-FDC9-4649-9940-203BABA223C3}"/>
            </a:ext>
          </a:extLst>
        </xdr:cNvPr>
        <xdr:cNvSpPr txBox="1"/>
      </xdr:nvSpPr>
      <xdr:spPr>
        <a:xfrm>
          <a:off x="11087100" y="4965700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31</xdr:row>
      <xdr:rowOff>0</xdr:rowOff>
    </xdr:from>
    <xdr:ext cx="114300" cy="200025"/>
    <xdr:sp macro="" textlink="">
      <xdr:nvSpPr>
        <xdr:cNvPr id="42" name="Shape 3">
          <a:extLst>
            <a:ext uri="{FF2B5EF4-FFF2-40B4-BE49-F238E27FC236}">
              <a16:creationId xmlns:a16="http://schemas.microsoft.com/office/drawing/2014/main" id="{AE8813C4-DBE3-4483-AC0E-B3080E61B7B1}"/>
            </a:ext>
          </a:extLst>
        </xdr:cNvPr>
        <xdr:cNvSpPr txBox="1"/>
      </xdr:nvSpPr>
      <xdr:spPr>
        <a:xfrm>
          <a:off x="11087100" y="4965700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31</xdr:row>
      <xdr:rowOff>0</xdr:rowOff>
    </xdr:from>
    <xdr:ext cx="114300" cy="200025"/>
    <xdr:sp macro="" textlink="">
      <xdr:nvSpPr>
        <xdr:cNvPr id="44" name="Shape 3">
          <a:extLst>
            <a:ext uri="{FF2B5EF4-FFF2-40B4-BE49-F238E27FC236}">
              <a16:creationId xmlns:a16="http://schemas.microsoft.com/office/drawing/2014/main" id="{DFC79523-A582-4D85-99FE-DB12B41A43F8}"/>
            </a:ext>
          </a:extLst>
        </xdr:cNvPr>
        <xdr:cNvSpPr txBox="1"/>
      </xdr:nvSpPr>
      <xdr:spPr>
        <a:xfrm>
          <a:off x="11087100" y="4965700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31</xdr:row>
      <xdr:rowOff>0</xdr:rowOff>
    </xdr:from>
    <xdr:ext cx="114300" cy="200025"/>
    <xdr:sp macro="" textlink="">
      <xdr:nvSpPr>
        <xdr:cNvPr id="46" name="Shape 3">
          <a:extLst>
            <a:ext uri="{FF2B5EF4-FFF2-40B4-BE49-F238E27FC236}">
              <a16:creationId xmlns:a16="http://schemas.microsoft.com/office/drawing/2014/main" id="{9F87F153-66DB-413E-8445-47B2D1BFD2E3}"/>
            </a:ext>
          </a:extLst>
        </xdr:cNvPr>
        <xdr:cNvSpPr txBox="1"/>
      </xdr:nvSpPr>
      <xdr:spPr>
        <a:xfrm>
          <a:off x="11087100" y="4965700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31</xdr:row>
      <xdr:rowOff>0</xdr:rowOff>
    </xdr:from>
    <xdr:ext cx="114300" cy="200025"/>
    <xdr:sp macro="" textlink="">
      <xdr:nvSpPr>
        <xdr:cNvPr id="48" name="Shape 3">
          <a:extLst>
            <a:ext uri="{FF2B5EF4-FFF2-40B4-BE49-F238E27FC236}">
              <a16:creationId xmlns:a16="http://schemas.microsoft.com/office/drawing/2014/main" id="{4B38328E-AE43-4A0F-87E9-3FC16F1B1701}"/>
            </a:ext>
          </a:extLst>
        </xdr:cNvPr>
        <xdr:cNvSpPr txBox="1"/>
      </xdr:nvSpPr>
      <xdr:spPr>
        <a:xfrm>
          <a:off x="11087100" y="4965700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31</xdr:row>
      <xdr:rowOff>0</xdr:rowOff>
    </xdr:from>
    <xdr:ext cx="114300" cy="200025"/>
    <xdr:sp macro="" textlink="">
      <xdr:nvSpPr>
        <xdr:cNvPr id="50" name="Shape 3">
          <a:extLst>
            <a:ext uri="{FF2B5EF4-FFF2-40B4-BE49-F238E27FC236}">
              <a16:creationId xmlns:a16="http://schemas.microsoft.com/office/drawing/2014/main" id="{D94DB482-E83D-4755-A252-BA403DB081E8}"/>
            </a:ext>
          </a:extLst>
        </xdr:cNvPr>
        <xdr:cNvSpPr txBox="1"/>
      </xdr:nvSpPr>
      <xdr:spPr>
        <a:xfrm>
          <a:off x="11087100" y="4965700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31</xdr:row>
      <xdr:rowOff>0</xdr:rowOff>
    </xdr:from>
    <xdr:ext cx="114300" cy="200025"/>
    <xdr:sp macro="" textlink="">
      <xdr:nvSpPr>
        <xdr:cNvPr id="52" name="Shape 3">
          <a:extLst>
            <a:ext uri="{FF2B5EF4-FFF2-40B4-BE49-F238E27FC236}">
              <a16:creationId xmlns:a16="http://schemas.microsoft.com/office/drawing/2014/main" id="{84E44B0A-4E74-4019-8A37-02E0A8C73D74}"/>
            </a:ext>
          </a:extLst>
        </xdr:cNvPr>
        <xdr:cNvSpPr txBox="1"/>
      </xdr:nvSpPr>
      <xdr:spPr>
        <a:xfrm>
          <a:off x="11087100" y="4965700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31</xdr:row>
      <xdr:rowOff>0</xdr:rowOff>
    </xdr:from>
    <xdr:ext cx="114300" cy="200025"/>
    <xdr:sp macro="" textlink="">
      <xdr:nvSpPr>
        <xdr:cNvPr id="54" name="Shape 3">
          <a:extLst>
            <a:ext uri="{FF2B5EF4-FFF2-40B4-BE49-F238E27FC236}">
              <a16:creationId xmlns:a16="http://schemas.microsoft.com/office/drawing/2014/main" id="{844EA3A2-0836-4593-B9E1-62B5BC34CC5F}"/>
            </a:ext>
          </a:extLst>
        </xdr:cNvPr>
        <xdr:cNvSpPr txBox="1"/>
      </xdr:nvSpPr>
      <xdr:spPr>
        <a:xfrm>
          <a:off x="11087100" y="4965700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31</xdr:row>
      <xdr:rowOff>0</xdr:rowOff>
    </xdr:from>
    <xdr:ext cx="114300" cy="200025"/>
    <xdr:sp macro="" textlink="">
      <xdr:nvSpPr>
        <xdr:cNvPr id="56" name="Shape 3">
          <a:extLst>
            <a:ext uri="{FF2B5EF4-FFF2-40B4-BE49-F238E27FC236}">
              <a16:creationId xmlns:a16="http://schemas.microsoft.com/office/drawing/2014/main" id="{EA2043AA-DF12-41BC-9B71-BAA4CB291200}"/>
            </a:ext>
          </a:extLst>
        </xdr:cNvPr>
        <xdr:cNvSpPr txBox="1"/>
      </xdr:nvSpPr>
      <xdr:spPr>
        <a:xfrm>
          <a:off x="11087100" y="4965700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31</xdr:row>
      <xdr:rowOff>0</xdr:rowOff>
    </xdr:from>
    <xdr:ext cx="114300" cy="200025"/>
    <xdr:sp macro="" textlink="">
      <xdr:nvSpPr>
        <xdr:cNvPr id="58" name="Shape 3">
          <a:extLst>
            <a:ext uri="{FF2B5EF4-FFF2-40B4-BE49-F238E27FC236}">
              <a16:creationId xmlns:a16="http://schemas.microsoft.com/office/drawing/2014/main" id="{A5B5A77D-A739-4751-B089-759F8D3E3775}"/>
            </a:ext>
          </a:extLst>
        </xdr:cNvPr>
        <xdr:cNvSpPr txBox="1"/>
      </xdr:nvSpPr>
      <xdr:spPr>
        <a:xfrm>
          <a:off x="11087100" y="4965700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31</xdr:row>
      <xdr:rowOff>0</xdr:rowOff>
    </xdr:from>
    <xdr:ext cx="114300" cy="200025"/>
    <xdr:sp macro="" textlink="">
      <xdr:nvSpPr>
        <xdr:cNvPr id="60" name="Shape 3">
          <a:extLst>
            <a:ext uri="{FF2B5EF4-FFF2-40B4-BE49-F238E27FC236}">
              <a16:creationId xmlns:a16="http://schemas.microsoft.com/office/drawing/2014/main" id="{8F4D4CFF-4E95-407D-B854-2519CC508515}"/>
            </a:ext>
          </a:extLst>
        </xdr:cNvPr>
        <xdr:cNvSpPr txBox="1"/>
      </xdr:nvSpPr>
      <xdr:spPr>
        <a:xfrm>
          <a:off x="11087100" y="4965700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31</xdr:row>
      <xdr:rowOff>0</xdr:rowOff>
    </xdr:from>
    <xdr:ext cx="114300" cy="200025"/>
    <xdr:sp macro="" textlink="">
      <xdr:nvSpPr>
        <xdr:cNvPr id="62" name="Shape 3">
          <a:extLst>
            <a:ext uri="{FF2B5EF4-FFF2-40B4-BE49-F238E27FC236}">
              <a16:creationId xmlns:a16="http://schemas.microsoft.com/office/drawing/2014/main" id="{6B37D491-9606-4838-8868-05EDE81EF577}"/>
            </a:ext>
          </a:extLst>
        </xdr:cNvPr>
        <xdr:cNvSpPr txBox="1"/>
      </xdr:nvSpPr>
      <xdr:spPr>
        <a:xfrm>
          <a:off x="11087100" y="4965700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31</xdr:row>
      <xdr:rowOff>0</xdr:rowOff>
    </xdr:from>
    <xdr:ext cx="114300" cy="200025"/>
    <xdr:sp macro="" textlink="">
      <xdr:nvSpPr>
        <xdr:cNvPr id="64" name="Shape 3">
          <a:extLst>
            <a:ext uri="{FF2B5EF4-FFF2-40B4-BE49-F238E27FC236}">
              <a16:creationId xmlns:a16="http://schemas.microsoft.com/office/drawing/2014/main" id="{2F5E56EA-0627-4CEB-815E-DF5A2DB3E896}"/>
            </a:ext>
          </a:extLst>
        </xdr:cNvPr>
        <xdr:cNvSpPr txBox="1"/>
      </xdr:nvSpPr>
      <xdr:spPr>
        <a:xfrm>
          <a:off x="11087100" y="4965700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31</xdr:row>
      <xdr:rowOff>0</xdr:rowOff>
    </xdr:from>
    <xdr:ext cx="114300" cy="200025"/>
    <xdr:sp macro="" textlink="">
      <xdr:nvSpPr>
        <xdr:cNvPr id="66" name="Shape 3">
          <a:extLst>
            <a:ext uri="{FF2B5EF4-FFF2-40B4-BE49-F238E27FC236}">
              <a16:creationId xmlns:a16="http://schemas.microsoft.com/office/drawing/2014/main" id="{F3454C77-7715-4B1D-B4D5-7EEDBBEA186E}"/>
            </a:ext>
          </a:extLst>
        </xdr:cNvPr>
        <xdr:cNvSpPr txBox="1"/>
      </xdr:nvSpPr>
      <xdr:spPr>
        <a:xfrm>
          <a:off x="11087100" y="4965700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31</xdr:row>
      <xdr:rowOff>0</xdr:rowOff>
    </xdr:from>
    <xdr:ext cx="114300" cy="200025"/>
    <xdr:sp macro="" textlink="">
      <xdr:nvSpPr>
        <xdr:cNvPr id="68" name="Shape 3">
          <a:extLst>
            <a:ext uri="{FF2B5EF4-FFF2-40B4-BE49-F238E27FC236}">
              <a16:creationId xmlns:a16="http://schemas.microsoft.com/office/drawing/2014/main" id="{FFB28245-9D05-4CD1-B849-C88D67D05E35}"/>
            </a:ext>
          </a:extLst>
        </xdr:cNvPr>
        <xdr:cNvSpPr txBox="1"/>
      </xdr:nvSpPr>
      <xdr:spPr>
        <a:xfrm>
          <a:off x="11087100" y="4965700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31</xdr:row>
      <xdr:rowOff>0</xdr:rowOff>
    </xdr:from>
    <xdr:ext cx="114300" cy="200025"/>
    <xdr:sp macro="" textlink="">
      <xdr:nvSpPr>
        <xdr:cNvPr id="70" name="Shape 3">
          <a:extLst>
            <a:ext uri="{FF2B5EF4-FFF2-40B4-BE49-F238E27FC236}">
              <a16:creationId xmlns:a16="http://schemas.microsoft.com/office/drawing/2014/main" id="{182E15B9-A473-403B-B9A2-CEB3CAA79C5F}"/>
            </a:ext>
          </a:extLst>
        </xdr:cNvPr>
        <xdr:cNvSpPr txBox="1"/>
      </xdr:nvSpPr>
      <xdr:spPr>
        <a:xfrm>
          <a:off x="11087100" y="4965700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31</xdr:row>
      <xdr:rowOff>0</xdr:rowOff>
    </xdr:from>
    <xdr:ext cx="114300" cy="200025"/>
    <xdr:sp macro="" textlink="">
      <xdr:nvSpPr>
        <xdr:cNvPr id="72" name="Shape 3">
          <a:extLst>
            <a:ext uri="{FF2B5EF4-FFF2-40B4-BE49-F238E27FC236}">
              <a16:creationId xmlns:a16="http://schemas.microsoft.com/office/drawing/2014/main" id="{1CFC3C22-40FD-423E-9066-407172F216DA}"/>
            </a:ext>
          </a:extLst>
        </xdr:cNvPr>
        <xdr:cNvSpPr txBox="1"/>
      </xdr:nvSpPr>
      <xdr:spPr>
        <a:xfrm>
          <a:off x="11087100" y="4965700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31</xdr:row>
      <xdr:rowOff>0</xdr:rowOff>
    </xdr:from>
    <xdr:ext cx="114300" cy="200025"/>
    <xdr:sp macro="" textlink="">
      <xdr:nvSpPr>
        <xdr:cNvPr id="74" name="Shape 3">
          <a:extLst>
            <a:ext uri="{FF2B5EF4-FFF2-40B4-BE49-F238E27FC236}">
              <a16:creationId xmlns:a16="http://schemas.microsoft.com/office/drawing/2014/main" id="{2E4F9409-3F38-423B-9FC1-D7EE57CFC857}"/>
            </a:ext>
          </a:extLst>
        </xdr:cNvPr>
        <xdr:cNvSpPr txBox="1"/>
      </xdr:nvSpPr>
      <xdr:spPr>
        <a:xfrm>
          <a:off x="11087100" y="4965700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31</xdr:row>
      <xdr:rowOff>0</xdr:rowOff>
    </xdr:from>
    <xdr:ext cx="114300" cy="200025"/>
    <xdr:sp macro="" textlink="">
      <xdr:nvSpPr>
        <xdr:cNvPr id="76" name="Shape 3">
          <a:extLst>
            <a:ext uri="{FF2B5EF4-FFF2-40B4-BE49-F238E27FC236}">
              <a16:creationId xmlns:a16="http://schemas.microsoft.com/office/drawing/2014/main" id="{09632678-F93E-4100-AE9C-C2701B3CA8DE}"/>
            </a:ext>
          </a:extLst>
        </xdr:cNvPr>
        <xdr:cNvSpPr txBox="1"/>
      </xdr:nvSpPr>
      <xdr:spPr>
        <a:xfrm>
          <a:off x="11087100" y="4965700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31</xdr:row>
      <xdr:rowOff>0</xdr:rowOff>
    </xdr:from>
    <xdr:ext cx="114300" cy="200025"/>
    <xdr:sp macro="" textlink="">
      <xdr:nvSpPr>
        <xdr:cNvPr id="78" name="Shape 3">
          <a:extLst>
            <a:ext uri="{FF2B5EF4-FFF2-40B4-BE49-F238E27FC236}">
              <a16:creationId xmlns:a16="http://schemas.microsoft.com/office/drawing/2014/main" id="{4A566C16-3D50-4D07-A325-27B9E2BBC62C}"/>
            </a:ext>
          </a:extLst>
        </xdr:cNvPr>
        <xdr:cNvSpPr txBox="1"/>
      </xdr:nvSpPr>
      <xdr:spPr>
        <a:xfrm>
          <a:off x="11087100" y="4965700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twoCellAnchor editAs="oneCell">
    <xdr:from>
      <xdr:col>2</xdr:col>
      <xdr:colOff>492125</xdr:colOff>
      <xdr:row>1</xdr:row>
      <xdr:rowOff>142875</xdr:rowOff>
    </xdr:from>
    <xdr:to>
      <xdr:col>2</xdr:col>
      <xdr:colOff>1390196</xdr:colOff>
      <xdr:row>7</xdr:row>
      <xdr:rowOff>63386</xdr:rowOff>
    </xdr:to>
    <xdr:pic>
      <xdr:nvPicPr>
        <xdr:cNvPr id="79" name="Imagen 78">
          <a:extLst>
            <a:ext uri="{FF2B5EF4-FFF2-40B4-BE49-F238E27FC236}">
              <a16:creationId xmlns:a16="http://schemas.microsoft.com/office/drawing/2014/main" id="{A558B980-D20E-4047-8ADA-77357D4A87D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270000" y="1031875"/>
          <a:ext cx="898071" cy="1079386"/>
        </a:xfrm>
        <a:prstGeom prst="rect">
          <a:avLst/>
        </a:prstGeom>
      </xdr:spPr>
    </xdr:pic>
    <xdr:clientData/>
  </xdr:twoCellAnchor>
  <xdr:oneCellAnchor>
    <xdr:from>
      <xdr:col>6</xdr:col>
      <xdr:colOff>0</xdr:colOff>
      <xdr:row>29</xdr:row>
      <xdr:rowOff>0</xdr:rowOff>
    </xdr:from>
    <xdr:ext cx="114300" cy="200025"/>
    <xdr:sp macro="" textlink="">
      <xdr:nvSpPr>
        <xdr:cNvPr id="80" name="Shape 3">
          <a:extLst>
            <a:ext uri="{FF2B5EF4-FFF2-40B4-BE49-F238E27FC236}">
              <a16:creationId xmlns:a16="http://schemas.microsoft.com/office/drawing/2014/main" id="{B29A41A5-58DD-4A71-A3DB-A01FF7AF1DB3}"/>
            </a:ext>
          </a:extLst>
        </xdr:cNvPr>
        <xdr:cNvSpPr txBox="1"/>
      </xdr:nvSpPr>
      <xdr:spPr>
        <a:xfrm>
          <a:off x="11144250" y="1365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29</xdr:row>
      <xdr:rowOff>0</xdr:rowOff>
    </xdr:from>
    <xdr:ext cx="114300" cy="200025"/>
    <xdr:sp macro="" textlink="">
      <xdr:nvSpPr>
        <xdr:cNvPr id="81" name="Shape 3">
          <a:extLst>
            <a:ext uri="{FF2B5EF4-FFF2-40B4-BE49-F238E27FC236}">
              <a16:creationId xmlns:a16="http://schemas.microsoft.com/office/drawing/2014/main" id="{90D5295D-A440-4833-A821-EC06B584F70B}"/>
            </a:ext>
          </a:extLst>
        </xdr:cNvPr>
        <xdr:cNvSpPr txBox="1"/>
      </xdr:nvSpPr>
      <xdr:spPr>
        <a:xfrm>
          <a:off x="11144250" y="1365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29</xdr:row>
      <xdr:rowOff>0</xdr:rowOff>
    </xdr:from>
    <xdr:ext cx="114300" cy="200025"/>
    <xdr:sp macro="" textlink="">
      <xdr:nvSpPr>
        <xdr:cNvPr id="82" name="Shape 3">
          <a:extLst>
            <a:ext uri="{FF2B5EF4-FFF2-40B4-BE49-F238E27FC236}">
              <a16:creationId xmlns:a16="http://schemas.microsoft.com/office/drawing/2014/main" id="{9F6EA8B0-C41E-4719-8EC5-B6EC60B1E0F2}"/>
            </a:ext>
          </a:extLst>
        </xdr:cNvPr>
        <xdr:cNvSpPr txBox="1"/>
      </xdr:nvSpPr>
      <xdr:spPr>
        <a:xfrm>
          <a:off x="11144250" y="1365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464911</xdr:colOff>
      <xdr:row>31</xdr:row>
      <xdr:rowOff>163285</xdr:rowOff>
    </xdr:from>
    <xdr:ext cx="898071" cy="1079386"/>
    <xdr:pic>
      <xdr:nvPicPr>
        <xdr:cNvPr id="83" name="Imagen 82">
          <a:extLst>
            <a:ext uri="{FF2B5EF4-FFF2-40B4-BE49-F238E27FC236}">
              <a16:creationId xmlns:a16="http://schemas.microsoft.com/office/drawing/2014/main" id="{EB755158-B8F9-4684-9C04-BB75ADF3B14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07911" y="7932964"/>
          <a:ext cx="898071" cy="1079386"/>
        </a:xfrm>
        <a:prstGeom prst="rect">
          <a:avLst/>
        </a:prstGeom>
      </xdr:spPr>
    </xdr:pic>
    <xdr:clientData/>
  </xdr:oneCellAnchor>
  <xdr:oneCellAnchor>
    <xdr:from>
      <xdr:col>6</xdr:col>
      <xdr:colOff>0</xdr:colOff>
      <xdr:row>29</xdr:row>
      <xdr:rowOff>0</xdr:rowOff>
    </xdr:from>
    <xdr:ext cx="114300" cy="200025"/>
    <xdr:sp macro="" textlink="">
      <xdr:nvSpPr>
        <xdr:cNvPr id="84" name="Shape 3">
          <a:extLst>
            <a:ext uri="{FF2B5EF4-FFF2-40B4-BE49-F238E27FC236}">
              <a16:creationId xmlns:a16="http://schemas.microsoft.com/office/drawing/2014/main" id="{391F8C76-CDAA-482B-8D3A-E9EAD66672E7}"/>
            </a:ext>
          </a:extLst>
        </xdr:cNvPr>
        <xdr:cNvSpPr txBox="1"/>
      </xdr:nvSpPr>
      <xdr:spPr>
        <a:xfrm>
          <a:off x="11144250" y="1365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29</xdr:row>
      <xdr:rowOff>0</xdr:rowOff>
    </xdr:from>
    <xdr:ext cx="114300" cy="200025"/>
    <xdr:sp macro="" textlink="">
      <xdr:nvSpPr>
        <xdr:cNvPr id="85" name="Shape 3">
          <a:extLst>
            <a:ext uri="{FF2B5EF4-FFF2-40B4-BE49-F238E27FC236}">
              <a16:creationId xmlns:a16="http://schemas.microsoft.com/office/drawing/2014/main" id="{F92F2EBB-88C0-44AB-B487-1AFE07B27D6B}"/>
            </a:ext>
          </a:extLst>
        </xdr:cNvPr>
        <xdr:cNvSpPr txBox="1"/>
      </xdr:nvSpPr>
      <xdr:spPr>
        <a:xfrm>
          <a:off x="11144250" y="1365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29</xdr:row>
      <xdr:rowOff>0</xdr:rowOff>
    </xdr:from>
    <xdr:ext cx="114300" cy="200025"/>
    <xdr:sp macro="" textlink="">
      <xdr:nvSpPr>
        <xdr:cNvPr id="86" name="Shape 3">
          <a:extLst>
            <a:ext uri="{FF2B5EF4-FFF2-40B4-BE49-F238E27FC236}">
              <a16:creationId xmlns:a16="http://schemas.microsoft.com/office/drawing/2014/main" id="{B1BDF6C9-76D0-4E1A-ACBF-34A83ABC5925}"/>
            </a:ext>
          </a:extLst>
        </xdr:cNvPr>
        <xdr:cNvSpPr txBox="1"/>
      </xdr:nvSpPr>
      <xdr:spPr>
        <a:xfrm>
          <a:off x="11144250" y="1365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505732</xdr:colOff>
      <xdr:row>31</xdr:row>
      <xdr:rowOff>149678</xdr:rowOff>
    </xdr:from>
    <xdr:ext cx="898071" cy="1079386"/>
    <xdr:pic>
      <xdr:nvPicPr>
        <xdr:cNvPr id="87" name="Imagen 86">
          <a:extLst>
            <a:ext uri="{FF2B5EF4-FFF2-40B4-BE49-F238E27FC236}">
              <a16:creationId xmlns:a16="http://schemas.microsoft.com/office/drawing/2014/main" id="{FD0C5596-397E-4BA4-A309-0F83264E2A3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48732" y="7919357"/>
          <a:ext cx="898071" cy="1079386"/>
        </a:xfrm>
        <a:prstGeom prst="rect">
          <a:avLst/>
        </a:prstGeom>
      </xdr:spPr>
    </xdr:pic>
    <xdr:clientData/>
  </xdr:oneCellAnchor>
  <xdr:oneCellAnchor>
    <xdr:from>
      <xdr:col>6</xdr:col>
      <xdr:colOff>0</xdr:colOff>
      <xdr:row>37</xdr:row>
      <xdr:rowOff>0</xdr:rowOff>
    </xdr:from>
    <xdr:ext cx="114300" cy="200025"/>
    <xdr:sp macro="" textlink="">
      <xdr:nvSpPr>
        <xdr:cNvPr id="88" name="Shape 3">
          <a:extLst>
            <a:ext uri="{FF2B5EF4-FFF2-40B4-BE49-F238E27FC236}">
              <a16:creationId xmlns:a16="http://schemas.microsoft.com/office/drawing/2014/main" id="{6380BF42-1207-44A9-867E-C736A5984912}"/>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37</xdr:row>
      <xdr:rowOff>0</xdr:rowOff>
    </xdr:from>
    <xdr:ext cx="114300" cy="200025"/>
    <xdr:sp macro="" textlink="">
      <xdr:nvSpPr>
        <xdr:cNvPr id="89" name="Shape 3">
          <a:extLst>
            <a:ext uri="{FF2B5EF4-FFF2-40B4-BE49-F238E27FC236}">
              <a16:creationId xmlns:a16="http://schemas.microsoft.com/office/drawing/2014/main" id="{9F52324C-2138-42C5-9876-0CEB5EED5080}"/>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37</xdr:row>
      <xdr:rowOff>0</xdr:rowOff>
    </xdr:from>
    <xdr:ext cx="114300" cy="200025"/>
    <xdr:sp macro="" textlink="">
      <xdr:nvSpPr>
        <xdr:cNvPr id="90" name="Shape 3">
          <a:extLst>
            <a:ext uri="{FF2B5EF4-FFF2-40B4-BE49-F238E27FC236}">
              <a16:creationId xmlns:a16="http://schemas.microsoft.com/office/drawing/2014/main" id="{33B35156-0747-46F7-9E5B-35721E515488}"/>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37</xdr:row>
      <xdr:rowOff>0</xdr:rowOff>
    </xdr:from>
    <xdr:ext cx="114300" cy="200025"/>
    <xdr:sp macro="" textlink="">
      <xdr:nvSpPr>
        <xdr:cNvPr id="91" name="Shape 3">
          <a:extLst>
            <a:ext uri="{FF2B5EF4-FFF2-40B4-BE49-F238E27FC236}">
              <a16:creationId xmlns:a16="http://schemas.microsoft.com/office/drawing/2014/main" id="{FB2ABC6D-19FA-464D-ACA2-B0C0F0BE9DD3}"/>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37</xdr:row>
      <xdr:rowOff>0</xdr:rowOff>
    </xdr:from>
    <xdr:ext cx="114300" cy="200025"/>
    <xdr:sp macro="" textlink="">
      <xdr:nvSpPr>
        <xdr:cNvPr id="92" name="Shape 3">
          <a:extLst>
            <a:ext uri="{FF2B5EF4-FFF2-40B4-BE49-F238E27FC236}">
              <a16:creationId xmlns:a16="http://schemas.microsoft.com/office/drawing/2014/main" id="{7C4E2D04-3FBF-4D98-8DE4-A4949777782A}"/>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492125</xdr:colOff>
      <xdr:row>31</xdr:row>
      <xdr:rowOff>142875</xdr:rowOff>
    </xdr:from>
    <xdr:ext cx="898071" cy="1079386"/>
    <xdr:pic>
      <xdr:nvPicPr>
        <xdr:cNvPr id="93" name="Imagen 92">
          <a:extLst>
            <a:ext uri="{FF2B5EF4-FFF2-40B4-BE49-F238E27FC236}">
              <a16:creationId xmlns:a16="http://schemas.microsoft.com/office/drawing/2014/main" id="{3525C47B-BF63-4BB2-B929-4CB31731CD9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35125" y="6953250"/>
          <a:ext cx="898071" cy="1079386"/>
        </a:xfrm>
        <a:prstGeom prst="rect">
          <a:avLst/>
        </a:prstGeom>
      </xdr:spPr>
    </xdr:pic>
    <xdr:clientData/>
  </xdr:oneCellAnchor>
  <xdr:oneCellAnchor>
    <xdr:from>
      <xdr:col>6</xdr:col>
      <xdr:colOff>0</xdr:colOff>
      <xdr:row>37</xdr:row>
      <xdr:rowOff>0</xdr:rowOff>
    </xdr:from>
    <xdr:ext cx="114300" cy="200025"/>
    <xdr:sp macro="" textlink="">
      <xdr:nvSpPr>
        <xdr:cNvPr id="94" name="Shape 3">
          <a:extLst>
            <a:ext uri="{FF2B5EF4-FFF2-40B4-BE49-F238E27FC236}">
              <a16:creationId xmlns:a16="http://schemas.microsoft.com/office/drawing/2014/main" id="{31DCEF9B-0355-4F0A-A7D1-08F4C9866B44}"/>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37</xdr:row>
      <xdr:rowOff>0</xdr:rowOff>
    </xdr:from>
    <xdr:ext cx="114300" cy="200025"/>
    <xdr:sp macro="" textlink="">
      <xdr:nvSpPr>
        <xdr:cNvPr id="95" name="Shape 3">
          <a:extLst>
            <a:ext uri="{FF2B5EF4-FFF2-40B4-BE49-F238E27FC236}">
              <a16:creationId xmlns:a16="http://schemas.microsoft.com/office/drawing/2014/main" id="{DED2F894-8561-47A3-B692-F8A842B28B46}"/>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37</xdr:row>
      <xdr:rowOff>0</xdr:rowOff>
    </xdr:from>
    <xdr:ext cx="114300" cy="200025"/>
    <xdr:sp macro="" textlink="">
      <xdr:nvSpPr>
        <xdr:cNvPr id="96" name="Shape 3">
          <a:extLst>
            <a:ext uri="{FF2B5EF4-FFF2-40B4-BE49-F238E27FC236}">
              <a16:creationId xmlns:a16="http://schemas.microsoft.com/office/drawing/2014/main" id="{B41FC9D7-F1FA-4285-AE97-48897F2BFD0C}"/>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492125</xdr:colOff>
      <xdr:row>31</xdr:row>
      <xdr:rowOff>142875</xdr:rowOff>
    </xdr:from>
    <xdr:ext cx="898071" cy="1079386"/>
    <xdr:pic>
      <xdr:nvPicPr>
        <xdr:cNvPr id="97" name="Imagen 96">
          <a:extLst>
            <a:ext uri="{FF2B5EF4-FFF2-40B4-BE49-F238E27FC236}">
              <a16:creationId xmlns:a16="http://schemas.microsoft.com/office/drawing/2014/main" id="{8349F42B-1172-49AB-A2BE-B9B7FE78CE3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35125" y="6953250"/>
          <a:ext cx="898071" cy="1079386"/>
        </a:xfrm>
        <a:prstGeom prst="rect">
          <a:avLst/>
        </a:prstGeom>
      </xdr:spPr>
    </xdr:pic>
    <xdr:clientData/>
  </xdr:oneCellAnchor>
  <xdr:oneCellAnchor>
    <xdr:from>
      <xdr:col>6</xdr:col>
      <xdr:colOff>0</xdr:colOff>
      <xdr:row>65</xdr:row>
      <xdr:rowOff>0</xdr:rowOff>
    </xdr:from>
    <xdr:ext cx="114300" cy="200025"/>
    <xdr:sp macro="" textlink="">
      <xdr:nvSpPr>
        <xdr:cNvPr id="98" name="Shape 3">
          <a:extLst>
            <a:ext uri="{FF2B5EF4-FFF2-40B4-BE49-F238E27FC236}">
              <a16:creationId xmlns:a16="http://schemas.microsoft.com/office/drawing/2014/main" id="{4EE221E2-34E7-432C-9A37-D6D7C3B97FFA}"/>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65</xdr:row>
      <xdr:rowOff>0</xdr:rowOff>
    </xdr:from>
    <xdr:ext cx="114300" cy="200025"/>
    <xdr:sp macro="" textlink="">
      <xdr:nvSpPr>
        <xdr:cNvPr id="99" name="Shape 3">
          <a:extLst>
            <a:ext uri="{FF2B5EF4-FFF2-40B4-BE49-F238E27FC236}">
              <a16:creationId xmlns:a16="http://schemas.microsoft.com/office/drawing/2014/main" id="{74496011-5425-4347-80DA-65FB22614876}"/>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65</xdr:row>
      <xdr:rowOff>0</xdr:rowOff>
    </xdr:from>
    <xdr:ext cx="114300" cy="200025"/>
    <xdr:sp macro="" textlink="">
      <xdr:nvSpPr>
        <xdr:cNvPr id="100" name="Shape 3">
          <a:extLst>
            <a:ext uri="{FF2B5EF4-FFF2-40B4-BE49-F238E27FC236}">
              <a16:creationId xmlns:a16="http://schemas.microsoft.com/office/drawing/2014/main" id="{9D983389-FA55-42E5-842D-ED48E9815D87}"/>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65</xdr:row>
      <xdr:rowOff>0</xdr:rowOff>
    </xdr:from>
    <xdr:ext cx="114300" cy="200025"/>
    <xdr:sp macro="" textlink="">
      <xdr:nvSpPr>
        <xdr:cNvPr id="101" name="Shape 3">
          <a:extLst>
            <a:ext uri="{FF2B5EF4-FFF2-40B4-BE49-F238E27FC236}">
              <a16:creationId xmlns:a16="http://schemas.microsoft.com/office/drawing/2014/main" id="{AE65087E-21DF-455A-B089-B655CE7146AB}"/>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65</xdr:row>
      <xdr:rowOff>0</xdr:rowOff>
    </xdr:from>
    <xdr:ext cx="114300" cy="200025"/>
    <xdr:sp macro="" textlink="">
      <xdr:nvSpPr>
        <xdr:cNvPr id="102" name="Shape 3">
          <a:extLst>
            <a:ext uri="{FF2B5EF4-FFF2-40B4-BE49-F238E27FC236}">
              <a16:creationId xmlns:a16="http://schemas.microsoft.com/office/drawing/2014/main" id="{9274BD1B-DABB-4818-897E-0692775ACE79}"/>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492125</xdr:colOff>
      <xdr:row>59</xdr:row>
      <xdr:rowOff>142875</xdr:rowOff>
    </xdr:from>
    <xdr:ext cx="898071" cy="1079386"/>
    <xdr:pic>
      <xdr:nvPicPr>
        <xdr:cNvPr id="103" name="Imagen 102">
          <a:extLst>
            <a:ext uri="{FF2B5EF4-FFF2-40B4-BE49-F238E27FC236}">
              <a16:creationId xmlns:a16="http://schemas.microsoft.com/office/drawing/2014/main" id="{2EC6D8AE-EC88-4A1D-8F6E-267E6A12AD4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35125" y="6953250"/>
          <a:ext cx="898071" cy="1079386"/>
        </a:xfrm>
        <a:prstGeom prst="rect">
          <a:avLst/>
        </a:prstGeom>
      </xdr:spPr>
    </xdr:pic>
    <xdr:clientData/>
  </xdr:oneCellAnchor>
  <xdr:oneCellAnchor>
    <xdr:from>
      <xdr:col>6</xdr:col>
      <xdr:colOff>0</xdr:colOff>
      <xdr:row>65</xdr:row>
      <xdr:rowOff>0</xdr:rowOff>
    </xdr:from>
    <xdr:ext cx="114300" cy="200025"/>
    <xdr:sp macro="" textlink="">
      <xdr:nvSpPr>
        <xdr:cNvPr id="104" name="Shape 3">
          <a:extLst>
            <a:ext uri="{FF2B5EF4-FFF2-40B4-BE49-F238E27FC236}">
              <a16:creationId xmlns:a16="http://schemas.microsoft.com/office/drawing/2014/main" id="{3957B528-EA26-49AC-8A3D-D3082CA3F370}"/>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65</xdr:row>
      <xdr:rowOff>0</xdr:rowOff>
    </xdr:from>
    <xdr:ext cx="114300" cy="200025"/>
    <xdr:sp macro="" textlink="">
      <xdr:nvSpPr>
        <xdr:cNvPr id="105" name="Shape 3">
          <a:extLst>
            <a:ext uri="{FF2B5EF4-FFF2-40B4-BE49-F238E27FC236}">
              <a16:creationId xmlns:a16="http://schemas.microsoft.com/office/drawing/2014/main" id="{C8A7B245-50B8-4CE9-BB80-56CA4C15BFBE}"/>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65</xdr:row>
      <xdr:rowOff>0</xdr:rowOff>
    </xdr:from>
    <xdr:ext cx="114300" cy="200025"/>
    <xdr:sp macro="" textlink="">
      <xdr:nvSpPr>
        <xdr:cNvPr id="106" name="Shape 3">
          <a:extLst>
            <a:ext uri="{FF2B5EF4-FFF2-40B4-BE49-F238E27FC236}">
              <a16:creationId xmlns:a16="http://schemas.microsoft.com/office/drawing/2014/main" id="{BDE21857-B479-443D-A814-7434AD77004F}"/>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492125</xdr:colOff>
      <xdr:row>59</xdr:row>
      <xdr:rowOff>142875</xdr:rowOff>
    </xdr:from>
    <xdr:ext cx="898071" cy="1079386"/>
    <xdr:pic>
      <xdr:nvPicPr>
        <xdr:cNvPr id="107" name="Imagen 106">
          <a:extLst>
            <a:ext uri="{FF2B5EF4-FFF2-40B4-BE49-F238E27FC236}">
              <a16:creationId xmlns:a16="http://schemas.microsoft.com/office/drawing/2014/main" id="{9F172F35-E9C2-4F36-9CD9-C2C47D71B3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35125" y="6953250"/>
          <a:ext cx="898071" cy="1079386"/>
        </a:xfrm>
        <a:prstGeom prst="rect">
          <a:avLst/>
        </a:prstGeom>
      </xdr:spPr>
    </xdr:pic>
    <xdr:clientData/>
  </xdr:oneCellAnchor>
  <xdr:oneCellAnchor>
    <xdr:from>
      <xdr:col>6</xdr:col>
      <xdr:colOff>0</xdr:colOff>
      <xdr:row>93</xdr:row>
      <xdr:rowOff>0</xdr:rowOff>
    </xdr:from>
    <xdr:ext cx="114300" cy="200025"/>
    <xdr:sp macro="" textlink="">
      <xdr:nvSpPr>
        <xdr:cNvPr id="108" name="Shape 3">
          <a:extLst>
            <a:ext uri="{FF2B5EF4-FFF2-40B4-BE49-F238E27FC236}">
              <a16:creationId xmlns:a16="http://schemas.microsoft.com/office/drawing/2014/main" id="{34AEECA5-1FD5-49C6-ABFA-6F17DFF2C933}"/>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93</xdr:row>
      <xdr:rowOff>0</xdr:rowOff>
    </xdr:from>
    <xdr:ext cx="114300" cy="200025"/>
    <xdr:sp macro="" textlink="">
      <xdr:nvSpPr>
        <xdr:cNvPr id="109" name="Shape 3">
          <a:extLst>
            <a:ext uri="{FF2B5EF4-FFF2-40B4-BE49-F238E27FC236}">
              <a16:creationId xmlns:a16="http://schemas.microsoft.com/office/drawing/2014/main" id="{A8D8CFAF-1B43-469A-93C3-5E2FC2B96278}"/>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93</xdr:row>
      <xdr:rowOff>0</xdr:rowOff>
    </xdr:from>
    <xdr:ext cx="114300" cy="200025"/>
    <xdr:sp macro="" textlink="">
      <xdr:nvSpPr>
        <xdr:cNvPr id="110" name="Shape 3">
          <a:extLst>
            <a:ext uri="{FF2B5EF4-FFF2-40B4-BE49-F238E27FC236}">
              <a16:creationId xmlns:a16="http://schemas.microsoft.com/office/drawing/2014/main" id="{5D37A577-224F-4BA3-B60E-41FB06618593}"/>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93</xdr:row>
      <xdr:rowOff>0</xdr:rowOff>
    </xdr:from>
    <xdr:ext cx="114300" cy="200025"/>
    <xdr:sp macro="" textlink="">
      <xdr:nvSpPr>
        <xdr:cNvPr id="111" name="Shape 3">
          <a:extLst>
            <a:ext uri="{FF2B5EF4-FFF2-40B4-BE49-F238E27FC236}">
              <a16:creationId xmlns:a16="http://schemas.microsoft.com/office/drawing/2014/main" id="{E7E7EAE8-4281-4440-9B1E-F12423DB5414}"/>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93</xdr:row>
      <xdr:rowOff>0</xdr:rowOff>
    </xdr:from>
    <xdr:ext cx="114300" cy="200025"/>
    <xdr:sp macro="" textlink="">
      <xdr:nvSpPr>
        <xdr:cNvPr id="112" name="Shape 3">
          <a:extLst>
            <a:ext uri="{FF2B5EF4-FFF2-40B4-BE49-F238E27FC236}">
              <a16:creationId xmlns:a16="http://schemas.microsoft.com/office/drawing/2014/main" id="{4C132326-C569-4275-9905-1EF65F16D2CC}"/>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492125</xdr:colOff>
      <xdr:row>87</xdr:row>
      <xdr:rowOff>142875</xdr:rowOff>
    </xdr:from>
    <xdr:ext cx="898071" cy="1079386"/>
    <xdr:pic>
      <xdr:nvPicPr>
        <xdr:cNvPr id="113" name="Imagen 112">
          <a:extLst>
            <a:ext uri="{FF2B5EF4-FFF2-40B4-BE49-F238E27FC236}">
              <a16:creationId xmlns:a16="http://schemas.microsoft.com/office/drawing/2014/main" id="{26AB874C-77E0-41AE-AC41-20948301060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35125" y="6953250"/>
          <a:ext cx="898071" cy="1079386"/>
        </a:xfrm>
        <a:prstGeom prst="rect">
          <a:avLst/>
        </a:prstGeom>
      </xdr:spPr>
    </xdr:pic>
    <xdr:clientData/>
  </xdr:oneCellAnchor>
  <xdr:oneCellAnchor>
    <xdr:from>
      <xdr:col>6</xdr:col>
      <xdr:colOff>0</xdr:colOff>
      <xdr:row>93</xdr:row>
      <xdr:rowOff>0</xdr:rowOff>
    </xdr:from>
    <xdr:ext cx="114300" cy="200025"/>
    <xdr:sp macro="" textlink="">
      <xdr:nvSpPr>
        <xdr:cNvPr id="114" name="Shape 3">
          <a:extLst>
            <a:ext uri="{FF2B5EF4-FFF2-40B4-BE49-F238E27FC236}">
              <a16:creationId xmlns:a16="http://schemas.microsoft.com/office/drawing/2014/main" id="{CFC5DADA-6D88-4530-8652-A96D223CEE7E}"/>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93</xdr:row>
      <xdr:rowOff>0</xdr:rowOff>
    </xdr:from>
    <xdr:ext cx="114300" cy="200025"/>
    <xdr:sp macro="" textlink="">
      <xdr:nvSpPr>
        <xdr:cNvPr id="115" name="Shape 3">
          <a:extLst>
            <a:ext uri="{FF2B5EF4-FFF2-40B4-BE49-F238E27FC236}">
              <a16:creationId xmlns:a16="http://schemas.microsoft.com/office/drawing/2014/main" id="{1A1DFAE4-0F71-4FA7-8D77-32BF92D15CC2}"/>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93</xdr:row>
      <xdr:rowOff>0</xdr:rowOff>
    </xdr:from>
    <xdr:ext cx="114300" cy="200025"/>
    <xdr:sp macro="" textlink="">
      <xdr:nvSpPr>
        <xdr:cNvPr id="116" name="Shape 3">
          <a:extLst>
            <a:ext uri="{FF2B5EF4-FFF2-40B4-BE49-F238E27FC236}">
              <a16:creationId xmlns:a16="http://schemas.microsoft.com/office/drawing/2014/main" id="{1258D375-3F9D-4BFB-91B4-DDE01DA9E02B}"/>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492125</xdr:colOff>
      <xdr:row>87</xdr:row>
      <xdr:rowOff>142875</xdr:rowOff>
    </xdr:from>
    <xdr:ext cx="898071" cy="1079386"/>
    <xdr:pic>
      <xdr:nvPicPr>
        <xdr:cNvPr id="117" name="Imagen 116">
          <a:extLst>
            <a:ext uri="{FF2B5EF4-FFF2-40B4-BE49-F238E27FC236}">
              <a16:creationId xmlns:a16="http://schemas.microsoft.com/office/drawing/2014/main" id="{9DF995FE-D579-4BA5-8522-ABF68B90FF9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35125" y="6953250"/>
          <a:ext cx="898071" cy="1079386"/>
        </a:xfrm>
        <a:prstGeom prst="rect">
          <a:avLst/>
        </a:prstGeom>
      </xdr:spPr>
    </xdr:pic>
    <xdr:clientData/>
  </xdr:oneCellAnchor>
  <xdr:oneCellAnchor>
    <xdr:from>
      <xdr:col>6</xdr:col>
      <xdr:colOff>0</xdr:colOff>
      <xdr:row>121</xdr:row>
      <xdr:rowOff>0</xdr:rowOff>
    </xdr:from>
    <xdr:ext cx="114300" cy="200025"/>
    <xdr:sp macro="" textlink="">
      <xdr:nvSpPr>
        <xdr:cNvPr id="118" name="Shape 3">
          <a:extLst>
            <a:ext uri="{FF2B5EF4-FFF2-40B4-BE49-F238E27FC236}">
              <a16:creationId xmlns:a16="http://schemas.microsoft.com/office/drawing/2014/main" id="{A724941A-364E-4223-8042-0B1B4E308C10}"/>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121</xdr:row>
      <xdr:rowOff>0</xdr:rowOff>
    </xdr:from>
    <xdr:ext cx="114300" cy="200025"/>
    <xdr:sp macro="" textlink="">
      <xdr:nvSpPr>
        <xdr:cNvPr id="119" name="Shape 3">
          <a:extLst>
            <a:ext uri="{FF2B5EF4-FFF2-40B4-BE49-F238E27FC236}">
              <a16:creationId xmlns:a16="http://schemas.microsoft.com/office/drawing/2014/main" id="{2FF157D6-DC2B-400B-8385-1FF01082AC0F}"/>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121</xdr:row>
      <xdr:rowOff>0</xdr:rowOff>
    </xdr:from>
    <xdr:ext cx="114300" cy="200025"/>
    <xdr:sp macro="" textlink="">
      <xdr:nvSpPr>
        <xdr:cNvPr id="120" name="Shape 3">
          <a:extLst>
            <a:ext uri="{FF2B5EF4-FFF2-40B4-BE49-F238E27FC236}">
              <a16:creationId xmlns:a16="http://schemas.microsoft.com/office/drawing/2014/main" id="{16CA42B5-E102-4437-AA4A-984DE9B3206F}"/>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121</xdr:row>
      <xdr:rowOff>0</xdr:rowOff>
    </xdr:from>
    <xdr:ext cx="114300" cy="200025"/>
    <xdr:sp macro="" textlink="">
      <xdr:nvSpPr>
        <xdr:cNvPr id="121" name="Shape 3">
          <a:extLst>
            <a:ext uri="{FF2B5EF4-FFF2-40B4-BE49-F238E27FC236}">
              <a16:creationId xmlns:a16="http://schemas.microsoft.com/office/drawing/2014/main" id="{372E86A8-0160-44EE-958F-A17D9199FD1A}"/>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121</xdr:row>
      <xdr:rowOff>0</xdr:rowOff>
    </xdr:from>
    <xdr:ext cx="114300" cy="200025"/>
    <xdr:sp macro="" textlink="">
      <xdr:nvSpPr>
        <xdr:cNvPr id="122" name="Shape 3">
          <a:extLst>
            <a:ext uri="{FF2B5EF4-FFF2-40B4-BE49-F238E27FC236}">
              <a16:creationId xmlns:a16="http://schemas.microsoft.com/office/drawing/2014/main" id="{930ED754-0476-473A-A0F3-96FC05F6E252}"/>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492125</xdr:colOff>
      <xdr:row>115</xdr:row>
      <xdr:rowOff>142875</xdr:rowOff>
    </xdr:from>
    <xdr:ext cx="898071" cy="1079386"/>
    <xdr:pic>
      <xdr:nvPicPr>
        <xdr:cNvPr id="123" name="Imagen 122">
          <a:extLst>
            <a:ext uri="{FF2B5EF4-FFF2-40B4-BE49-F238E27FC236}">
              <a16:creationId xmlns:a16="http://schemas.microsoft.com/office/drawing/2014/main" id="{4B3D8E63-650D-43CF-967E-209B6A579D1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35125" y="6953250"/>
          <a:ext cx="898071" cy="1079386"/>
        </a:xfrm>
        <a:prstGeom prst="rect">
          <a:avLst/>
        </a:prstGeom>
      </xdr:spPr>
    </xdr:pic>
    <xdr:clientData/>
  </xdr:oneCellAnchor>
  <xdr:oneCellAnchor>
    <xdr:from>
      <xdr:col>6</xdr:col>
      <xdr:colOff>0</xdr:colOff>
      <xdr:row>121</xdr:row>
      <xdr:rowOff>0</xdr:rowOff>
    </xdr:from>
    <xdr:ext cx="114300" cy="200025"/>
    <xdr:sp macro="" textlink="">
      <xdr:nvSpPr>
        <xdr:cNvPr id="124" name="Shape 3">
          <a:extLst>
            <a:ext uri="{FF2B5EF4-FFF2-40B4-BE49-F238E27FC236}">
              <a16:creationId xmlns:a16="http://schemas.microsoft.com/office/drawing/2014/main" id="{1496BF52-A25B-4519-B0D7-B56BEB06BE29}"/>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121</xdr:row>
      <xdr:rowOff>0</xdr:rowOff>
    </xdr:from>
    <xdr:ext cx="114300" cy="200025"/>
    <xdr:sp macro="" textlink="">
      <xdr:nvSpPr>
        <xdr:cNvPr id="125" name="Shape 3">
          <a:extLst>
            <a:ext uri="{FF2B5EF4-FFF2-40B4-BE49-F238E27FC236}">
              <a16:creationId xmlns:a16="http://schemas.microsoft.com/office/drawing/2014/main" id="{42C699D4-5A8A-4F40-A2AC-96D4ED133FA1}"/>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121</xdr:row>
      <xdr:rowOff>0</xdr:rowOff>
    </xdr:from>
    <xdr:ext cx="114300" cy="200025"/>
    <xdr:sp macro="" textlink="">
      <xdr:nvSpPr>
        <xdr:cNvPr id="126" name="Shape 3">
          <a:extLst>
            <a:ext uri="{FF2B5EF4-FFF2-40B4-BE49-F238E27FC236}">
              <a16:creationId xmlns:a16="http://schemas.microsoft.com/office/drawing/2014/main" id="{70DE3A8F-BB1D-4203-A2CC-EB50ADC691AA}"/>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492125</xdr:colOff>
      <xdr:row>115</xdr:row>
      <xdr:rowOff>142875</xdr:rowOff>
    </xdr:from>
    <xdr:ext cx="898071" cy="1079386"/>
    <xdr:pic>
      <xdr:nvPicPr>
        <xdr:cNvPr id="127" name="Imagen 126">
          <a:extLst>
            <a:ext uri="{FF2B5EF4-FFF2-40B4-BE49-F238E27FC236}">
              <a16:creationId xmlns:a16="http://schemas.microsoft.com/office/drawing/2014/main" id="{43DDCF1C-039D-4078-BCFD-E3E062178A0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35125" y="6953250"/>
          <a:ext cx="898071" cy="1079386"/>
        </a:xfrm>
        <a:prstGeom prst="rect">
          <a:avLst/>
        </a:prstGeom>
      </xdr:spPr>
    </xdr:pic>
    <xdr:clientData/>
  </xdr:oneCellAnchor>
  <xdr:oneCellAnchor>
    <xdr:from>
      <xdr:col>6</xdr:col>
      <xdr:colOff>0</xdr:colOff>
      <xdr:row>149</xdr:row>
      <xdr:rowOff>0</xdr:rowOff>
    </xdr:from>
    <xdr:ext cx="114300" cy="200025"/>
    <xdr:sp macro="" textlink="">
      <xdr:nvSpPr>
        <xdr:cNvPr id="128" name="Shape 3">
          <a:extLst>
            <a:ext uri="{FF2B5EF4-FFF2-40B4-BE49-F238E27FC236}">
              <a16:creationId xmlns:a16="http://schemas.microsoft.com/office/drawing/2014/main" id="{B03D31CE-BF0E-49AB-83AD-69F6DBDDC930}"/>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149</xdr:row>
      <xdr:rowOff>0</xdr:rowOff>
    </xdr:from>
    <xdr:ext cx="114300" cy="200025"/>
    <xdr:sp macro="" textlink="">
      <xdr:nvSpPr>
        <xdr:cNvPr id="129" name="Shape 3">
          <a:extLst>
            <a:ext uri="{FF2B5EF4-FFF2-40B4-BE49-F238E27FC236}">
              <a16:creationId xmlns:a16="http://schemas.microsoft.com/office/drawing/2014/main" id="{40F4B8C6-78E9-40F8-8EED-CE9E66D93CFE}"/>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149</xdr:row>
      <xdr:rowOff>0</xdr:rowOff>
    </xdr:from>
    <xdr:ext cx="114300" cy="200025"/>
    <xdr:sp macro="" textlink="">
      <xdr:nvSpPr>
        <xdr:cNvPr id="130" name="Shape 3">
          <a:extLst>
            <a:ext uri="{FF2B5EF4-FFF2-40B4-BE49-F238E27FC236}">
              <a16:creationId xmlns:a16="http://schemas.microsoft.com/office/drawing/2014/main" id="{AABFBCBB-38CF-4FCB-B8E2-C067162BC908}"/>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149</xdr:row>
      <xdr:rowOff>0</xdr:rowOff>
    </xdr:from>
    <xdr:ext cx="114300" cy="200025"/>
    <xdr:sp macro="" textlink="">
      <xdr:nvSpPr>
        <xdr:cNvPr id="131" name="Shape 3">
          <a:extLst>
            <a:ext uri="{FF2B5EF4-FFF2-40B4-BE49-F238E27FC236}">
              <a16:creationId xmlns:a16="http://schemas.microsoft.com/office/drawing/2014/main" id="{57EE24E8-03AB-4FF0-AE9C-33AF1843D85A}"/>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149</xdr:row>
      <xdr:rowOff>0</xdr:rowOff>
    </xdr:from>
    <xdr:ext cx="114300" cy="200025"/>
    <xdr:sp macro="" textlink="">
      <xdr:nvSpPr>
        <xdr:cNvPr id="132" name="Shape 3">
          <a:extLst>
            <a:ext uri="{FF2B5EF4-FFF2-40B4-BE49-F238E27FC236}">
              <a16:creationId xmlns:a16="http://schemas.microsoft.com/office/drawing/2014/main" id="{F6D6824C-531B-4547-9EC3-D044635260A3}"/>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492125</xdr:colOff>
      <xdr:row>143</xdr:row>
      <xdr:rowOff>142875</xdr:rowOff>
    </xdr:from>
    <xdr:ext cx="898071" cy="1079386"/>
    <xdr:pic>
      <xdr:nvPicPr>
        <xdr:cNvPr id="133" name="Imagen 132">
          <a:extLst>
            <a:ext uri="{FF2B5EF4-FFF2-40B4-BE49-F238E27FC236}">
              <a16:creationId xmlns:a16="http://schemas.microsoft.com/office/drawing/2014/main" id="{6E1A9153-2B13-4642-B4CD-FA8FE381A81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35125" y="6953250"/>
          <a:ext cx="898071" cy="1079386"/>
        </a:xfrm>
        <a:prstGeom prst="rect">
          <a:avLst/>
        </a:prstGeom>
      </xdr:spPr>
    </xdr:pic>
    <xdr:clientData/>
  </xdr:oneCellAnchor>
  <xdr:oneCellAnchor>
    <xdr:from>
      <xdr:col>6</xdr:col>
      <xdr:colOff>0</xdr:colOff>
      <xdr:row>149</xdr:row>
      <xdr:rowOff>0</xdr:rowOff>
    </xdr:from>
    <xdr:ext cx="114300" cy="200025"/>
    <xdr:sp macro="" textlink="">
      <xdr:nvSpPr>
        <xdr:cNvPr id="134" name="Shape 3">
          <a:extLst>
            <a:ext uri="{FF2B5EF4-FFF2-40B4-BE49-F238E27FC236}">
              <a16:creationId xmlns:a16="http://schemas.microsoft.com/office/drawing/2014/main" id="{23086808-3ABB-40F7-9A77-4AB944957A1E}"/>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149</xdr:row>
      <xdr:rowOff>0</xdr:rowOff>
    </xdr:from>
    <xdr:ext cx="114300" cy="200025"/>
    <xdr:sp macro="" textlink="">
      <xdr:nvSpPr>
        <xdr:cNvPr id="135" name="Shape 3">
          <a:extLst>
            <a:ext uri="{FF2B5EF4-FFF2-40B4-BE49-F238E27FC236}">
              <a16:creationId xmlns:a16="http://schemas.microsoft.com/office/drawing/2014/main" id="{26505C72-4C68-401D-B990-BC586AB58877}"/>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149</xdr:row>
      <xdr:rowOff>0</xdr:rowOff>
    </xdr:from>
    <xdr:ext cx="114300" cy="200025"/>
    <xdr:sp macro="" textlink="">
      <xdr:nvSpPr>
        <xdr:cNvPr id="136" name="Shape 3">
          <a:extLst>
            <a:ext uri="{FF2B5EF4-FFF2-40B4-BE49-F238E27FC236}">
              <a16:creationId xmlns:a16="http://schemas.microsoft.com/office/drawing/2014/main" id="{F48D36BF-20CA-4EB5-82C1-F4553B0F471F}"/>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492125</xdr:colOff>
      <xdr:row>143</xdr:row>
      <xdr:rowOff>142875</xdr:rowOff>
    </xdr:from>
    <xdr:ext cx="898071" cy="1079386"/>
    <xdr:pic>
      <xdr:nvPicPr>
        <xdr:cNvPr id="137" name="Imagen 136">
          <a:extLst>
            <a:ext uri="{FF2B5EF4-FFF2-40B4-BE49-F238E27FC236}">
              <a16:creationId xmlns:a16="http://schemas.microsoft.com/office/drawing/2014/main" id="{DF7B842C-DDF3-4F25-86F3-18A0E135135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35125" y="6953250"/>
          <a:ext cx="898071" cy="1079386"/>
        </a:xfrm>
        <a:prstGeom prst="rect">
          <a:avLst/>
        </a:prstGeom>
      </xdr:spPr>
    </xdr:pic>
    <xdr:clientData/>
  </xdr:oneCellAnchor>
  <xdr:oneCellAnchor>
    <xdr:from>
      <xdr:col>6</xdr:col>
      <xdr:colOff>0</xdr:colOff>
      <xdr:row>178</xdr:row>
      <xdr:rowOff>0</xdr:rowOff>
    </xdr:from>
    <xdr:ext cx="114300" cy="200025"/>
    <xdr:sp macro="" textlink="">
      <xdr:nvSpPr>
        <xdr:cNvPr id="138" name="Shape 3">
          <a:extLst>
            <a:ext uri="{FF2B5EF4-FFF2-40B4-BE49-F238E27FC236}">
              <a16:creationId xmlns:a16="http://schemas.microsoft.com/office/drawing/2014/main" id="{CB44DB10-F0F0-4409-8840-C3D9CAB7708A}"/>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178</xdr:row>
      <xdr:rowOff>0</xdr:rowOff>
    </xdr:from>
    <xdr:ext cx="114300" cy="200025"/>
    <xdr:sp macro="" textlink="">
      <xdr:nvSpPr>
        <xdr:cNvPr id="139" name="Shape 3">
          <a:extLst>
            <a:ext uri="{FF2B5EF4-FFF2-40B4-BE49-F238E27FC236}">
              <a16:creationId xmlns:a16="http://schemas.microsoft.com/office/drawing/2014/main" id="{C70C3280-DB47-4F9B-AE11-8EA45B18C454}"/>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178</xdr:row>
      <xdr:rowOff>0</xdr:rowOff>
    </xdr:from>
    <xdr:ext cx="114300" cy="200025"/>
    <xdr:sp macro="" textlink="">
      <xdr:nvSpPr>
        <xdr:cNvPr id="140" name="Shape 3">
          <a:extLst>
            <a:ext uri="{FF2B5EF4-FFF2-40B4-BE49-F238E27FC236}">
              <a16:creationId xmlns:a16="http://schemas.microsoft.com/office/drawing/2014/main" id="{F418F54B-1360-46B8-A27A-8C8EAE2E69FB}"/>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178</xdr:row>
      <xdr:rowOff>0</xdr:rowOff>
    </xdr:from>
    <xdr:ext cx="114300" cy="200025"/>
    <xdr:sp macro="" textlink="">
      <xdr:nvSpPr>
        <xdr:cNvPr id="141" name="Shape 3">
          <a:extLst>
            <a:ext uri="{FF2B5EF4-FFF2-40B4-BE49-F238E27FC236}">
              <a16:creationId xmlns:a16="http://schemas.microsoft.com/office/drawing/2014/main" id="{E4CECC34-668D-4C45-A645-B352176B03A6}"/>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178</xdr:row>
      <xdr:rowOff>0</xdr:rowOff>
    </xdr:from>
    <xdr:ext cx="114300" cy="200025"/>
    <xdr:sp macro="" textlink="">
      <xdr:nvSpPr>
        <xdr:cNvPr id="142" name="Shape 3">
          <a:extLst>
            <a:ext uri="{FF2B5EF4-FFF2-40B4-BE49-F238E27FC236}">
              <a16:creationId xmlns:a16="http://schemas.microsoft.com/office/drawing/2014/main" id="{3F667A33-7F5C-4895-B08A-64C3E53F890A}"/>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492125</xdr:colOff>
      <xdr:row>172</xdr:row>
      <xdr:rowOff>142875</xdr:rowOff>
    </xdr:from>
    <xdr:ext cx="898071" cy="1079386"/>
    <xdr:pic>
      <xdr:nvPicPr>
        <xdr:cNvPr id="143" name="Imagen 142">
          <a:extLst>
            <a:ext uri="{FF2B5EF4-FFF2-40B4-BE49-F238E27FC236}">
              <a16:creationId xmlns:a16="http://schemas.microsoft.com/office/drawing/2014/main" id="{00F88BA2-2285-4D0D-9C96-1C90F1F8DD3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35125" y="6953250"/>
          <a:ext cx="898071" cy="1079386"/>
        </a:xfrm>
        <a:prstGeom prst="rect">
          <a:avLst/>
        </a:prstGeom>
      </xdr:spPr>
    </xdr:pic>
    <xdr:clientData/>
  </xdr:oneCellAnchor>
  <xdr:oneCellAnchor>
    <xdr:from>
      <xdr:col>6</xdr:col>
      <xdr:colOff>0</xdr:colOff>
      <xdr:row>178</xdr:row>
      <xdr:rowOff>0</xdr:rowOff>
    </xdr:from>
    <xdr:ext cx="114300" cy="200025"/>
    <xdr:sp macro="" textlink="">
      <xdr:nvSpPr>
        <xdr:cNvPr id="144" name="Shape 3">
          <a:extLst>
            <a:ext uri="{FF2B5EF4-FFF2-40B4-BE49-F238E27FC236}">
              <a16:creationId xmlns:a16="http://schemas.microsoft.com/office/drawing/2014/main" id="{25C96292-2D31-4950-9C33-8F958417AEC7}"/>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178</xdr:row>
      <xdr:rowOff>0</xdr:rowOff>
    </xdr:from>
    <xdr:ext cx="114300" cy="200025"/>
    <xdr:sp macro="" textlink="">
      <xdr:nvSpPr>
        <xdr:cNvPr id="145" name="Shape 3">
          <a:extLst>
            <a:ext uri="{FF2B5EF4-FFF2-40B4-BE49-F238E27FC236}">
              <a16:creationId xmlns:a16="http://schemas.microsoft.com/office/drawing/2014/main" id="{CCF30835-AB5E-4017-9391-98C794B38CD2}"/>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178</xdr:row>
      <xdr:rowOff>0</xdr:rowOff>
    </xdr:from>
    <xdr:ext cx="114300" cy="200025"/>
    <xdr:sp macro="" textlink="">
      <xdr:nvSpPr>
        <xdr:cNvPr id="146" name="Shape 3">
          <a:extLst>
            <a:ext uri="{FF2B5EF4-FFF2-40B4-BE49-F238E27FC236}">
              <a16:creationId xmlns:a16="http://schemas.microsoft.com/office/drawing/2014/main" id="{48D78746-0C2D-449D-A5E1-963ED2FBA696}"/>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492125</xdr:colOff>
      <xdr:row>172</xdr:row>
      <xdr:rowOff>142875</xdr:rowOff>
    </xdr:from>
    <xdr:ext cx="898071" cy="1079386"/>
    <xdr:pic>
      <xdr:nvPicPr>
        <xdr:cNvPr id="147" name="Imagen 146">
          <a:extLst>
            <a:ext uri="{FF2B5EF4-FFF2-40B4-BE49-F238E27FC236}">
              <a16:creationId xmlns:a16="http://schemas.microsoft.com/office/drawing/2014/main" id="{B1B03F0D-DB07-4438-9294-1FADC6B6B38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35125" y="6953250"/>
          <a:ext cx="898071" cy="1079386"/>
        </a:xfrm>
        <a:prstGeom prst="rect">
          <a:avLst/>
        </a:prstGeom>
      </xdr:spPr>
    </xdr:pic>
    <xdr:clientData/>
  </xdr:oneCellAnchor>
  <xdr:oneCellAnchor>
    <xdr:from>
      <xdr:col>6</xdr:col>
      <xdr:colOff>0</xdr:colOff>
      <xdr:row>206</xdr:row>
      <xdr:rowOff>0</xdr:rowOff>
    </xdr:from>
    <xdr:ext cx="114300" cy="200025"/>
    <xdr:sp macro="" textlink="">
      <xdr:nvSpPr>
        <xdr:cNvPr id="148" name="Shape 3">
          <a:extLst>
            <a:ext uri="{FF2B5EF4-FFF2-40B4-BE49-F238E27FC236}">
              <a16:creationId xmlns:a16="http://schemas.microsoft.com/office/drawing/2014/main" id="{3FF0E4F9-3D9B-45E6-A7EF-35C10DA9DF28}"/>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206</xdr:row>
      <xdr:rowOff>0</xdr:rowOff>
    </xdr:from>
    <xdr:ext cx="114300" cy="200025"/>
    <xdr:sp macro="" textlink="">
      <xdr:nvSpPr>
        <xdr:cNvPr id="149" name="Shape 3">
          <a:extLst>
            <a:ext uri="{FF2B5EF4-FFF2-40B4-BE49-F238E27FC236}">
              <a16:creationId xmlns:a16="http://schemas.microsoft.com/office/drawing/2014/main" id="{B697669F-C3C8-4214-B851-373F8F661FFF}"/>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206</xdr:row>
      <xdr:rowOff>0</xdr:rowOff>
    </xdr:from>
    <xdr:ext cx="114300" cy="200025"/>
    <xdr:sp macro="" textlink="">
      <xdr:nvSpPr>
        <xdr:cNvPr id="150" name="Shape 3">
          <a:extLst>
            <a:ext uri="{FF2B5EF4-FFF2-40B4-BE49-F238E27FC236}">
              <a16:creationId xmlns:a16="http://schemas.microsoft.com/office/drawing/2014/main" id="{68E17064-A2E1-424D-BEA6-DCC84FC385DF}"/>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206</xdr:row>
      <xdr:rowOff>0</xdr:rowOff>
    </xdr:from>
    <xdr:ext cx="114300" cy="200025"/>
    <xdr:sp macro="" textlink="">
      <xdr:nvSpPr>
        <xdr:cNvPr id="151" name="Shape 3">
          <a:extLst>
            <a:ext uri="{FF2B5EF4-FFF2-40B4-BE49-F238E27FC236}">
              <a16:creationId xmlns:a16="http://schemas.microsoft.com/office/drawing/2014/main" id="{11DBD806-8B5C-4417-80C0-3563D5953B07}"/>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206</xdr:row>
      <xdr:rowOff>0</xdr:rowOff>
    </xdr:from>
    <xdr:ext cx="114300" cy="200025"/>
    <xdr:sp macro="" textlink="">
      <xdr:nvSpPr>
        <xdr:cNvPr id="152" name="Shape 3">
          <a:extLst>
            <a:ext uri="{FF2B5EF4-FFF2-40B4-BE49-F238E27FC236}">
              <a16:creationId xmlns:a16="http://schemas.microsoft.com/office/drawing/2014/main" id="{18041BD0-7887-456A-95B0-834713BD4783}"/>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492125</xdr:colOff>
      <xdr:row>200</xdr:row>
      <xdr:rowOff>142875</xdr:rowOff>
    </xdr:from>
    <xdr:ext cx="898071" cy="1079386"/>
    <xdr:pic>
      <xdr:nvPicPr>
        <xdr:cNvPr id="153" name="Imagen 152">
          <a:extLst>
            <a:ext uri="{FF2B5EF4-FFF2-40B4-BE49-F238E27FC236}">
              <a16:creationId xmlns:a16="http://schemas.microsoft.com/office/drawing/2014/main" id="{42605A96-DED3-4CE4-AEDA-72692C5F08F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35125" y="6953250"/>
          <a:ext cx="898071" cy="1079386"/>
        </a:xfrm>
        <a:prstGeom prst="rect">
          <a:avLst/>
        </a:prstGeom>
      </xdr:spPr>
    </xdr:pic>
    <xdr:clientData/>
  </xdr:oneCellAnchor>
  <xdr:oneCellAnchor>
    <xdr:from>
      <xdr:col>6</xdr:col>
      <xdr:colOff>0</xdr:colOff>
      <xdr:row>206</xdr:row>
      <xdr:rowOff>0</xdr:rowOff>
    </xdr:from>
    <xdr:ext cx="114300" cy="200025"/>
    <xdr:sp macro="" textlink="">
      <xdr:nvSpPr>
        <xdr:cNvPr id="154" name="Shape 3">
          <a:extLst>
            <a:ext uri="{FF2B5EF4-FFF2-40B4-BE49-F238E27FC236}">
              <a16:creationId xmlns:a16="http://schemas.microsoft.com/office/drawing/2014/main" id="{31F0AD69-7492-45EA-9D3A-4BD43FE27868}"/>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206</xdr:row>
      <xdr:rowOff>0</xdr:rowOff>
    </xdr:from>
    <xdr:ext cx="114300" cy="200025"/>
    <xdr:sp macro="" textlink="">
      <xdr:nvSpPr>
        <xdr:cNvPr id="155" name="Shape 3">
          <a:extLst>
            <a:ext uri="{FF2B5EF4-FFF2-40B4-BE49-F238E27FC236}">
              <a16:creationId xmlns:a16="http://schemas.microsoft.com/office/drawing/2014/main" id="{94CB0F0A-DE07-442A-BD29-BDCC1BB37CB5}"/>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206</xdr:row>
      <xdr:rowOff>0</xdr:rowOff>
    </xdr:from>
    <xdr:ext cx="114300" cy="200025"/>
    <xdr:sp macro="" textlink="">
      <xdr:nvSpPr>
        <xdr:cNvPr id="156" name="Shape 3">
          <a:extLst>
            <a:ext uri="{FF2B5EF4-FFF2-40B4-BE49-F238E27FC236}">
              <a16:creationId xmlns:a16="http://schemas.microsoft.com/office/drawing/2014/main" id="{002F6F12-736E-4E7D-AFA1-B127679B8997}"/>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492125</xdr:colOff>
      <xdr:row>200</xdr:row>
      <xdr:rowOff>142875</xdr:rowOff>
    </xdr:from>
    <xdr:ext cx="898071" cy="1079386"/>
    <xdr:pic>
      <xdr:nvPicPr>
        <xdr:cNvPr id="157" name="Imagen 156">
          <a:extLst>
            <a:ext uri="{FF2B5EF4-FFF2-40B4-BE49-F238E27FC236}">
              <a16:creationId xmlns:a16="http://schemas.microsoft.com/office/drawing/2014/main" id="{FD20ABE4-AD0D-40D1-BFF9-7C91372AAE8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35125" y="6953250"/>
          <a:ext cx="898071" cy="1079386"/>
        </a:xfrm>
        <a:prstGeom prst="rect">
          <a:avLst/>
        </a:prstGeom>
      </xdr:spPr>
    </xdr:pic>
    <xdr:clientData/>
  </xdr:oneCellAnchor>
  <xdr:oneCellAnchor>
    <xdr:from>
      <xdr:col>6</xdr:col>
      <xdr:colOff>0</xdr:colOff>
      <xdr:row>228</xdr:row>
      <xdr:rowOff>0</xdr:rowOff>
    </xdr:from>
    <xdr:ext cx="114300" cy="200025"/>
    <xdr:sp macro="" textlink="">
      <xdr:nvSpPr>
        <xdr:cNvPr id="158" name="Shape 3">
          <a:extLst>
            <a:ext uri="{FF2B5EF4-FFF2-40B4-BE49-F238E27FC236}">
              <a16:creationId xmlns:a16="http://schemas.microsoft.com/office/drawing/2014/main" id="{E46ABD2B-D63F-4F07-B894-493CB7B9FFE8}"/>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159" name="Shape 3">
          <a:extLst>
            <a:ext uri="{FF2B5EF4-FFF2-40B4-BE49-F238E27FC236}">
              <a16:creationId xmlns:a16="http://schemas.microsoft.com/office/drawing/2014/main" id="{C45110E7-F982-485E-AB65-418F91454B69}"/>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160" name="Shape 3">
          <a:extLst>
            <a:ext uri="{FF2B5EF4-FFF2-40B4-BE49-F238E27FC236}">
              <a16:creationId xmlns:a16="http://schemas.microsoft.com/office/drawing/2014/main" id="{52E63979-8AC5-4685-8ED4-E63C04C785BA}"/>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161" name="Shape 3">
          <a:extLst>
            <a:ext uri="{FF2B5EF4-FFF2-40B4-BE49-F238E27FC236}">
              <a16:creationId xmlns:a16="http://schemas.microsoft.com/office/drawing/2014/main" id="{E7D06216-39AE-4E71-908F-D96B9B97392F}"/>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162" name="Shape 3">
          <a:extLst>
            <a:ext uri="{FF2B5EF4-FFF2-40B4-BE49-F238E27FC236}">
              <a16:creationId xmlns:a16="http://schemas.microsoft.com/office/drawing/2014/main" id="{EE5C9CEF-1B12-499D-980D-27D4732665F9}"/>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164" name="Shape 3">
          <a:extLst>
            <a:ext uri="{FF2B5EF4-FFF2-40B4-BE49-F238E27FC236}">
              <a16:creationId xmlns:a16="http://schemas.microsoft.com/office/drawing/2014/main" id="{0EEB29AC-AEB9-418E-9A7C-1D576BD4017E}"/>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165" name="Shape 3">
          <a:extLst>
            <a:ext uri="{FF2B5EF4-FFF2-40B4-BE49-F238E27FC236}">
              <a16:creationId xmlns:a16="http://schemas.microsoft.com/office/drawing/2014/main" id="{D8756703-8D54-450C-B176-481ABF6504F4}"/>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166" name="Shape 3">
          <a:extLst>
            <a:ext uri="{FF2B5EF4-FFF2-40B4-BE49-F238E27FC236}">
              <a16:creationId xmlns:a16="http://schemas.microsoft.com/office/drawing/2014/main" id="{CCD1D17B-B7FC-4A0B-B34D-4C939B0EF9CF}"/>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168" name="Shape 3">
          <a:extLst>
            <a:ext uri="{FF2B5EF4-FFF2-40B4-BE49-F238E27FC236}">
              <a16:creationId xmlns:a16="http://schemas.microsoft.com/office/drawing/2014/main" id="{A4E941A7-442F-4FA2-98C2-3934A44FF716}"/>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169" name="Shape 3">
          <a:extLst>
            <a:ext uri="{FF2B5EF4-FFF2-40B4-BE49-F238E27FC236}">
              <a16:creationId xmlns:a16="http://schemas.microsoft.com/office/drawing/2014/main" id="{18FC0F3F-3A46-4400-919B-88B2B6886D1F}"/>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170" name="Shape 3">
          <a:extLst>
            <a:ext uri="{FF2B5EF4-FFF2-40B4-BE49-F238E27FC236}">
              <a16:creationId xmlns:a16="http://schemas.microsoft.com/office/drawing/2014/main" id="{F358DCD1-AAF3-414B-8424-840BF4961045}"/>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171" name="Shape 3">
          <a:extLst>
            <a:ext uri="{FF2B5EF4-FFF2-40B4-BE49-F238E27FC236}">
              <a16:creationId xmlns:a16="http://schemas.microsoft.com/office/drawing/2014/main" id="{C36C9DDB-81B2-4479-B11A-0E9645898859}"/>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172" name="Shape 3">
          <a:extLst>
            <a:ext uri="{FF2B5EF4-FFF2-40B4-BE49-F238E27FC236}">
              <a16:creationId xmlns:a16="http://schemas.microsoft.com/office/drawing/2014/main" id="{B3B62598-4C37-43D4-9811-7BEFD192A43B}"/>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174" name="Shape 3">
          <a:extLst>
            <a:ext uri="{FF2B5EF4-FFF2-40B4-BE49-F238E27FC236}">
              <a16:creationId xmlns:a16="http://schemas.microsoft.com/office/drawing/2014/main" id="{6095D04C-4DEA-4268-B7F9-3F1BC1280FB0}"/>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175" name="Shape 3">
          <a:extLst>
            <a:ext uri="{FF2B5EF4-FFF2-40B4-BE49-F238E27FC236}">
              <a16:creationId xmlns:a16="http://schemas.microsoft.com/office/drawing/2014/main" id="{04BE352C-3C53-441C-AF80-A4E8C288CE45}"/>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176" name="Shape 3">
          <a:extLst>
            <a:ext uri="{FF2B5EF4-FFF2-40B4-BE49-F238E27FC236}">
              <a16:creationId xmlns:a16="http://schemas.microsoft.com/office/drawing/2014/main" id="{B2C1F156-0541-4E0A-99D0-F14DD0E8D2EC}"/>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178" name="Shape 3">
          <a:extLst>
            <a:ext uri="{FF2B5EF4-FFF2-40B4-BE49-F238E27FC236}">
              <a16:creationId xmlns:a16="http://schemas.microsoft.com/office/drawing/2014/main" id="{A6CD9D2D-0DB9-4CC5-AA91-9508FE9C4CB2}"/>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179" name="Shape 3">
          <a:extLst>
            <a:ext uri="{FF2B5EF4-FFF2-40B4-BE49-F238E27FC236}">
              <a16:creationId xmlns:a16="http://schemas.microsoft.com/office/drawing/2014/main" id="{186FDCCB-14B3-4BF2-927B-C64D203B9D20}"/>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180" name="Shape 3">
          <a:extLst>
            <a:ext uri="{FF2B5EF4-FFF2-40B4-BE49-F238E27FC236}">
              <a16:creationId xmlns:a16="http://schemas.microsoft.com/office/drawing/2014/main" id="{76D4290F-235D-4BCF-8888-31257FF052BF}"/>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181" name="Shape 3">
          <a:extLst>
            <a:ext uri="{FF2B5EF4-FFF2-40B4-BE49-F238E27FC236}">
              <a16:creationId xmlns:a16="http://schemas.microsoft.com/office/drawing/2014/main" id="{A481C282-6E05-48F5-8F3D-F7E85A639254}"/>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182" name="Shape 3">
          <a:extLst>
            <a:ext uri="{FF2B5EF4-FFF2-40B4-BE49-F238E27FC236}">
              <a16:creationId xmlns:a16="http://schemas.microsoft.com/office/drawing/2014/main" id="{78441BED-055C-4755-A59B-321B8CF09824}"/>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184" name="Shape 3">
          <a:extLst>
            <a:ext uri="{FF2B5EF4-FFF2-40B4-BE49-F238E27FC236}">
              <a16:creationId xmlns:a16="http://schemas.microsoft.com/office/drawing/2014/main" id="{1FB56276-72EF-4D34-872E-D33EC458BE1E}"/>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185" name="Shape 3">
          <a:extLst>
            <a:ext uri="{FF2B5EF4-FFF2-40B4-BE49-F238E27FC236}">
              <a16:creationId xmlns:a16="http://schemas.microsoft.com/office/drawing/2014/main" id="{DBB6AA2C-0748-4896-9A2F-B8B56D51C0FE}"/>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186" name="Shape 3">
          <a:extLst>
            <a:ext uri="{FF2B5EF4-FFF2-40B4-BE49-F238E27FC236}">
              <a16:creationId xmlns:a16="http://schemas.microsoft.com/office/drawing/2014/main" id="{2226D0C8-BB94-4412-B54C-832A4966B33B}"/>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188" name="Shape 3">
          <a:extLst>
            <a:ext uri="{FF2B5EF4-FFF2-40B4-BE49-F238E27FC236}">
              <a16:creationId xmlns:a16="http://schemas.microsoft.com/office/drawing/2014/main" id="{FE1B919D-C71C-4716-9905-510E5036219C}"/>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189" name="Shape 3">
          <a:extLst>
            <a:ext uri="{FF2B5EF4-FFF2-40B4-BE49-F238E27FC236}">
              <a16:creationId xmlns:a16="http://schemas.microsoft.com/office/drawing/2014/main" id="{74433696-24B3-4F4D-B1DC-2CFAB31E87EA}"/>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190" name="Shape 3">
          <a:extLst>
            <a:ext uri="{FF2B5EF4-FFF2-40B4-BE49-F238E27FC236}">
              <a16:creationId xmlns:a16="http://schemas.microsoft.com/office/drawing/2014/main" id="{2E50D398-2D8B-4A7D-A279-C13C8105C3AD}"/>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191" name="Shape 3">
          <a:extLst>
            <a:ext uri="{FF2B5EF4-FFF2-40B4-BE49-F238E27FC236}">
              <a16:creationId xmlns:a16="http://schemas.microsoft.com/office/drawing/2014/main" id="{361598C7-E3FC-4FA5-A8B3-C5CB49E74458}"/>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192" name="Shape 3">
          <a:extLst>
            <a:ext uri="{FF2B5EF4-FFF2-40B4-BE49-F238E27FC236}">
              <a16:creationId xmlns:a16="http://schemas.microsoft.com/office/drawing/2014/main" id="{74E782FB-8B29-42C9-80C3-515150213357}"/>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194" name="Shape 3">
          <a:extLst>
            <a:ext uri="{FF2B5EF4-FFF2-40B4-BE49-F238E27FC236}">
              <a16:creationId xmlns:a16="http://schemas.microsoft.com/office/drawing/2014/main" id="{D4F1450F-CA85-4CE7-AC15-40AC900352C0}"/>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195" name="Shape 3">
          <a:extLst>
            <a:ext uri="{FF2B5EF4-FFF2-40B4-BE49-F238E27FC236}">
              <a16:creationId xmlns:a16="http://schemas.microsoft.com/office/drawing/2014/main" id="{F9C41B2B-DCD0-4577-9BE7-49DEB60D144D}"/>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196" name="Shape 3">
          <a:extLst>
            <a:ext uri="{FF2B5EF4-FFF2-40B4-BE49-F238E27FC236}">
              <a16:creationId xmlns:a16="http://schemas.microsoft.com/office/drawing/2014/main" id="{C371A1FB-B62E-4696-A43D-653FFFDC7F54}"/>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198" name="Shape 3">
          <a:extLst>
            <a:ext uri="{FF2B5EF4-FFF2-40B4-BE49-F238E27FC236}">
              <a16:creationId xmlns:a16="http://schemas.microsoft.com/office/drawing/2014/main" id="{A0B59C43-57CA-4C81-9742-A4015567CC39}"/>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199" name="Shape 3">
          <a:extLst>
            <a:ext uri="{FF2B5EF4-FFF2-40B4-BE49-F238E27FC236}">
              <a16:creationId xmlns:a16="http://schemas.microsoft.com/office/drawing/2014/main" id="{4D107D4F-2EB6-4494-AA2A-522ED6062493}"/>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200" name="Shape 3">
          <a:extLst>
            <a:ext uri="{FF2B5EF4-FFF2-40B4-BE49-F238E27FC236}">
              <a16:creationId xmlns:a16="http://schemas.microsoft.com/office/drawing/2014/main" id="{E7A34C1E-D3DC-4C2F-836C-2FB55EAB35EF}"/>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201" name="Shape 3">
          <a:extLst>
            <a:ext uri="{FF2B5EF4-FFF2-40B4-BE49-F238E27FC236}">
              <a16:creationId xmlns:a16="http://schemas.microsoft.com/office/drawing/2014/main" id="{C6C2F27B-69C9-4BEE-A9C1-F507BB7004A4}"/>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202" name="Shape 3">
          <a:extLst>
            <a:ext uri="{FF2B5EF4-FFF2-40B4-BE49-F238E27FC236}">
              <a16:creationId xmlns:a16="http://schemas.microsoft.com/office/drawing/2014/main" id="{76B023A4-5379-460A-AFDE-1DEAEF7A95B3}"/>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204" name="Shape 3">
          <a:extLst>
            <a:ext uri="{FF2B5EF4-FFF2-40B4-BE49-F238E27FC236}">
              <a16:creationId xmlns:a16="http://schemas.microsoft.com/office/drawing/2014/main" id="{8F7D81BE-20DE-4752-AF63-40CD1A0D202A}"/>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205" name="Shape 3">
          <a:extLst>
            <a:ext uri="{FF2B5EF4-FFF2-40B4-BE49-F238E27FC236}">
              <a16:creationId xmlns:a16="http://schemas.microsoft.com/office/drawing/2014/main" id="{22A80AF2-69F7-49A0-A32A-B01603BE0B89}"/>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206" name="Shape 3">
          <a:extLst>
            <a:ext uri="{FF2B5EF4-FFF2-40B4-BE49-F238E27FC236}">
              <a16:creationId xmlns:a16="http://schemas.microsoft.com/office/drawing/2014/main" id="{2DA873CB-4EEF-46FE-935A-7CEE94D64883}"/>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208" name="Shape 3">
          <a:extLst>
            <a:ext uri="{FF2B5EF4-FFF2-40B4-BE49-F238E27FC236}">
              <a16:creationId xmlns:a16="http://schemas.microsoft.com/office/drawing/2014/main" id="{140272BF-7E4E-4368-AF46-29E91C1B8962}"/>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209" name="Shape 3">
          <a:extLst>
            <a:ext uri="{FF2B5EF4-FFF2-40B4-BE49-F238E27FC236}">
              <a16:creationId xmlns:a16="http://schemas.microsoft.com/office/drawing/2014/main" id="{BBEA90DB-8A74-41DF-AE3F-EB50B75C08B6}"/>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210" name="Shape 3">
          <a:extLst>
            <a:ext uri="{FF2B5EF4-FFF2-40B4-BE49-F238E27FC236}">
              <a16:creationId xmlns:a16="http://schemas.microsoft.com/office/drawing/2014/main" id="{82BAA549-683D-4BC7-A9E8-D8998236FA81}"/>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211" name="Shape 3">
          <a:extLst>
            <a:ext uri="{FF2B5EF4-FFF2-40B4-BE49-F238E27FC236}">
              <a16:creationId xmlns:a16="http://schemas.microsoft.com/office/drawing/2014/main" id="{47F03898-16F2-4DFD-A601-80D96A221780}"/>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212" name="Shape 3">
          <a:extLst>
            <a:ext uri="{FF2B5EF4-FFF2-40B4-BE49-F238E27FC236}">
              <a16:creationId xmlns:a16="http://schemas.microsoft.com/office/drawing/2014/main" id="{787E25D7-7793-4A5C-830F-527C19F5F3EC}"/>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214" name="Shape 3">
          <a:extLst>
            <a:ext uri="{FF2B5EF4-FFF2-40B4-BE49-F238E27FC236}">
              <a16:creationId xmlns:a16="http://schemas.microsoft.com/office/drawing/2014/main" id="{CEB0DA88-B150-4A4D-80D6-B97FA0DFC76B}"/>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215" name="Shape 3">
          <a:extLst>
            <a:ext uri="{FF2B5EF4-FFF2-40B4-BE49-F238E27FC236}">
              <a16:creationId xmlns:a16="http://schemas.microsoft.com/office/drawing/2014/main" id="{0412FBBF-4FA6-474D-81DE-4E024462F1EA}"/>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216" name="Shape 3">
          <a:extLst>
            <a:ext uri="{FF2B5EF4-FFF2-40B4-BE49-F238E27FC236}">
              <a16:creationId xmlns:a16="http://schemas.microsoft.com/office/drawing/2014/main" id="{DB210A55-0566-42C0-B402-566A677AFF4B}"/>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218" name="Shape 3">
          <a:extLst>
            <a:ext uri="{FF2B5EF4-FFF2-40B4-BE49-F238E27FC236}">
              <a16:creationId xmlns:a16="http://schemas.microsoft.com/office/drawing/2014/main" id="{B45DA92C-20BD-4AAB-881A-A5E6D7601AAC}"/>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219" name="Shape 3">
          <a:extLst>
            <a:ext uri="{FF2B5EF4-FFF2-40B4-BE49-F238E27FC236}">
              <a16:creationId xmlns:a16="http://schemas.microsoft.com/office/drawing/2014/main" id="{21D176D1-6C3C-4A23-9908-403109F4F4DC}"/>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220" name="Shape 3">
          <a:extLst>
            <a:ext uri="{FF2B5EF4-FFF2-40B4-BE49-F238E27FC236}">
              <a16:creationId xmlns:a16="http://schemas.microsoft.com/office/drawing/2014/main" id="{32AA33BD-ECDE-4395-BF2F-AD026DDA98AC}"/>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221" name="Shape 3">
          <a:extLst>
            <a:ext uri="{FF2B5EF4-FFF2-40B4-BE49-F238E27FC236}">
              <a16:creationId xmlns:a16="http://schemas.microsoft.com/office/drawing/2014/main" id="{E252BA61-08F0-4C0E-91A7-41C7C3C97191}"/>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222" name="Shape 3">
          <a:extLst>
            <a:ext uri="{FF2B5EF4-FFF2-40B4-BE49-F238E27FC236}">
              <a16:creationId xmlns:a16="http://schemas.microsoft.com/office/drawing/2014/main" id="{687A1767-04D2-4DD0-ABB3-C6F346D5B293}"/>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224" name="Shape 3">
          <a:extLst>
            <a:ext uri="{FF2B5EF4-FFF2-40B4-BE49-F238E27FC236}">
              <a16:creationId xmlns:a16="http://schemas.microsoft.com/office/drawing/2014/main" id="{0E4B3992-B684-4517-A0B5-48636F30F257}"/>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225" name="Shape 3">
          <a:extLst>
            <a:ext uri="{FF2B5EF4-FFF2-40B4-BE49-F238E27FC236}">
              <a16:creationId xmlns:a16="http://schemas.microsoft.com/office/drawing/2014/main" id="{4867B8FA-52DE-4AF3-B12C-AB2C49D97EA8}"/>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226" name="Shape 3">
          <a:extLst>
            <a:ext uri="{FF2B5EF4-FFF2-40B4-BE49-F238E27FC236}">
              <a16:creationId xmlns:a16="http://schemas.microsoft.com/office/drawing/2014/main" id="{A0EEE27C-D838-49C8-8772-768C7FDAB52C}"/>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228" name="Shape 3">
          <a:extLst>
            <a:ext uri="{FF2B5EF4-FFF2-40B4-BE49-F238E27FC236}">
              <a16:creationId xmlns:a16="http://schemas.microsoft.com/office/drawing/2014/main" id="{C13D327C-F4A0-4BD1-B37A-024023800912}"/>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229" name="Shape 3">
          <a:extLst>
            <a:ext uri="{FF2B5EF4-FFF2-40B4-BE49-F238E27FC236}">
              <a16:creationId xmlns:a16="http://schemas.microsoft.com/office/drawing/2014/main" id="{9C6CD63F-E9F1-4BC6-894B-6DF6F64A31C4}"/>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230" name="Shape 3">
          <a:extLst>
            <a:ext uri="{FF2B5EF4-FFF2-40B4-BE49-F238E27FC236}">
              <a16:creationId xmlns:a16="http://schemas.microsoft.com/office/drawing/2014/main" id="{22710A8A-4301-4492-B499-F36C43467904}"/>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231" name="Shape 3">
          <a:extLst>
            <a:ext uri="{FF2B5EF4-FFF2-40B4-BE49-F238E27FC236}">
              <a16:creationId xmlns:a16="http://schemas.microsoft.com/office/drawing/2014/main" id="{741F742A-14E4-481E-8A9D-EEA6A009241B}"/>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232" name="Shape 3">
          <a:extLst>
            <a:ext uri="{FF2B5EF4-FFF2-40B4-BE49-F238E27FC236}">
              <a16:creationId xmlns:a16="http://schemas.microsoft.com/office/drawing/2014/main" id="{97F84D4D-EA18-4EA8-9BDC-ACC6D52579BB}"/>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234" name="Shape 3">
          <a:extLst>
            <a:ext uri="{FF2B5EF4-FFF2-40B4-BE49-F238E27FC236}">
              <a16:creationId xmlns:a16="http://schemas.microsoft.com/office/drawing/2014/main" id="{4713CB54-4A7B-4816-8956-24DDC07CB8AE}"/>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235" name="Shape 3">
          <a:extLst>
            <a:ext uri="{FF2B5EF4-FFF2-40B4-BE49-F238E27FC236}">
              <a16:creationId xmlns:a16="http://schemas.microsoft.com/office/drawing/2014/main" id="{5AC3E6B3-0AEF-41FE-A522-A791577B4AE8}"/>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236" name="Shape 3">
          <a:extLst>
            <a:ext uri="{FF2B5EF4-FFF2-40B4-BE49-F238E27FC236}">
              <a16:creationId xmlns:a16="http://schemas.microsoft.com/office/drawing/2014/main" id="{C1181144-77A8-4251-A18B-0E6055468081}"/>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238" name="Shape 3">
          <a:extLst>
            <a:ext uri="{FF2B5EF4-FFF2-40B4-BE49-F238E27FC236}">
              <a16:creationId xmlns:a16="http://schemas.microsoft.com/office/drawing/2014/main" id="{A9CD005D-39F9-449D-918F-E712130C51D7}"/>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239" name="Shape 3">
          <a:extLst>
            <a:ext uri="{FF2B5EF4-FFF2-40B4-BE49-F238E27FC236}">
              <a16:creationId xmlns:a16="http://schemas.microsoft.com/office/drawing/2014/main" id="{1D3B247E-21D2-4FC3-9638-3B8FEB856249}"/>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240" name="Shape 3">
          <a:extLst>
            <a:ext uri="{FF2B5EF4-FFF2-40B4-BE49-F238E27FC236}">
              <a16:creationId xmlns:a16="http://schemas.microsoft.com/office/drawing/2014/main" id="{932EEFDF-8757-47C3-B356-912124B5D2BE}"/>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241" name="Shape 3">
          <a:extLst>
            <a:ext uri="{FF2B5EF4-FFF2-40B4-BE49-F238E27FC236}">
              <a16:creationId xmlns:a16="http://schemas.microsoft.com/office/drawing/2014/main" id="{7A7F6FF6-25AA-44F2-91D8-923FEACD1CDD}"/>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242" name="Shape 3">
          <a:extLst>
            <a:ext uri="{FF2B5EF4-FFF2-40B4-BE49-F238E27FC236}">
              <a16:creationId xmlns:a16="http://schemas.microsoft.com/office/drawing/2014/main" id="{A2088C0A-4AF8-4A83-894B-F2CE02309D7D}"/>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244" name="Shape 3">
          <a:extLst>
            <a:ext uri="{FF2B5EF4-FFF2-40B4-BE49-F238E27FC236}">
              <a16:creationId xmlns:a16="http://schemas.microsoft.com/office/drawing/2014/main" id="{32DC4691-72AE-4E8D-BD5B-426C8E8E26B0}"/>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245" name="Shape 3">
          <a:extLst>
            <a:ext uri="{FF2B5EF4-FFF2-40B4-BE49-F238E27FC236}">
              <a16:creationId xmlns:a16="http://schemas.microsoft.com/office/drawing/2014/main" id="{14799866-3A40-4C70-9C8E-073C33D142CE}"/>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246" name="Shape 3">
          <a:extLst>
            <a:ext uri="{FF2B5EF4-FFF2-40B4-BE49-F238E27FC236}">
              <a16:creationId xmlns:a16="http://schemas.microsoft.com/office/drawing/2014/main" id="{0DF6A21C-7F03-46C6-B9C4-EBDEF43C622D}"/>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248" name="Shape 3">
          <a:extLst>
            <a:ext uri="{FF2B5EF4-FFF2-40B4-BE49-F238E27FC236}">
              <a16:creationId xmlns:a16="http://schemas.microsoft.com/office/drawing/2014/main" id="{0331A6EB-332A-4BAF-8BF8-E79DD89A4A4B}"/>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249" name="Shape 3">
          <a:extLst>
            <a:ext uri="{FF2B5EF4-FFF2-40B4-BE49-F238E27FC236}">
              <a16:creationId xmlns:a16="http://schemas.microsoft.com/office/drawing/2014/main" id="{9B4CA018-C2AB-4813-AC27-6CE1953FD224}"/>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250" name="Shape 3">
          <a:extLst>
            <a:ext uri="{FF2B5EF4-FFF2-40B4-BE49-F238E27FC236}">
              <a16:creationId xmlns:a16="http://schemas.microsoft.com/office/drawing/2014/main" id="{684A14BB-AED9-406C-AEE7-AF407A3AA61A}"/>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251" name="Shape 3">
          <a:extLst>
            <a:ext uri="{FF2B5EF4-FFF2-40B4-BE49-F238E27FC236}">
              <a16:creationId xmlns:a16="http://schemas.microsoft.com/office/drawing/2014/main" id="{A4DC931D-BF0E-46F9-A9B3-5E7A91AD5EDF}"/>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252" name="Shape 3">
          <a:extLst>
            <a:ext uri="{FF2B5EF4-FFF2-40B4-BE49-F238E27FC236}">
              <a16:creationId xmlns:a16="http://schemas.microsoft.com/office/drawing/2014/main" id="{00163D9F-F4D8-4FAF-9BE6-EE1CC3F8A1A2}"/>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254" name="Shape 3">
          <a:extLst>
            <a:ext uri="{FF2B5EF4-FFF2-40B4-BE49-F238E27FC236}">
              <a16:creationId xmlns:a16="http://schemas.microsoft.com/office/drawing/2014/main" id="{A1405F5A-6A44-49A3-8688-0D634B4DBDF3}"/>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255" name="Shape 3">
          <a:extLst>
            <a:ext uri="{FF2B5EF4-FFF2-40B4-BE49-F238E27FC236}">
              <a16:creationId xmlns:a16="http://schemas.microsoft.com/office/drawing/2014/main" id="{BB07B141-CB40-48F2-B2EF-B26430E08C43}"/>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256" name="Shape 3">
          <a:extLst>
            <a:ext uri="{FF2B5EF4-FFF2-40B4-BE49-F238E27FC236}">
              <a16:creationId xmlns:a16="http://schemas.microsoft.com/office/drawing/2014/main" id="{F1CC2BB7-1BE7-4C2C-8D8C-A38F6450DC48}"/>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37</xdr:row>
      <xdr:rowOff>0</xdr:rowOff>
    </xdr:from>
    <xdr:ext cx="114300" cy="200025"/>
    <xdr:sp macro="" textlink="">
      <xdr:nvSpPr>
        <xdr:cNvPr id="258" name="Shape 3">
          <a:extLst>
            <a:ext uri="{FF2B5EF4-FFF2-40B4-BE49-F238E27FC236}">
              <a16:creationId xmlns:a16="http://schemas.microsoft.com/office/drawing/2014/main" id="{0EADDAB6-49B5-4074-BE0B-6A070C1A87FA}"/>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37</xdr:row>
      <xdr:rowOff>0</xdr:rowOff>
    </xdr:from>
    <xdr:ext cx="114300" cy="200025"/>
    <xdr:sp macro="" textlink="">
      <xdr:nvSpPr>
        <xdr:cNvPr id="259" name="Shape 3">
          <a:extLst>
            <a:ext uri="{FF2B5EF4-FFF2-40B4-BE49-F238E27FC236}">
              <a16:creationId xmlns:a16="http://schemas.microsoft.com/office/drawing/2014/main" id="{E850A324-81FF-40EC-BE38-CC6E7B4711C2}"/>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37</xdr:row>
      <xdr:rowOff>0</xdr:rowOff>
    </xdr:from>
    <xdr:ext cx="114300" cy="200025"/>
    <xdr:sp macro="" textlink="">
      <xdr:nvSpPr>
        <xdr:cNvPr id="260" name="Shape 3">
          <a:extLst>
            <a:ext uri="{FF2B5EF4-FFF2-40B4-BE49-F238E27FC236}">
              <a16:creationId xmlns:a16="http://schemas.microsoft.com/office/drawing/2014/main" id="{03A6E131-1971-49DC-BE63-05DCE3DADAA6}"/>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37</xdr:row>
      <xdr:rowOff>0</xdr:rowOff>
    </xdr:from>
    <xdr:ext cx="114300" cy="200025"/>
    <xdr:sp macro="" textlink="">
      <xdr:nvSpPr>
        <xdr:cNvPr id="261" name="Shape 3">
          <a:extLst>
            <a:ext uri="{FF2B5EF4-FFF2-40B4-BE49-F238E27FC236}">
              <a16:creationId xmlns:a16="http://schemas.microsoft.com/office/drawing/2014/main" id="{3F77AD43-257A-45A2-B605-C40B915F99C0}"/>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37</xdr:row>
      <xdr:rowOff>0</xdr:rowOff>
    </xdr:from>
    <xdr:ext cx="114300" cy="200025"/>
    <xdr:sp macro="" textlink="">
      <xdr:nvSpPr>
        <xdr:cNvPr id="262" name="Shape 3">
          <a:extLst>
            <a:ext uri="{FF2B5EF4-FFF2-40B4-BE49-F238E27FC236}">
              <a16:creationId xmlns:a16="http://schemas.microsoft.com/office/drawing/2014/main" id="{84076916-357C-470D-8A58-47A9E3858365}"/>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492125</xdr:colOff>
      <xdr:row>31</xdr:row>
      <xdr:rowOff>142875</xdr:rowOff>
    </xdr:from>
    <xdr:ext cx="898071" cy="1079386"/>
    <xdr:pic>
      <xdr:nvPicPr>
        <xdr:cNvPr id="263" name="Imagen 262">
          <a:extLst>
            <a:ext uri="{FF2B5EF4-FFF2-40B4-BE49-F238E27FC236}">
              <a16:creationId xmlns:a16="http://schemas.microsoft.com/office/drawing/2014/main" id="{87D63DBD-3742-4EDC-8A11-E0BCB9CA795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35125" y="6953250"/>
          <a:ext cx="898071" cy="1079386"/>
        </a:xfrm>
        <a:prstGeom prst="rect">
          <a:avLst/>
        </a:prstGeom>
      </xdr:spPr>
    </xdr:pic>
    <xdr:clientData/>
  </xdr:oneCellAnchor>
  <xdr:oneCellAnchor>
    <xdr:from>
      <xdr:col>6</xdr:col>
      <xdr:colOff>0</xdr:colOff>
      <xdr:row>37</xdr:row>
      <xdr:rowOff>0</xdr:rowOff>
    </xdr:from>
    <xdr:ext cx="114300" cy="200025"/>
    <xdr:sp macro="" textlink="">
      <xdr:nvSpPr>
        <xdr:cNvPr id="264" name="Shape 3">
          <a:extLst>
            <a:ext uri="{FF2B5EF4-FFF2-40B4-BE49-F238E27FC236}">
              <a16:creationId xmlns:a16="http://schemas.microsoft.com/office/drawing/2014/main" id="{05BE06B3-8F93-45DC-B46A-33BF027454CE}"/>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37</xdr:row>
      <xdr:rowOff>0</xdr:rowOff>
    </xdr:from>
    <xdr:ext cx="114300" cy="200025"/>
    <xdr:sp macro="" textlink="">
      <xdr:nvSpPr>
        <xdr:cNvPr id="265" name="Shape 3">
          <a:extLst>
            <a:ext uri="{FF2B5EF4-FFF2-40B4-BE49-F238E27FC236}">
              <a16:creationId xmlns:a16="http://schemas.microsoft.com/office/drawing/2014/main" id="{7BECB005-1512-43C0-9915-DE4378B8D448}"/>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37</xdr:row>
      <xdr:rowOff>0</xdr:rowOff>
    </xdr:from>
    <xdr:ext cx="114300" cy="200025"/>
    <xdr:sp macro="" textlink="">
      <xdr:nvSpPr>
        <xdr:cNvPr id="266" name="Shape 3">
          <a:extLst>
            <a:ext uri="{FF2B5EF4-FFF2-40B4-BE49-F238E27FC236}">
              <a16:creationId xmlns:a16="http://schemas.microsoft.com/office/drawing/2014/main" id="{E1D5402E-263B-48E9-84EA-D01C1F6B6EDF}"/>
            </a:ext>
          </a:extLst>
        </xdr:cNvPr>
        <xdr:cNvSpPr txBox="1"/>
      </xdr:nvSpPr>
      <xdr:spPr>
        <a:xfrm>
          <a:off x="11144250" y="79692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268" name="Shape 3">
          <a:extLst>
            <a:ext uri="{FF2B5EF4-FFF2-40B4-BE49-F238E27FC236}">
              <a16:creationId xmlns:a16="http://schemas.microsoft.com/office/drawing/2014/main" id="{27D12233-8FDA-4C09-AE51-3366865D79A7}"/>
            </a:ext>
          </a:extLst>
        </xdr:cNvPr>
        <xdr:cNvSpPr txBox="1"/>
      </xdr:nvSpPr>
      <xdr:spPr>
        <a:xfrm>
          <a:off x="11144250" y="5118100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269" name="Shape 3">
          <a:extLst>
            <a:ext uri="{FF2B5EF4-FFF2-40B4-BE49-F238E27FC236}">
              <a16:creationId xmlns:a16="http://schemas.microsoft.com/office/drawing/2014/main" id="{0FC01D76-27A8-431C-A8FF-4994D6577BB1}"/>
            </a:ext>
          </a:extLst>
        </xdr:cNvPr>
        <xdr:cNvSpPr txBox="1"/>
      </xdr:nvSpPr>
      <xdr:spPr>
        <a:xfrm>
          <a:off x="11144250" y="5118100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270" name="Shape 3">
          <a:extLst>
            <a:ext uri="{FF2B5EF4-FFF2-40B4-BE49-F238E27FC236}">
              <a16:creationId xmlns:a16="http://schemas.microsoft.com/office/drawing/2014/main" id="{589B1A9A-2219-4620-B30F-0111F3BD10C6}"/>
            </a:ext>
          </a:extLst>
        </xdr:cNvPr>
        <xdr:cNvSpPr txBox="1"/>
      </xdr:nvSpPr>
      <xdr:spPr>
        <a:xfrm>
          <a:off x="11144250" y="5118100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271" name="Shape 3">
          <a:extLst>
            <a:ext uri="{FF2B5EF4-FFF2-40B4-BE49-F238E27FC236}">
              <a16:creationId xmlns:a16="http://schemas.microsoft.com/office/drawing/2014/main" id="{ECD9F39B-C0E1-436E-ADD7-21C5A1E03A9E}"/>
            </a:ext>
          </a:extLst>
        </xdr:cNvPr>
        <xdr:cNvSpPr txBox="1"/>
      </xdr:nvSpPr>
      <xdr:spPr>
        <a:xfrm>
          <a:off x="11144250" y="5118100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272" name="Shape 3">
          <a:extLst>
            <a:ext uri="{FF2B5EF4-FFF2-40B4-BE49-F238E27FC236}">
              <a16:creationId xmlns:a16="http://schemas.microsoft.com/office/drawing/2014/main" id="{4BC4BD6A-FD4A-4FF7-81BA-C0C521BAAA69}"/>
            </a:ext>
          </a:extLst>
        </xdr:cNvPr>
        <xdr:cNvSpPr txBox="1"/>
      </xdr:nvSpPr>
      <xdr:spPr>
        <a:xfrm>
          <a:off x="11144250" y="5118100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274" name="Shape 3">
          <a:extLst>
            <a:ext uri="{FF2B5EF4-FFF2-40B4-BE49-F238E27FC236}">
              <a16:creationId xmlns:a16="http://schemas.microsoft.com/office/drawing/2014/main" id="{AA5C75EA-CA45-4F73-BC9F-C1B225EDC953}"/>
            </a:ext>
          </a:extLst>
        </xdr:cNvPr>
        <xdr:cNvSpPr txBox="1"/>
      </xdr:nvSpPr>
      <xdr:spPr>
        <a:xfrm>
          <a:off x="11144250" y="5118100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275" name="Shape 3">
          <a:extLst>
            <a:ext uri="{FF2B5EF4-FFF2-40B4-BE49-F238E27FC236}">
              <a16:creationId xmlns:a16="http://schemas.microsoft.com/office/drawing/2014/main" id="{F5714D06-E00D-457B-A65D-F969C7ECC2F1}"/>
            </a:ext>
          </a:extLst>
        </xdr:cNvPr>
        <xdr:cNvSpPr txBox="1"/>
      </xdr:nvSpPr>
      <xdr:spPr>
        <a:xfrm>
          <a:off x="11144250" y="5118100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228</xdr:row>
      <xdr:rowOff>0</xdr:rowOff>
    </xdr:from>
    <xdr:ext cx="114300" cy="200025"/>
    <xdr:sp macro="" textlink="">
      <xdr:nvSpPr>
        <xdr:cNvPr id="276" name="Shape 3">
          <a:extLst>
            <a:ext uri="{FF2B5EF4-FFF2-40B4-BE49-F238E27FC236}">
              <a16:creationId xmlns:a16="http://schemas.microsoft.com/office/drawing/2014/main" id="{AB0BA8EA-252C-49C6-96B5-E9B9808254CE}"/>
            </a:ext>
          </a:extLst>
        </xdr:cNvPr>
        <xdr:cNvSpPr txBox="1"/>
      </xdr:nvSpPr>
      <xdr:spPr>
        <a:xfrm>
          <a:off x="11144250" y="5118100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234</xdr:row>
      <xdr:rowOff>0</xdr:rowOff>
    </xdr:from>
    <xdr:ext cx="114300" cy="200025"/>
    <xdr:sp macro="" textlink="">
      <xdr:nvSpPr>
        <xdr:cNvPr id="278" name="Shape 3">
          <a:extLst>
            <a:ext uri="{FF2B5EF4-FFF2-40B4-BE49-F238E27FC236}">
              <a16:creationId xmlns:a16="http://schemas.microsoft.com/office/drawing/2014/main" id="{900B7C5B-19B4-4015-988B-0B258DEDEBB8}"/>
            </a:ext>
          </a:extLst>
        </xdr:cNvPr>
        <xdr:cNvSpPr txBox="1"/>
      </xdr:nvSpPr>
      <xdr:spPr>
        <a:xfrm>
          <a:off x="11144250" y="5118100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234</xdr:row>
      <xdr:rowOff>0</xdr:rowOff>
    </xdr:from>
    <xdr:ext cx="114300" cy="200025"/>
    <xdr:sp macro="" textlink="">
      <xdr:nvSpPr>
        <xdr:cNvPr id="279" name="Shape 3">
          <a:extLst>
            <a:ext uri="{FF2B5EF4-FFF2-40B4-BE49-F238E27FC236}">
              <a16:creationId xmlns:a16="http://schemas.microsoft.com/office/drawing/2014/main" id="{27DD03D6-2559-4E2D-B597-A01DA8E57A4E}"/>
            </a:ext>
          </a:extLst>
        </xdr:cNvPr>
        <xdr:cNvSpPr txBox="1"/>
      </xdr:nvSpPr>
      <xdr:spPr>
        <a:xfrm>
          <a:off x="11144250" y="5118100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234</xdr:row>
      <xdr:rowOff>0</xdr:rowOff>
    </xdr:from>
    <xdr:ext cx="114300" cy="200025"/>
    <xdr:sp macro="" textlink="">
      <xdr:nvSpPr>
        <xdr:cNvPr id="280" name="Shape 3">
          <a:extLst>
            <a:ext uri="{FF2B5EF4-FFF2-40B4-BE49-F238E27FC236}">
              <a16:creationId xmlns:a16="http://schemas.microsoft.com/office/drawing/2014/main" id="{899E8CFC-A0E2-4222-AE21-48398A744086}"/>
            </a:ext>
          </a:extLst>
        </xdr:cNvPr>
        <xdr:cNvSpPr txBox="1"/>
      </xdr:nvSpPr>
      <xdr:spPr>
        <a:xfrm>
          <a:off x="11144250" y="5118100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234</xdr:row>
      <xdr:rowOff>0</xdr:rowOff>
    </xdr:from>
    <xdr:ext cx="114300" cy="200025"/>
    <xdr:sp macro="" textlink="">
      <xdr:nvSpPr>
        <xdr:cNvPr id="281" name="Shape 3">
          <a:extLst>
            <a:ext uri="{FF2B5EF4-FFF2-40B4-BE49-F238E27FC236}">
              <a16:creationId xmlns:a16="http://schemas.microsoft.com/office/drawing/2014/main" id="{B841A024-8CF9-4B45-8E65-93DE4C1B183E}"/>
            </a:ext>
          </a:extLst>
        </xdr:cNvPr>
        <xdr:cNvSpPr txBox="1"/>
      </xdr:nvSpPr>
      <xdr:spPr>
        <a:xfrm>
          <a:off x="11144250" y="5118100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234</xdr:row>
      <xdr:rowOff>0</xdr:rowOff>
    </xdr:from>
    <xdr:ext cx="114300" cy="200025"/>
    <xdr:sp macro="" textlink="">
      <xdr:nvSpPr>
        <xdr:cNvPr id="282" name="Shape 3">
          <a:extLst>
            <a:ext uri="{FF2B5EF4-FFF2-40B4-BE49-F238E27FC236}">
              <a16:creationId xmlns:a16="http://schemas.microsoft.com/office/drawing/2014/main" id="{266B86C7-89F1-4663-95D1-D72849C5D5F6}"/>
            </a:ext>
          </a:extLst>
        </xdr:cNvPr>
        <xdr:cNvSpPr txBox="1"/>
      </xdr:nvSpPr>
      <xdr:spPr>
        <a:xfrm>
          <a:off x="11144250" y="5118100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492125</xdr:colOff>
      <xdr:row>228</xdr:row>
      <xdr:rowOff>142875</xdr:rowOff>
    </xdr:from>
    <xdr:ext cx="898071" cy="1079386"/>
    <xdr:pic>
      <xdr:nvPicPr>
        <xdr:cNvPr id="283" name="Imagen 282">
          <a:extLst>
            <a:ext uri="{FF2B5EF4-FFF2-40B4-BE49-F238E27FC236}">
              <a16:creationId xmlns:a16="http://schemas.microsoft.com/office/drawing/2014/main" id="{5438452B-903A-4BD6-9111-FA9F9433271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35125" y="50149125"/>
          <a:ext cx="898071" cy="1079386"/>
        </a:xfrm>
        <a:prstGeom prst="rect">
          <a:avLst/>
        </a:prstGeom>
      </xdr:spPr>
    </xdr:pic>
    <xdr:clientData/>
  </xdr:oneCellAnchor>
  <xdr:oneCellAnchor>
    <xdr:from>
      <xdr:col>6</xdr:col>
      <xdr:colOff>0</xdr:colOff>
      <xdr:row>234</xdr:row>
      <xdr:rowOff>0</xdr:rowOff>
    </xdr:from>
    <xdr:ext cx="114300" cy="200025"/>
    <xdr:sp macro="" textlink="">
      <xdr:nvSpPr>
        <xdr:cNvPr id="284" name="Shape 3">
          <a:extLst>
            <a:ext uri="{FF2B5EF4-FFF2-40B4-BE49-F238E27FC236}">
              <a16:creationId xmlns:a16="http://schemas.microsoft.com/office/drawing/2014/main" id="{33396F6E-BCF9-4B28-AE4E-19343B6D45BF}"/>
            </a:ext>
          </a:extLst>
        </xdr:cNvPr>
        <xdr:cNvSpPr txBox="1"/>
      </xdr:nvSpPr>
      <xdr:spPr>
        <a:xfrm>
          <a:off x="11144250" y="5118100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234</xdr:row>
      <xdr:rowOff>0</xdr:rowOff>
    </xdr:from>
    <xdr:ext cx="114300" cy="200025"/>
    <xdr:sp macro="" textlink="">
      <xdr:nvSpPr>
        <xdr:cNvPr id="285" name="Shape 3">
          <a:extLst>
            <a:ext uri="{FF2B5EF4-FFF2-40B4-BE49-F238E27FC236}">
              <a16:creationId xmlns:a16="http://schemas.microsoft.com/office/drawing/2014/main" id="{E7DF72EF-7768-4D85-9C60-35CDA2D34E21}"/>
            </a:ext>
          </a:extLst>
        </xdr:cNvPr>
        <xdr:cNvSpPr txBox="1"/>
      </xdr:nvSpPr>
      <xdr:spPr>
        <a:xfrm>
          <a:off x="11144250" y="5118100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234</xdr:row>
      <xdr:rowOff>0</xdr:rowOff>
    </xdr:from>
    <xdr:ext cx="114300" cy="200025"/>
    <xdr:sp macro="" textlink="">
      <xdr:nvSpPr>
        <xdr:cNvPr id="286" name="Shape 3">
          <a:extLst>
            <a:ext uri="{FF2B5EF4-FFF2-40B4-BE49-F238E27FC236}">
              <a16:creationId xmlns:a16="http://schemas.microsoft.com/office/drawing/2014/main" id="{C66AAD2E-EC7F-4280-9374-DEA8DD7E96A7}"/>
            </a:ext>
          </a:extLst>
        </xdr:cNvPr>
        <xdr:cNvSpPr txBox="1"/>
      </xdr:nvSpPr>
      <xdr:spPr>
        <a:xfrm>
          <a:off x="11144250" y="5118100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492125</xdr:colOff>
      <xdr:row>228</xdr:row>
      <xdr:rowOff>142875</xdr:rowOff>
    </xdr:from>
    <xdr:ext cx="898071" cy="1079386"/>
    <xdr:pic>
      <xdr:nvPicPr>
        <xdr:cNvPr id="287" name="Imagen 286">
          <a:extLst>
            <a:ext uri="{FF2B5EF4-FFF2-40B4-BE49-F238E27FC236}">
              <a16:creationId xmlns:a16="http://schemas.microsoft.com/office/drawing/2014/main" id="{4DED457C-0457-463D-B44D-836F64909B6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35125" y="50149125"/>
          <a:ext cx="898071" cy="1079386"/>
        </a:xfrm>
        <a:prstGeom prst="rect">
          <a:avLst/>
        </a:prstGeom>
      </xdr:spPr>
    </xdr:pic>
    <xdr:clientData/>
  </xdr:oneCellAnchor>
  <xdr:oneCellAnchor>
    <xdr:from>
      <xdr:col>6</xdr:col>
      <xdr:colOff>0</xdr:colOff>
      <xdr:row>262</xdr:row>
      <xdr:rowOff>0</xdr:rowOff>
    </xdr:from>
    <xdr:ext cx="114300" cy="200025"/>
    <xdr:sp macro="" textlink="">
      <xdr:nvSpPr>
        <xdr:cNvPr id="288" name="Shape 3">
          <a:extLst>
            <a:ext uri="{FF2B5EF4-FFF2-40B4-BE49-F238E27FC236}">
              <a16:creationId xmlns:a16="http://schemas.microsoft.com/office/drawing/2014/main" id="{D463B29C-AE65-4DFC-9CBD-FB23441143FA}"/>
            </a:ext>
          </a:extLst>
        </xdr:cNvPr>
        <xdr:cNvSpPr txBox="1"/>
      </xdr:nvSpPr>
      <xdr:spPr>
        <a:xfrm>
          <a:off x="11144250" y="5118100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262</xdr:row>
      <xdr:rowOff>0</xdr:rowOff>
    </xdr:from>
    <xdr:ext cx="114300" cy="200025"/>
    <xdr:sp macro="" textlink="">
      <xdr:nvSpPr>
        <xdr:cNvPr id="289" name="Shape 3">
          <a:extLst>
            <a:ext uri="{FF2B5EF4-FFF2-40B4-BE49-F238E27FC236}">
              <a16:creationId xmlns:a16="http://schemas.microsoft.com/office/drawing/2014/main" id="{7BA47B73-DC84-4618-A859-2671365944C5}"/>
            </a:ext>
          </a:extLst>
        </xdr:cNvPr>
        <xdr:cNvSpPr txBox="1"/>
      </xdr:nvSpPr>
      <xdr:spPr>
        <a:xfrm>
          <a:off x="11144250" y="5118100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262</xdr:row>
      <xdr:rowOff>0</xdr:rowOff>
    </xdr:from>
    <xdr:ext cx="114300" cy="200025"/>
    <xdr:sp macro="" textlink="">
      <xdr:nvSpPr>
        <xdr:cNvPr id="290" name="Shape 3">
          <a:extLst>
            <a:ext uri="{FF2B5EF4-FFF2-40B4-BE49-F238E27FC236}">
              <a16:creationId xmlns:a16="http://schemas.microsoft.com/office/drawing/2014/main" id="{D7AF02C9-BAAD-4F1C-AD2C-61AF655AF918}"/>
            </a:ext>
          </a:extLst>
        </xdr:cNvPr>
        <xdr:cNvSpPr txBox="1"/>
      </xdr:nvSpPr>
      <xdr:spPr>
        <a:xfrm>
          <a:off x="11144250" y="5118100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262</xdr:row>
      <xdr:rowOff>0</xdr:rowOff>
    </xdr:from>
    <xdr:ext cx="114300" cy="200025"/>
    <xdr:sp macro="" textlink="">
      <xdr:nvSpPr>
        <xdr:cNvPr id="291" name="Shape 3">
          <a:extLst>
            <a:ext uri="{FF2B5EF4-FFF2-40B4-BE49-F238E27FC236}">
              <a16:creationId xmlns:a16="http://schemas.microsoft.com/office/drawing/2014/main" id="{1D563A7E-44D6-44C1-A67A-27DF448E0293}"/>
            </a:ext>
          </a:extLst>
        </xdr:cNvPr>
        <xdr:cNvSpPr txBox="1"/>
      </xdr:nvSpPr>
      <xdr:spPr>
        <a:xfrm>
          <a:off x="11144250" y="5118100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262</xdr:row>
      <xdr:rowOff>0</xdr:rowOff>
    </xdr:from>
    <xdr:ext cx="114300" cy="200025"/>
    <xdr:sp macro="" textlink="">
      <xdr:nvSpPr>
        <xdr:cNvPr id="292" name="Shape 3">
          <a:extLst>
            <a:ext uri="{FF2B5EF4-FFF2-40B4-BE49-F238E27FC236}">
              <a16:creationId xmlns:a16="http://schemas.microsoft.com/office/drawing/2014/main" id="{3EC25D52-130A-4FB4-B955-3A0C27B18EA7}"/>
            </a:ext>
          </a:extLst>
        </xdr:cNvPr>
        <xdr:cNvSpPr txBox="1"/>
      </xdr:nvSpPr>
      <xdr:spPr>
        <a:xfrm>
          <a:off x="11144250" y="5118100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492125</xdr:colOff>
      <xdr:row>256</xdr:row>
      <xdr:rowOff>142875</xdr:rowOff>
    </xdr:from>
    <xdr:ext cx="898071" cy="1079386"/>
    <xdr:pic>
      <xdr:nvPicPr>
        <xdr:cNvPr id="293" name="Imagen 292">
          <a:extLst>
            <a:ext uri="{FF2B5EF4-FFF2-40B4-BE49-F238E27FC236}">
              <a16:creationId xmlns:a16="http://schemas.microsoft.com/office/drawing/2014/main" id="{D373A198-E2C6-48BE-B611-167E60D7DDF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35125" y="50149125"/>
          <a:ext cx="898071" cy="1079386"/>
        </a:xfrm>
        <a:prstGeom prst="rect">
          <a:avLst/>
        </a:prstGeom>
      </xdr:spPr>
    </xdr:pic>
    <xdr:clientData/>
  </xdr:oneCellAnchor>
  <xdr:oneCellAnchor>
    <xdr:from>
      <xdr:col>6</xdr:col>
      <xdr:colOff>0</xdr:colOff>
      <xdr:row>262</xdr:row>
      <xdr:rowOff>0</xdr:rowOff>
    </xdr:from>
    <xdr:ext cx="114300" cy="200025"/>
    <xdr:sp macro="" textlink="">
      <xdr:nvSpPr>
        <xdr:cNvPr id="294" name="Shape 3">
          <a:extLst>
            <a:ext uri="{FF2B5EF4-FFF2-40B4-BE49-F238E27FC236}">
              <a16:creationId xmlns:a16="http://schemas.microsoft.com/office/drawing/2014/main" id="{9C5AF1C6-EE91-4E3C-B9C2-31B5E9FDBBB1}"/>
            </a:ext>
          </a:extLst>
        </xdr:cNvPr>
        <xdr:cNvSpPr txBox="1"/>
      </xdr:nvSpPr>
      <xdr:spPr>
        <a:xfrm>
          <a:off x="11144250" y="5118100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262</xdr:row>
      <xdr:rowOff>0</xdr:rowOff>
    </xdr:from>
    <xdr:ext cx="114300" cy="200025"/>
    <xdr:sp macro="" textlink="">
      <xdr:nvSpPr>
        <xdr:cNvPr id="295" name="Shape 3">
          <a:extLst>
            <a:ext uri="{FF2B5EF4-FFF2-40B4-BE49-F238E27FC236}">
              <a16:creationId xmlns:a16="http://schemas.microsoft.com/office/drawing/2014/main" id="{D0FDAD61-BAE8-40D3-8C2D-93600C2EF759}"/>
            </a:ext>
          </a:extLst>
        </xdr:cNvPr>
        <xdr:cNvSpPr txBox="1"/>
      </xdr:nvSpPr>
      <xdr:spPr>
        <a:xfrm>
          <a:off x="11144250" y="5118100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262</xdr:row>
      <xdr:rowOff>0</xdr:rowOff>
    </xdr:from>
    <xdr:ext cx="114300" cy="200025"/>
    <xdr:sp macro="" textlink="">
      <xdr:nvSpPr>
        <xdr:cNvPr id="296" name="Shape 3">
          <a:extLst>
            <a:ext uri="{FF2B5EF4-FFF2-40B4-BE49-F238E27FC236}">
              <a16:creationId xmlns:a16="http://schemas.microsoft.com/office/drawing/2014/main" id="{44D15943-07D6-457A-AE96-08B2D8BE6301}"/>
            </a:ext>
          </a:extLst>
        </xdr:cNvPr>
        <xdr:cNvSpPr txBox="1"/>
      </xdr:nvSpPr>
      <xdr:spPr>
        <a:xfrm>
          <a:off x="11144250" y="5118100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492125</xdr:colOff>
      <xdr:row>256</xdr:row>
      <xdr:rowOff>142875</xdr:rowOff>
    </xdr:from>
    <xdr:ext cx="898071" cy="1079386"/>
    <xdr:pic>
      <xdr:nvPicPr>
        <xdr:cNvPr id="297" name="Imagen 296">
          <a:extLst>
            <a:ext uri="{FF2B5EF4-FFF2-40B4-BE49-F238E27FC236}">
              <a16:creationId xmlns:a16="http://schemas.microsoft.com/office/drawing/2014/main" id="{434E975E-C020-4273-AD25-DB790814454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35125" y="50149125"/>
          <a:ext cx="898071" cy="1079386"/>
        </a:xfrm>
        <a:prstGeom prst="rect">
          <a:avLst/>
        </a:prstGeom>
      </xdr:spPr>
    </xdr:pic>
    <xdr:clientData/>
  </xdr:oneCellAnchor>
  <xdr:oneCellAnchor>
    <xdr:from>
      <xdr:col>12</xdr:col>
      <xdr:colOff>0</xdr:colOff>
      <xdr:row>8</xdr:row>
      <xdr:rowOff>0</xdr:rowOff>
    </xdr:from>
    <xdr:ext cx="114300" cy="200025"/>
    <xdr:sp macro="" textlink="">
      <xdr:nvSpPr>
        <xdr:cNvPr id="2" name="Shape 3">
          <a:extLst>
            <a:ext uri="{FF2B5EF4-FFF2-40B4-BE49-F238E27FC236}">
              <a16:creationId xmlns:a16="http://schemas.microsoft.com/office/drawing/2014/main" id="{045F697A-88C8-49DB-8AA2-345F8E1D73FB}"/>
            </a:ext>
          </a:extLst>
        </xdr:cNvPr>
        <xdr:cNvSpPr txBox="1"/>
      </xdr:nvSpPr>
      <xdr:spPr>
        <a:xfrm>
          <a:off x="18526125" y="15525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12</xdr:col>
      <xdr:colOff>0</xdr:colOff>
      <xdr:row>8</xdr:row>
      <xdr:rowOff>0</xdr:rowOff>
    </xdr:from>
    <xdr:ext cx="114300" cy="200025"/>
    <xdr:sp macro="" textlink="">
      <xdr:nvSpPr>
        <xdr:cNvPr id="7" name="Shape 3">
          <a:extLst>
            <a:ext uri="{FF2B5EF4-FFF2-40B4-BE49-F238E27FC236}">
              <a16:creationId xmlns:a16="http://schemas.microsoft.com/office/drawing/2014/main" id="{16EE93BA-B8DE-4CD9-976B-EEA1CCD8C771}"/>
            </a:ext>
          </a:extLst>
        </xdr:cNvPr>
        <xdr:cNvSpPr txBox="1"/>
      </xdr:nvSpPr>
      <xdr:spPr>
        <a:xfrm>
          <a:off x="18526125" y="15525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12</xdr:col>
      <xdr:colOff>0</xdr:colOff>
      <xdr:row>8</xdr:row>
      <xdr:rowOff>0</xdr:rowOff>
    </xdr:from>
    <xdr:ext cx="114300" cy="200025"/>
    <xdr:sp macro="" textlink="">
      <xdr:nvSpPr>
        <xdr:cNvPr id="8" name="Shape 3">
          <a:extLst>
            <a:ext uri="{FF2B5EF4-FFF2-40B4-BE49-F238E27FC236}">
              <a16:creationId xmlns:a16="http://schemas.microsoft.com/office/drawing/2014/main" id="{C5B0ECAC-7B6D-4CE5-BC74-267B73CE5BF5}"/>
            </a:ext>
          </a:extLst>
        </xdr:cNvPr>
        <xdr:cNvSpPr txBox="1"/>
      </xdr:nvSpPr>
      <xdr:spPr>
        <a:xfrm>
          <a:off x="18526125" y="15525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12</xdr:col>
      <xdr:colOff>0</xdr:colOff>
      <xdr:row>21</xdr:row>
      <xdr:rowOff>0</xdr:rowOff>
    </xdr:from>
    <xdr:ext cx="114300" cy="200025"/>
    <xdr:sp macro="" textlink="">
      <xdr:nvSpPr>
        <xdr:cNvPr id="9" name="Shape 3">
          <a:extLst>
            <a:ext uri="{FF2B5EF4-FFF2-40B4-BE49-F238E27FC236}">
              <a16:creationId xmlns:a16="http://schemas.microsoft.com/office/drawing/2014/main" id="{5076B21A-53C4-4145-9A43-3F81D67549A2}"/>
            </a:ext>
          </a:extLst>
        </xdr:cNvPr>
        <xdr:cNvSpPr txBox="1"/>
      </xdr:nvSpPr>
      <xdr:spPr>
        <a:xfrm>
          <a:off x="18526125" y="5238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7</xdr:row>
      <xdr:rowOff>0</xdr:rowOff>
    </xdr:from>
    <xdr:ext cx="114300" cy="200025"/>
    <xdr:sp macro="" textlink="">
      <xdr:nvSpPr>
        <xdr:cNvPr id="11" name="Shape 3">
          <a:extLst>
            <a:ext uri="{FF2B5EF4-FFF2-40B4-BE49-F238E27FC236}">
              <a16:creationId xmlns:a16="http://schemas.microsoft.com/office/drawing/2014/main" id="{A94160FC-3868-413F-BB52-F8B9EA9A64FC}"/>
            </a:ext>
          </a:extLst>
        </xdr:cNvPr>
        <xdr:cNvSpPr txBox="1"/>
      </xdr:nvSpPr>
      <xdr:spPr>
        <a:xfrm>
          <a:off x="11134725" y="13525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29</xdr:row>
      <xdr:rowOff>0</xdr:rowOff>
    </xdr:from>
    <xdr:ext cx="114300" cy="200025"/>
    <xdr:sp macro="" textlink="">
      <xdr:nvSpPr>
        <xdr:cNvPr id="12" name="Shape 3">
          <a:extLst>
            <a:ext uri="{FF2B5EF4-FFF2-40B4-BE49-F238E27FC236}">
              <a16:creationId xmlns:a16="http://schemas.microsoft.com/office/drawing/2014/main" id="{3169C434-E296-422B-AD2F-225BE213387A}"/>
            </a:ext>
          </a:extLst>
        </xdr:cNvPr>
        <xdr:cNvSpPr txBox="1"/>
      </xdr:nvSpPr>
      <xdr:spPr>
        <a:xfrm>
          <a:off x="11134725" y="793432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31</xdr:row>
      <xdr:rowOff>0</xdr:rowOff>
    </xdr:from>
    <xdr:ext cx="114300" cy="200025"/>
    <xdr:sp macro="" textlink="">
      <xdr:nvSpPr>
        <xdr:cNvPr id="13" name="Shape 3">
          <a:extLst>
            <a:ext uri="{FF2B5EF4-FFF2-40B4-BE49-F238E27FC236}">
              <a16:creationId xmlns:a16="http://schemas.microsoft.com/office/drawing/2014/main" id="{5E72652D-EE4E-41FE-972A-B6113BDB7699}"/>
            </a:ext>
          </a:extLst>
        </xdr:cNvPr>
        <xdr:cNvSpPr txBox="1"/>
      </xdr:nvSpPr>
      <xdr:spPr>
        <a:xfrm>
          <a:off x="11134725" y="133254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29</xdr:row>
      <xdr:rowOff>0</xdr:rowOff>
    </xdr:from>
    <xdr:ext cx="114300" cy="200025"/>
    <xdr:sp macro="" textlink="">
      <xdr:nvSpPr>
        <xdr:cNvPr id="15" name="Shape 3">
          <a:extLst>
            <a:ext uri="{FF2B5EF4-FFF2-40B4-BE49-F238E27FC236}">
              <a16:creationId xmlns:a16="http://schemas.microsoft.com/office/drawing/2014/main" id="{EDD2BA8C-4E92-4C64-879C-1BF60AB77C8E}"/>
            </a:ext>
          </a:extLst>
        </xdr:cNvPr>
        <xdr:cNvSpPr txBox="1"/>
      </xdr:nvSpPr>
      <xdr:spPr>
        <a:xfrm>
          <a:off x="11134725" y="793432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7</xdr:row>
      <xdr:rowOff>0</xdr:rowOff>
    </xdr:from>
    <xdr:ext cx="114300" cy="200025"/>
    <xdr:sp macro="" textlink="">
      <xdr:nvSpPr>
        <xdr:cNvPr id="17" name="Shape 3">
          <a:extLst>
            <a:ext uri="{FF2B5EF4-FFF2-40B4-BE49-F238E27FC236}">
              <a16:creationId xmlns:a16="http://schemas.microsoft.com/office/drawing/2014/main" id="{408A2FA1-F519-4CFC-913E-7DD8873DAC48}"/>
            </a:ext>
          </a:extLst>
        </xdr:cNvPr>
        <xdr:cNvSpPr txBox="1"/>
      </xdr:nvSpPr>
      <xdr:spPr>
        <a:xfrm>
          <a:off x="11134725" y="13525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7</xdr:row>
      <xdr:rowOff>0</xdr:rowOff>
    </xdr:from>
    <xdr:ext cx="114300" cy="200025"/>
    <xdr:sp macro="" textlink="">
      <xdr:nvSpPr>
        <xdr:cNvPr id="21" name="Shape 3">
          <a:extLst>
            <a:ext uri="{FF2B5EF4-FFF2-40B4-BE49-F238E27FC236}">
              <a16:creationId xmlns:a16="http://schemas.microsoft.com/office/drawing/2014/main" id="{875BC1A3-F05A-4A28-A3F1-49EEA021E6E3}"/>
            </a:ext>
          </a:extLst>
        </xdr:cNvPr>
        <xdr:cNvSpPr txBox="1"/>
      </xdr:nvSpPr>
      <xdr:spPr>
        <a:xfrm>
          <a:off x="11134725" y="13525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31</xdr:row>
      <xdr:rowOff>0</xdr:rowOff>
    </xdr:from>
    <xdr:ext cx="114300" cy="200025"/>
    <xdr:sp macro="" textlink="">
      <xdr:nvSpPr>
        <xdr:cNvPr id="22" name="Shape 3">
          <a:extLst>
            <a:ext uri="{FF2B5EF4-FFF2-40B4-BE49-F238E27FC236}">
              <a16:creationId xmlns:a16="http://schemas.microsoft.com/office/drawing/2014/main" id="{4240AA28-E9A4-4229-8FFF-38EA9C46C389}"/>
            </a:ext>
          </a:extLst>
        </xdr:cNvPr>
        <xdr:cNvSpPr txBox="1"/>
      </xdr:nvSpPr>
      <xdr:spPr>
        <a:xfrm>
          <a:off x="11134725" y="133254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31</xdr:row>
      <xdr:rowOff>0</xdr:rowOff>
    </xdr:from>
    <xdr:ext cx="114300" cy="200025"/>
    <xdr:sp macro="" textlink="">
      <xdr:nvSpPr>
        <xdr:cNvPr id="23" name="Shape 3">
          <a:extLst>
            <a:ext uri="{FF2B5EF4-FFF2-40B4-BE49-F238E27FC236}">
              <a16:creationId xmlns:a16="http://schemas.microsoft.com/office/drawing/2014/main" id="{5F14913F-CF70-4073-9029-AB0FA8F31AD9}"/>
            </a:ext>
          </a:extLst>
        </xdr:cNvPr>
        <xdr:cNvSpPr txBox="1"/>
      </xdr:nvSpPr>
      <xdr:spPr>
        <a:xfrm>
          <a:off x="11134725" y="133254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31</xdr:row>
      <xdr:rowOff>0</xdr:rowOff>
    </xdr:from>
    <xdr:ext cx="114300" cy="200025"/>
    <xdr:sp macro="" textlink="">
      <xdr:nvSpPr>
        <xdr:cNvPr id="25" name="Shape 3">
          <a:extLst>
            <a:ext uri="{FF2B5EF4-FFF2-40B4-BE49-F238E27FC236}">
              <a16:creationId xmlns:a16="http://schemas.microsoft.com/office/drawing/2014/main" id="{B8252787-FA41-40EE-B614-C324659E717F}"/>
            </a:ext>
          </a:extLst>
        </xdr:cNvPr>
        <xdr:cNvSpPr txBox="1"/>
      </xdr:nvSpPr>
      <xdr:spPr>
        <a:xfrm>
          <a:off x="11134725" y="133254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31</xdr:row>
      <xdr:rowOff>0</xdr:rowOff>
    </xdr:from>
    <xdr:ext cx="114300" cy="200025"/>
    <xdr:sp macro="" textlink="">
      <xdr:nvSpPr>
        <xdr:cNvPr id="27" name="Shape 3">
          <a:extLst>
            <a:ext uri="{FF2B5EF4-FFF2-40B4-BE49-F238E27FC236}">
              <a16:creationId xmlns:a16="http://schemas.microsoft.com/office/drawing/2014/main" id="{7B425D4F-3E2C-4270-947C-496A45B4EFA4}"/>
            </a:ext>
          </a:extLst>
        </xdr:cNvPr>
        <xdr:cNvSpPr txBox="1"/>
      </xdr:nvSpPr>
      <xdr:spPr>
        <a:xfrm>
          <a:off x="11134725" y="133254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31</xdr:row>
      <xdr:rowOff>0</xdr:rowOff>
    </xdr:from>
    <xdr:ext cx="114300" cy="200025"/>
    <xdr:sp macro="" textlink="">
      <xdr:nvSpPr>
        <xdr:cNvPr id="29" name="Shape 3">
          <a:extLst>
            <a:ext uri="{FF2B5EF4-FFF2-40B4-BE49-F238E27FC236}">
              <a16:creationId xmlns:a16="http://schemas.microsoft.com/office/drawing/2014/main" id="{BAC25353-D8FC-4C7D-81AB-FE7776C4ACF8}"/>
            </a:ext>
          </a:extLst>
        </xdr:cNvPr>
        <xdr:cNvSpPr txBox="1"/>
      </xdr:nvSpPr>
      <xdr:spPr>
        <a:xfrm>
          <a:off x="11134725" y="133254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31</xdr:row>
      <xdr:rowOff>0</xdr:rowOff>
    </xdr:from>
    <xdr:ext cx="114300" cy="200025"/>
    <xdr:sp macro="" textlink="">
      <xdr:nvSpPr>
        <xdr:cNvPr id="31" name="Shape 3">
          <a:extLst>
            <a:ext uri="{FF2B5EF4-FFF2-40B4-BE49-F238E27FC236}">
              <a16:creationId xmlns:a16="http://schemas.microsoft.com/office/drawing/2014/main" id="{B9001891-6A1E-42A1-88BB-90C1BE50A7F9}"/>
            </a:ext>
          </a:extLst>
        </xdr:cNvPr>
        <xdr:cNvSpPr txBox="1"/>
      </xdr:nvSpPr>
      <xdr:spPr>
        <a:xfrm>
          <a:off x="11134725" y="133254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31</xdr:row>
      <xdr:rowOff>0</xdr:rowOff>
    </xdr:from>
    <xdr:ext cx="114300" cy="200025"/>
    <xdr:sp macro="" textlink="">
      <xdr:nvSpPr>
        <xdr:cNvPr id="33" name="Shape 3">
          <a:extLst>
            <a:ext uri="{FF2B5EF4-FFF2-40B4-BE49-F238E27FC236}">
              <a16:creationId xmlns:a16="http://schemas.microsoft.com/office/drawing/2014/main" id="{26CAD4E7-5B38-4E1E-8165-AFAF9F6BEBBC}"/>
            </a:ext>
          </a:extLst>
        </xdr:cNvPr>
        <xdr:cNvSpPr txBox="1"/>
      </xdr:nvSpPr>
      <xdr:spPr>
        <a:xfrm>
          <a:off x="11134725" y="133254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31</xdr:row>
      <xdr:rowOff>0</xdr:rowOff>
    </xdr:from>
    <xdr:ext cx="114300" cy="200025"/>
    <xdr:sp macro="" textlink="">
      <xdr:nvSpPr>
        <xdr:cNvPr id="35" name="Shape 3">
          <a:extLst>
            <a:ext uri="{FF2B5EF4-FFF2-40B4-BE49-F238E27FC236}">
              <a16:creationId xmlns:a16="http://schemas.microsoft.com/office/drawing/2014/main" id="{8B423F22-029D-4301-A10C-79E7EE98EF3A}"/>
            </a:ext>
          </a:extLst>
        </xdr:cNvPr>
        <xdr:cNvSpPr txBox="1"/>
      </xdr:nvSpPr>
      <xdr:spPr>
        <a:xfrm>
          <a:off x="11134725" y="133254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31</xdr:row>
      <xdr:rowOff>0</xdr:rowOff>
    </xdr:from>
    <xdr:ext cx="114300" cy="200025"/>
    <xdr:sp macro="" textlink="">
      <xdr:nvSpPr>
        <xdr:cNvPr id="37" name="Shape 3">
          <a:extLst>
            <a:ext uri="{FF2B5EF4-FFF2-40B4-BE49-F238E27FC236}">
              <a16:creationId xmlns:a16="http://schemas.microsoft.com/office/drawing/2014/main" id="{3F9DB987-FAE3-428A-8742-F8F65F51FED7}"/>
            </a:ext>
          </a:extLst>
        </xdr:cNvPr>
        <xdr:cNvSpPr txBox="1"/>
      </xdr:nvSpPr>
      <xdr:spPr>
        <a:xfrm>
          <a:off x="11134725" y="133254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31</xdr:row>
      <xdr:rowOff>0</xdr:rowOff>
    </xdr:from>
    <xdr:ext cx="114300" cy="200025"/>
    <xdr:sp macro="" textlink="">
      <xdr:nvSpPr>
        <xdr:cNvPr id="39" name="Shape 3">
          <a:extLst>
            <a:ext uri="{FF2B5EF4-FFF2-40B4-BE49-F238E27FC236}">
              <a16:creationId xmlns:a16="http://schemas.microsoft.com/office/drawing/2014/main" id="{5D786C71-50E0-48B7-A93B-A3308AC2A5DA}"/>
            </a:ext>
          </a:extLst>
        </xdr:cNvPr>
        <xdr:cNvSpPr txBox="1"/>
      </xdr:nvSpPr>
      <xdr:spPr>
        <a:xfrm>
          <a:off x="11134725" y="133254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31</xdr:row>
      <xdr:rowOff>0</xdr:rowOff>
    </xdr:from>
    <xdr:ext cx="114300" cy="200025"/>
    <xdr:sp macro="" textlink="">
      <xdr:nvSpPr>
        <xdr:cNvPr id="41" name="Shape 3">
          <a:extLst>
            <a:ext uri="{FF2B5EF4-FFF2-40B4-BE49-F238E27FC236}">
              <a16:creationId xmlns:a16="http://schemas.microsoft.com/office/drawing/2014/main" id="{E05BEB1B-0EB9-4A8A-B996-952F6A6FCAED}"/>
            </a:ext>
          </a:extLst>
        </xdr:cNvPr>
        <xdr:cNvSpPr txBox="1"/>
      </xdr:nvSpPr>
      <xdr:spPr>
        <a:xfrm>
          <a:off x="11134725" y="133254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31</xdr:row>
      <xdr:rowOff>0</xdr:rowOff>
    </xdr:from>
    <xdr:ext cx="114300" cy="200025"/>
    <xdr:sp macro="" textlink="">
      <xdr:nvSpPr>
        <xdr:cNvPr id="43" name="Shape 3">
          <a:extLst>
            <a:ext uri="{FF2B5EF4-FFF2-40B4-BE49-F238E27FC236}">
              <a16:creationId xmlns:a16="http://schemas.microsoft.com/office/drawing/2014/main" id="{3253D782-BC8C-41D4-83FD-D852EAF0B1D9}"/>
            </a:ext>
          </a:extLst>
        </xdr:cNvPr>
        <xdr:cNvSpPr txBox="1"/>
      </xdr:nvSpPr>
      <xdr:spPr>
        <a:xfrm>
          <a:off x="11134725" y="133254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31</xdr:row>
      <xdr:rowOff>0</xdr:rowOff>
    </xdr:from>
    <xdr:ext cx="114300" cy="200025"/>
    <xdr:sp macro="" textlink="">
      <xdr:nvSpPr>
        <xdr:cNvPr id="45" name="Shape 3">
          <a:extLst>
            <a:ext uri="{FF2B5EF4-FFF2-40B4-BE49-F238E27FC236}">
              <a16:creationId xmlns:a16="http://schemas.microsoft.com/office/drawing/2014/main" id="{69E4CDB1-CF7B-48B3-9281-FA4552B6589F}"/>
            </a:ext>
          </a:extLst>
        </xdr:cNvPr>
        <xdr:cNvSpPr txBox="1"/>
      </xdr:nvSpPr>
      <xdr:spPr>
        <a:xfrm>
          <a:off x="11134725" y="133254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31</xdr:row>
      <xdr:rowOff>0</xdr:rowOff>
    </xdr:from>
    <xdr:ext cx="114300" cy="200025"/>
    <xdr:sp macro="" textlink="">
      <xdr:nvSpPr>
        <xdr:cNvPr id="47" name="Shape 3">
          <a:extLst>
            <a:ext uri="{FF2B5EF4-FFF2-40B4-BE49-F238E27FC236}">
              <a16:creationId xmlns:a16="http://schemas.microsoft.com/office/drawing/2014/main" id="{C91B693C-C262-4B3F-A1CC-D25DEF810CDA}"/>
            </a:ext>
          </a:extLst>
        </xdr:cNvPr>
        <xdr:cNvSpPr txBox="1"/>
      </xdr:nvSpPr>
      <xdr:spPr>
        <a:xfrm>
          <a:off x="11134725" y="133254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31</xdr:row>
      <xdr:rowOff>0</xdr:rowOff>
    </xdr:from>
    <xdr:ext cx="114300" cy="200025"/>
    <xdr:sp macro="" textlink="">
      <xdr:nvSpPr>
        <xdr:cNvPr id="49" name="Shape 3">
          <a:extLst>
            <a:ext uri="{FF2B5EF4-FFF2-40B4-BE49-F238E27FC236}">
              <a16:creationId xmlns:a16="http://schemas.microsoft.com/office/drawing/2014/main" id="{D1E4CF14-E63E-4BAE-A3A0-340D6E21EE74}"/>
            </a:ext>
          </a:extLst>
        </xdr:cNvPr>
        <xdr:cNvSpPr txBox="1"/>
      </xdr:nvSpPr>
      <xdr:spPr>
        <a:xfrm>
          <a:off x="11134725" y="133254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31</xdr:row>
      <xdr:rowOff>0</xdr:rowOff>
    </xdr:from>
    <xdr:ext cx="114300" cy="200025"/>
    <xdr:sp macro="" textlink="">
      <xdr:nvSpPr>
        <xdr:cNvPr id="51" name="Shape 3">
          <a:extLst>
            <a:ext uri="{FF2B5EF4-FFF2-40B4-BE49-F238E27FC236}">
              <a16:creationId xmlns:a16="http://schemas.microsoft.com/office/drawing/2014/main" id="{137347D2-F9E8-4006-8396-32BBD75124BA}"/>
            </a:ext>
          </a:extLst>
        </xdr:cNvPr>
        <xdr:cNvSpPr txBox="1"/>
      </xdr:nvSpPr>
      <xdr:spPr>
        <a:xfrm>
          <a:off x="11134725" y="133254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31</xdr:row>
      <xdr:rowOff>0</xdr:rowOff>
    </xdr:from>
    <xdr:ext cx="114300" cy="200025"/>
    <xdr:sp macro="" textlink="">
      <xdr:nvSpPr>
        <xdr:cNvPr id="53" name="Shape 3">
          <a:extLst>
            <a:ext uri="{FF2B5EF4-FFF2-40B4-BE49-F238E27FC236}">
              <a16:creationId xmlns:a16="http://schemas.microsoft.com/office/drawing/2014/main" id="{9E7EEB64-7AA4-4168-A269-E1CC5F03C200}"/>
            </a:ext>
          </a:extLst>
        </xdr:cNvPr>
        <xdr:cNvSpPr txBox="1"/>
      </xdr:nvSpPr>
      <xdr:spPr>
        <a:xfrm>
          <a:off x="11134725" y="133254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31</xdr:row>
      <xdr:rowOff>0</xdr:rowOff>
    </xdr:from>
    <xdr:ext cx="114300" cy="200025"/>
    <xdr:sp macro="" textlink="">
      <xdr:nvSpPr>
        <xdr:cNvPr id="55" name="Shape 3">
          <a:extLst>
            <a:ext uri="{FF2B5EF4-FFF2-40B4-BE49-F238E27FC236}">
              <a16:creationId xmlns:a16="http://schemas.microsoft.com/office/drawing/2014/main" id="{826A99C8-1986-4E95-99EA-F3B31A6149A0}"/>
            </a:ext>
          </a:extLst>
        </xdr:cNvPr>
        <xdr:cNvSpPr txBox="1"/>
      </xdr:nvSpPr>
      <xdr:spPr>
        <a:xfrm>
          <a:off x="11134725" y="133254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31</xdr:row>
      <xdr:rowOff>0</xdr:rowOff>
    </xdr:from>
    <xdr:ext cx="114300" cy="200025"/>
    <xdr:sp macro="" textlink="">
      <xdr:nvSpPr>
        <xdr:cNvPr id="57" name="Shape 3">
          <a:extLst>
            <a:ext uri="{FF2B5EF4-FFF2-40B4-BE49-F238E27FC236}">
              <a16:creationId xmlns:a16="http://schemas.microsoft.com/office/drawing/2014/main" id="{B3CC1241-F762-4BD6-AA29-FD8064D3E744}"/>
            </a:ext>
          </a:extLst>
        </xdr:cNvPr>
        <xdr:cNvSpPr txBox="1"/>
      </xdr:nvSpPr>
      <xdr:spPr>
        <a:xfrm>
          <a:off x="11134725" y="133254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31</xdr:row>
      <xdr:rowOff>0</xdr:rowOff>
    </xdr:from>
    <xdr:ext cx="114300" cy="200025"/>
    <xdr:sp macro="" textlink="">
      <xdr:nvSpPr>
        <xdr:cNvPr id="59" name="Shape 3">
          <a:extLst>
            <a:ext uri="{FF2B5EF4-FFF2-40B4-BE49-F238E27FC236}">
              <a16:creationId xmlns:a16="http://schemas.microsoft.com/office/drawing/2014/main" id="{D09A0AE5-640D-4D20-B427-2BC633A612D8}"/>
            </a:ext>
          </a:extLst>
        </xdr:cNvPr>
        <xdr:cNvSpPr txBox="1"/>
      </xdr:nvSpPr>
      <xdr:spPr>
        <a:xfrm>
          <a:off x="11134725" y="133254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31</xdr:row>
      <xdr:rowOff>0</xdr:rowOff>
    </xdr:from>
    <xdr:ext cx="114300" cy="200025"/>
    <xdr:sp macro="" textlink="">
      <xdr:nvSpPr>
        <xdr:cNvPr id="61" name="Shape 3">
          <a:extLst>
            <a:ext uri="{FF2B5EF4-FFF2-40B4-BE49-F238E27FC236}">
              <a16:creationId xmlns:a16="http://schemas.microsoft.com/office/drawing/2014/main" id="{E58EF61F-CE6E-478F-8D5E-B212EB65A2EC}"/>
            </a:ext>
          </a:extLst>
        </xdr:cNvPr>
        <xdr:cNvSpPr txBox="1"/>
      </xdr:nvSpPr>
      <xdr:spPr>
        <a:xfrm>
          <a:off x="11134725" y="133254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31</xdr:row>
      <xdr:rowOff>0</xdr:rowOff>
    </xdr:from>
    <xdr:ext cx="114300" cy="200025"/>
    <xdr:sp macro="" textlink="">
      <xdr:nvSpPr>
        <xdr:cNvPr id="63" name="Shape 3">
          <a:extLst>
            <a:ext uri="{FF2B5EF4-FFF2-40B4-BE49-F238E27FC236}">
              <a16:creationId xmlns:a16="http://schemas.microsoft.com/office/drawing/2014/main" id="{0FF8F84A-A017-4095-BC22-44E746B0571B}"/>
            </a:ext>
          </a:extLst>
        </xdr:cNvPr>
        <xdr:cNvSpPr txBox="1"/>
      </xdr:nvSpPr>
      <xdr:spPr>
        <a:xfrm>
          <a:off x="11134725" y="133254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31</xdr:row>
      <xdr:rowOff>0</xdr:rowOff>
    </xdr:from>
    <xdr:ext cx="114300" cy="200025"/>
    <xdr:sp macro="" textlink="">
      <xdr:nvSpPr>
        <xdr:cNvPr id="65" name="Shape 3">
          <a:extLst>
            <a:ext uri="{FF2B5EF4-FFF2-40B4-BE49-F238E27FC236}">
              <a16:creationId xmlns:a16="http://schemas.microsoft.com/office/drawing/2014/main" id="{A75867C0-BF79-4A66-AB28-0F40BA4868AE}"/>
            </a:ext>
          </a:extLst>
        </xdr:cNvPr>
        <xdr:cNvSpPr txBox="1"/>
      </xdr:nvSpPr>
      <xdr:spPr>
        <a:xfrm>
          <a:off x="11134725" y="133254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31</xdr:row>
      <xdr:rowOff>0</xdr:rowOff>
    </xdr:from>
    <xdr:ext cx="114300" cy="200025"/>
    <xdr:sp macro="" textlink="">
      <xdr:nvSpPr>
        <xdr:cNvPr id="67" name="Shape 3">
          <a:extLst>
            <a:ext uri="{FF2B5EF4-FFF2-40B4-BE49-F238E27FC236}">
              <a16:creationId xmlns:a16="http://schemas.microsoft.com/office/drawing/2014/main" id="{F5A3FF6D-AE6A-47D2-AC91-FFD2A303D6DA}"/>
            </a:ext>
          </a:extLst>
        </xdr:cNvPr>
        <xdr:cNvSpPr txBox="1"/>
      </xdr:nvSpPr>
      <xdr:spPr>
        <a:xfrm>
          <a:off x="11134725" y="133254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31</xdr:row>
      <xdr:rowOff>0</xdr:rowOff>
    </xdr:from>
    <xdr:ext cx="114300" cy="200025"/>
    <xdr:sp macro="" textlink="">
      <xdr:nvSpPr>
        <xdr:cNvPr id="69" name="Shape 3">
          <a:extLst>
            <a:ext uri="{FF2B5EF4-FFF2-40B4-BE49-F238E27FC236}">
              <a16:creationId xmlns:a16="http://schemas.microsoft.com/office/drawing/2014/main" id="{EEE5F958-1A03-40AA-8ABD-40BF4AD7AB6B}"/>
            </a:ext>
          </a:extLst>
        </xdr:cNvPr>
        <xdr:cNvSpPr txBox="1"/>
      </xdr:nvSpPr>
      <xdr:spPr>
        <a:xfrm>
          <a:off x="11134725" y="133254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31</xdr:row>
      <xdr:rowOff>0</xdr:rowOff>
    </xdr:from>
    <xdr:ext cx="114300" cy="200025"/>
    <xdr:sp macro="" textlink="">
      <xdr:nvSpPr>
        <xdr:cNvPr id="71" name="Shape 3">
          <a:extLst>
            <a:ext uri="{FF2B5EF4-FFF2-40B4-BE49-F238E27FC236}">
              <a16:creationId xmlns:a16="http://schemas.microsoft.com/office/drawing/2014/main" id="{D08B471C-83AD-4CD8-AA5F-8D3341A7FD91}"/>
            </a:ext>
          </a:extLst>
        </xdr:cNvPr>
        <xdr:cNvSpPr txBox="1"/>
      </xdr:nvSpPr>
      <xdr:spPr>
        <a:xfrm>
          <a:off x="11134725" y="133254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31</xdr:row>
      <xdr:rowOff>0</xdr:rowOff>
    </xdr:from>
    <xdr:ext cx="114300" cy="200025"/>
    <xdr:sp macro="" textlink="">
      <xdr:nvSpPr>
        <xdr:cNvPr id="73" name="Shape 3">
          <a:extLst>
            <a:ext uri="{FF2B5EF4-FFF2-40B4-BE49-F238E27FC236}">
              <a16:creationId xmlns:a16="http://schemas.microsoft.com/office/drawing/2014/main" id="{09A4F8CF-A98E-4DBB-9BBB-D63A3136CDE1}"/>
            </a:ext>
          </a:extLst>
        </xdr:cNvPr>
        <xdr:cNvSpPr txBox="1"/>
      </xdr:nvSpPr>
      <xdr:spPr>
        <a:xfrm>
          <a:off x="11134725" y="133254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31</xdr:row>
      <xdr:rowOff>0</xdr:rowOff>
    </xdr:from>
    <xdr:ext cx="114300" cy="200025"/>
    <xdr:sp macro="" textlink="">
      <xdr:nvSpPr>
        <xdr:cNvPr id="75" name="Shape 3">
          <a:extLst>
            <a:ext uri="{FF2B5EF4-FFF2-40B4-BE49-F238E27FC236}">
              <a16:creationId xmlns:a16="http://schemas.microsoft.com/office/drawing/2014/main" id="{62A6F4D9-7FC4-4B65-9BB4-736E61906707}"/>
            </a:ext>
          </a:extLst>
        </xdr:cNvPr>
        <xdr:cNvSpPr txBox="1"/>
      </xdr:nvSpPr>
      <xdr:spPr>
        <a:xfrm>
          <a:off x="11134725" y="133254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29</xdr:row>
      <xdr:rowOff>0</xdr:rowOff>
    </xdr:from>
    <xdr:ext cx="114300" cy="200025"/>
    <xdr:sp macro="" textlink="">
      <xdr:nvSpPr>
        <xdr:cNvPr id="163" name="Shape 3">
          <a:extLst>
            <a:ext uri="{FF2B5EF4-FFF2-40B4-BE49-F238E27FC236}">
              <a16:creationId xmlns:a16="http://schemas.microsoft.com/office/drawing/2014/main" id="{A7603B01-BD5A-4FF3-8179-569F8B32358C}"/>
            </a:ext>
          </a:extLst>
        </xdr:cNvPr>
        <xdr:cNvSpPr txBox="1"/>
      </xdr:nvSpPr>
      <xdr:spPr>
        <a:xfrm>
          <a:off x="11134725" y="793432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29</xdr:row>
      <xdr:rowOff>0</xdr:rowOff>
    </xdr:from>
    <xdr:ext cx="114300" cy="200025"/>
    <xdr:sp macro="" textlink="">
      <xdr:nvSpPr>
        <xdr:cNvPr id="167" name="Shape 3">
          <a:extLst>
            <a:ext uri="{FF2B5EF4-FFF2-40B4-BE49-F238E27FC236}">
              <a16:creationId xmlns:a16="http://schemas.microsoft.com/office/drawing/2014/main" id="{39E9C153-89FB-4B5F-8DB3-5AD86CFB50DB}"/>
            </a:ext>
          </a:extLst>
        </xdr:cNvPr>
        <xdr:cNvSpPr txBox="1"/>
      </xdr:nvSpPr>
      <xdr:spPr>
        <a:xfrm>
          <a:off x="11134725" y="793432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29</xdr:row>
      <xdr:rowOff>0</xdr:rowOff>
    </xdr:from>
    <xdr:ext cx="114300" cy="200025"/>
    <xdr:sp macro="" textlink="">
      <xdr:nvSpPr>
        <xdr:cNvPr id="173" name="Shape 3">
          <a:extLst>
            <a:ext uri="{FF2B5EF4-FFF2-40B4-BE49-F238E27FC236}">
              <a16:creationId xmlns:a16="http://schemas.microsoft.com/office/drawing/2014/main" id="{2C78D43D-0DCF-4C85-B844-62E2A8C18D90}"/>
            </a:ext>
          </a:extLst>
        </xdr:cNvPr>
        <xdr:cNvSpPr txBox="1"/>
      </xdr:nvSpPr>
      <xdr:spPr>
        <a:xfrm>
          <a:off x="11134725" y="793432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29</xdr:row>
      <xdr:rowOff>0</xdr:rowOff>
    </xdr:from>
    <xdr:ext cx="114300" cy="200025"/>
    <xdr:sp macro="" textlink="">
      <xdr:nvSpPr>
        <xdr:cNvPr id="183" name="Shape 3">
          <a:extLst>
            <a:ext uri="{FF2B5EF4-FFF2-40B4-BE49-F238E27FC236}">
              <a16:creationId xmlns:a16="http://schemas.microsoft.com/office/drawing/2014/main" id="{FFDD1003-CACA-4872-9CF4-59E7FF343C5E}"/>
            </a:ext>
          </a:extLst>
        </xdr:cNvPr>
        <xdr:cNvSpPr txBox="1"/>
      </xdr:nvSpPr>
      <xdr:spPr>
        <a:xfrm>
          <a:off x="11134725" y="793432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29</xdr:row>
      <xdr:rowOff>0</xdr:rowOff>
    </xdr:from>
    <xdr:ext cx="114300" cy="200025"/>
    <xdr:sp macro="" textlink="">
      <xdr:nvSpPr>
        <xdr:cNvPr id="187" name="Shape 3">
          <a:extLst>
            <a:ext uri="{FF2B5EF4-FFF2-40B4-BE49-F238E27FC236}">
              <a16:creationId xmlns:a16="http://schemas.microsoft.com/office/drawing/2014/main" id="{A9955A36-6719-4E55-877F-601FCDC25614}"/>
            </a:ext>
          </a:extLst>
        </xdr:cNvPr>
        <xdr:cNvSpPr txBox="1"/>
      </xdr:nvSpPr>
      <xdr:spPr>
        <a:xfrm>
          <a:off x="11134725" y="793432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29</xdr:row>
      <xdr:rowOff>0</xdr:rowOff>
    </xdr:from>
    <xdr:ext cx="114300" cy="200025"/>
    <xdr:sp macro="" textlink="">
      <xdr:nvSpPr>
        <xdr:cNvPr id="193" name="Shape 3">
          <a:extLst>
            <a:ext uri="{FF2B5EF4-FFF2-40B4-BE49-F238E27FC236}">
              <a16:creationId xmlns:a16="http://schemas.microsoft.com/office/drawing/2014/main" id="{379E2740-B075-44E3-99BD-5EAC2C91DCC2}"/>
            </a:ext>
          </a:extLst>
        </xdr:cNvPr>
        <xdr:cNvSpPr txBox="1"/>
      </xdr:nvSpPr>
      <xdr:spPr>
        <a:xfrm>
          <a:off x="11134725" y="793432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37</xdr:row>
      <xdr:rowOff>0</xdr:rowOff>
    </xdr:from>
    <xdr:ext cx="114300" cy="200025"/>
    <xdr:sp macro="" textlink="">
      <xdr:nvSpPr>
        <xdr:cNvPr id="203" name="Shape 3">
          <a:extLst>
            <a:ext uri="{FF2B5EF4-FFF2-40B4-BE49-F238E27FC236}">
              <a16:creationId xmlns:a16="http://schemas.microsoft.com/office/drawing/2014/main" id="{8BF4DE53-AD13-4E44-BEEA-7C1AE09C7E92}"/>
            </a:ext>
          </a:extLst>
        </xdr:cNvPr>
        <xdr:cNvSpPr txBox="1"/>
      </xdr:nvSpPr>
      <xdr:spPr>
        <a:xfrm>
          <a:off x="11134725" y="1448752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37</xdr:row>
      <xdr:rowOff>0</xdr:rowOff>
    </xdr:from>
    <xdr:ext cx="114300" cy="200025"/>
    <xdr:sp macro="" textlink="">
      <xdr:nvSpPr>
        <xdr:cNvPr id="207" name="Shape 3">
          <a:extLst>
            <a:ext uri="{FF2B5EF4-FFF2-40B4-BE49-F238E27FC236}">
              <a16:creationId xmlns:a16="http://schemas.microsoft.com/office/drawing/2014/main" id="{15E27B4F-7F8E-4549-909C-832ED67C68C5}"/>
            </a:ext>
          </a:extLst>
        </xdr:cNvPr>
        <xdr:cNvSpPr txBox="1"/>
      </xdr:nvSpPr>
      <xdr:spPr>
        <a:xfrm>
          <a:off x="11134725" y="1448752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37</xdr:row>
      <xdr:rowOff>0</xdr:rowOff>
    </xdr:from>
    <xdr:ext cx="114300" cy="200025"/>
    <xdr:sp macro="" textlink="">
      <xdr:nvSpPr>
        <xdr:cNvPr id="213" name="Shape 3">
          <a:extLst>
            <a:ext uri="{FF2B5EF4-FFF2-40B4-BE49-F238E27FC236}">
              <a16:creationId xmlns:a16="http://schemas.microsoft.com/office/drawing/2014/main" id="{724B4BEB-3862-4431-981A-41A13B093DED}"/>
            </a:ext>
          </a:extLst>
        </xdr:cNvPr>
        <xdr:cNvSpPr txBox="1"/>
      </xdr:nvSpPr>
      <xdr:spPr>
        <a:xfrm>
          <a:off x="11134725" y="1448752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37</xdr:row>
      <xdr:rowOff>0</xdr:rowOff>
    </xdr:from>
    <xdr:ext cx="114300" cy="200025"/>
    <xdr:sp macro="" textlink="">
      <xdr:nvSpPr>
        <xdr:cNvPr id="217" name="Shape 3">
          <a:extLst>
            <a:ext uri="{FF2B5EF4-FFF2-40B4-BE49-F238E27FC236}">
              <a16:creationId xmlns:a16="http://schemas.microsoft.com/office/drawing/2014/main" id="{4412A772-8742-44B9-8E0C-C712C33D5762}"/>
            </a:ext>
          </a:extLst>
        </xdr:cNvPr>
        <xdr:cNvSpPr txBox="1"/>
      </xdr:nvSpPr>
      <xdr:spPr>
        <a:xfrm>
          <a:off x="11134725" y="1448752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37</xdr:row>
      <xdr:rowOff>0</xdr:rowOff>
    </xdr:from>
    <xdr:ext cx="114300" cy="200025"/>
    <xdr:sp macro="" textlink="">
      <xdr:nvSpPr>
        <xdr:cNvPr id="223" name="Shape 3">
          <a:extLst>
            <a:ext uri="{FF2B5EF4-FFF2-40B4-BE49-F238E27FC236}">
              <a16:creationId xmlns:a16="http://schemas.microsoft.com/office/drawing/2014/main" id="{45BE278E-51EC-4389-AA5B-6212C322DDB1}"/>
            </a:ext>
          </a:extLst>
        </xdr:cNvPr>
        <xdr:cNvSpPr txBox="1"/>
      </xdr:nvSpPr>
      <xdr:spPr>
        <a:xfrm>
          <a:off x="11134725" y="1448752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492125</xdr:colOff>
      <xdr:row>31</xdr:row>
      <xdr:rowOff>142875</xdr:rowOff>
    </xdr:from>
    <xdr:ext cx="898071" cy="1079386"/>
    <xdr:pic>
      <xdr:nvPicPr>
        <xdr:cNvPr id="227" name="Imagen 226">
          <a:extLst>
            <a:ext uri="{FF2B5EF4-FFF2-40B4-BE49-F238E27FC236}">
              <a16:creationId xmlns:a16="http://schemas.microsoft.com/office/drawing/2014/main" id="{21391908-9BD3-41C8-83E1-47110F9FC62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25600" y="13468350"/>
          <a:ext cx="898071" cy="1079386"/>
        </a:xfrm>
        <a:prstGeom prst="rect">
          <a:avLst/>
        </a:prstGeom>
      </xdr:spPr>
    </xdr:pic>
    <xdr:clientData/>
  </xdr:oneCellAnchor>
  <xdr:oneCellAnchor>
    <xdr:from>
      <xdr:col>6</xdr:col>
      <xdr:colOff>0</xdr:colOff>
      <xdr:row>37</xdr:row>
      <xdr:rowOff>0</xdr:rowOff>
    </xdr:from>
    <xdr:ext cx="114300" cy="200025"/>
    <xdr:sp macro="" textlink="">
      <xdr:nvSpPr>
        <xdr:cNvPr id="233" name="Shape 3">
          <a:extLst>
            <a:ext uri="{FF2B5EF4-FFF2-40B4-BE49-F238E27FC236}">
              <a16:creationId xmlns:a16="http://schemas.microsoft.com/office/drawing/2014/main" id="{455B1A9C-E9BB-470A-962E-F3833717D779}"/>
            </a:ext>
          </a:extLst>
        </xdr:cNvPr>
        <xdr:cNvSpPr txBox="1"/>
      </xdr:nvSpPr>
      <xdr:spPr>
        <a:xfrm>
          <a:off x="11134725" y="1448752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37</xdr:row>
      <xdr:rowOff>0</xdr:rowOff>
    </xdr:from>
    <xdr:ext cx="114300" cy="200025"/>
    <xdr:sp macro="" textlink="">
      <xdr:nvSpPr>
        <xdr:cNvPr id="237" name="Shape 3">
          <a:extLst>
            <a:ext uri="{FF2B5EF4-FFF2-40B4-BE49-F238E27FC236}">
              <a16:creationId xmlns:a16="http://schemas.microsoft.com/office/drawing/2014/main" id="{D57AFB26-47AE-458F-BE69-B68107714EE2}"/>
            </a:ext>
          </a:extLst>
        </xdr:cNvPr>
        <xdr:cNvSpPr txBox="1"/>
      </xdr:nvSpPr>
      <xdr:spPr>
        <a:xfrm>
          <a:off x="11134725" y="1448752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37</xdr:row>
      <xdr:rowOff>0</xdr:rowOff>
    </xdr:from>
    <xdr:ext cx="114300" cy="200025"/>
    <xdr:sp macro="" textlink="">
      <xdr:nvSpPr>
        <xdr:cNvPr id="243" name="Shape 3">
          <a:extLst>
            <a:ext uri="{FF2B5EF4-FFF2-40B4-BE49-F238E27FC236}">
              <a16:creationId xmlns:a16="http://schemas.microsoft.com/office/drawing/2014/main" id="{11BC2F57-F3A4-42CC-8AB3-EFF424B99B94}"/>
            </a:ext>
          </a:extLst>
        </xdr:cNvPr>
        <xdr:cNvSpPr txBox="1"/>
      </xdr:nvSpPr>
      <xdr:spPr>
        <a:xfrm>
          <a:off x="11134725" y="1448752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492125</xdr:colOff>
      <xdr:row>31</xdr:row>
      <xdr:rowOff>142875</xdr:rowOff>
    </xdr:from>
    <xdr:ext cx="898071" cy="1079386"/>
    <xdr:pic>
      <xdr:nvPicPr>
        <xdr:cNvPr id="247" name="Imagen 246">
          <a:extLst>
            <a:ext uri="{FF2B5EF4-FFF2-40B4-BE49-F238E27FC236}">
              <a16:creationId xmlns:a16="http://schemas.microsoft.com/office/drawing/2014/main" id="{4B3A007D-D58F-43B4-A1EA-BAEB992C644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25600" y="13468350"/>
          <a:ext cx="898071" cy="1079386"/>
        </a:xfrm>
        <a:prstGeom prst="rect">
          <a:avLst/>
        </a:prstGeom>
      </xdr:spPr>
    </xdr:pic>
    <xdr:clientData/>
  </xdr:oneCellAnchor>
  <xdr:oneCellAnchor>
    <xdr:from>
      <xdr:col>6</xdr:col>
      <xdr:colOff>0</xdr:colOff>
      <xdr:row>65</xdr:row>
      <xdr:rowOff>0</xdr:rowOff>
    </xdr:from>
    <xdr:ext cx="114300" cy="200025"/>
    <xdr:sp macro="" textlink="">
      <xdr:nvSpPr>
        <xdr:cNvPr id="253" name="Shape 3">
          <a:extLst>
            <a:ext uri="{FF2B5EF4-FFF2-40B4-BE49-F238E27FC236}">
              <a16:creationId xmlns:a16="http://schemas.microsoft.com/office/drawing/2014/main" id="{57943397-0E0C-451D-B2BD-ECCB727B8A6A}"/>
            </a:ext>
          </a:extLst>
        </xdr:cNvPr>
        <xdr:cNvSpPr txBox="1"/>
      </xdr:nvSpPr>
      <xdr:spPr>
        <a:xfrm>
          <a:off x="11134725" y="2008822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65</xdr:row>
      <xdr:rowOff>0</xdr:rowOff>
    </xdr:from>
    <xdr:ext cx="114300" cy="200025"/>
    <xdr:sp macro="" textlink="">
      <xdr:nvSpPr>
        <xdr:cNvPr id="257" name="Shape 3">
          <a:extLst>
            <a:ext uri="{FF2B5EF4-FFF2-40B4-BE49-F238E27FC236}">
              <a16:creationId xmlns:a16="http://schemas.microsoft.com/office/drawing/2014/main" id="{28FCB24B-A8B8-4F26-AB2C-C00F302B115B}"/>
            </a:ext>
          </a:extLst>
        </xdr:cNvPr>
        <xdr:cNvSpPr txBox="1"/>
      </xdr:nvSpPr>
      <xdr:spPr>
        <a:xfrm>
          <a:off x="11134725" y="2008822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65</xdr:row>
      <xdr:rowOff>0</xdr:rowOff>
    </xdr:from>
    <xdr:ext cx="114300" cy="200025"/>
    <xdr:sp macro="" textlink="">
      <xdr:nvSpPr>
        <xdr:cNvPr id="267" name="Shape 3">
          <a:extLst>
            <a:ext uri="{FF2B5EF4-FFF2-40B4-BE49-F238E27FC236}">
              <a16:creationId xmlns:a16="http://schemas.microsoft.com/office/drawing/2014/main" id="{31851F32-90B7-41BA-9EE5-8E83C44B5406}"/>
            </a:ext>
          </a:extLst>
        </xdr:cNvPr>
        <xdr:cNvSpPr txBox="1"/>
      </xdr:nvSpPr>
      <xdr:spPr>
        <a:xfrm>
          <a:off x="11134725" y="2008822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65</xdr:row>
      <xdr:rowOff>0</xdr:rowOff>
    </xdr:from>
    <xdr:ext cx="114300" cy="200025"/>
    <xdr:sp macro="" textlink="">
      <xdr:nvSpPr>
        <xdr:cNvPr id="273" name="Shape 3">
          <a:extLst>
            <a:ext uri="{FF2B5EF4-FFF2-40B4-BE49-F238E27FC236}">
              <a16:creationId xmlns:a16="http://schemas.microsoft.com/office/drawing/2014/main" id="{C6E153D3-D570-4CBC-B46E-4907456973F4}"/>
            </a:ext>
          </a:extLst>
        </xdr:cNvPr>
        <xdr:cNvSpPr txBox="1"/>
      </xdr:nvSpPr>
      <xdr:spPr>
        <a:xfrm>
          <a:off x="11134725" y="2008822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65</xdr:row>
      <xdr:rowOff>0</xdr:rowOff>
    </xdr:from>
    <xdr:ext cx="114300" cy="200025"/>
    <xdr:sp macro="" textlink="">
      <xdr:nvSpPr>
        <xdr:cNvPr id="277" name="Shape 3">
          <a:extLst>
            <a:ext uri="{FF2B5EF4-FFF2-40B4-BE49-F238E27FC236}">
              <a16:creationId xmlns:a16="http://schemas.microsoft.com/office/drawing/2014/main" id="{54A07043-E55D-4F64-8E40-6DEDEFF34F7F}"/>
            </a:ext>
          </a:extLst>
        </xdr:cNvPr>
        <xdr:cNvSpPr txBox="1"/>
      </xdr:nvSpPr>
      <xdr:spPr>
        <a:xfrm>
          <a:off x="11134725" y="2008822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492125</xdr:colOff>
      <xdr:row>59</xdr:row>
      <xdr:rowOff>142875</xdr:rowOff>
    </xdr:from>
    <xdr:ext cx="898071" cy="1079386"/>
    <xdr:pic>
      <xdr:nvPicPr>
        <xdr:cNvPr id="298" name="Imagen 297">
          <a:extLst>
            <a:ext uri="{FF2B5EF4-FFF2-40B4-BE49-F238E27FC236}">
              <a16:creationId xmlns:a16="http://schemas.microsoft.com/office/drawing/2014/main" id="{D060DAB1-ADC8-46F2-A80D-A93ADCE4190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25600" y="19069050"/>
          <a:ext cx="898071" cy="1079386"/>
        </a:xfrm>
        <a:prstGeom prst="rect">
          <a:avLst/>
        </a:prstGeom>
      </xdr:spPr>
    </xdr:pic>
    <xdr:clientData/>
  </xdr:oneCellAnchor>
  <xdr:oneCellAnchor>
    <xdr:from>
      <xdr:col>6</xdr:col>
      <xdr:colOff>0</xdr:colOff>
      <xdr:row>65</xdr:row>
      <xdr:rowOff>0</xdr:rowOff>
    </xdr:from>
    <xdr:ext cx="114300" cy="200025"/>
    <xdr:sp macro="" textlink="">
      <xdr:nvSpPr>
        <xdr:cNvPr id="299" name="Shape 3">
          <a:extLst>
            <a:ext uri="{FF2B5EF4-FFF2-40B4-BE49-F238E27FC236}">
              <a16:creationId xmlns:a16="http://schemas.microsoft.com/office/drawing/2014/main" id="{F325EBF8-51B3-4652-8E79-A2B8D8705092}"/>
            </a:ext>
          </a:extLst>
        </xdr:cNvPr>
        <xdr:cNvSpPr txBox="1"/>
      </xdr:nvSpPr>
      <xdr:spPr>
        <a:xfrm>
          <a:off x="11134725" y="2008822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65</xdr:row>
      <xdr:rowOff>0</xdr:rowOff>
    </xdr:from>
    <xdr:ext cx="114300" cy="200025"/>
    <xdr:sp macro="" textlink="">
      <xdr:nvSpPr>
        <xdr:cNvPr id="300" name="Shape 3">
          <a:extLst>
            <a:ext uri="{FF2B5EF4-FFF2-40B4-BE49-F238E27FC236}">
              <a16:creationId xmlns:a16="http://schemas.microsoft.com/office/drawing/2014/main" id="{0EBA62E8-6B13-41C9-9276-00EFC8164599}"/>
            </a:ext>
          </a:extLst>
        </xdr:cNvPr>
        <xdr:cNvSpPr txBox="1"/>
      </xdr:nvSpPr>
      <xdr:spPr>
        <a:xfrm>
          <a:off x="11134725" y="2008822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65</xdr:row>
      <xdr:rowOff>0</xdr:rowOff>
    </xdr:from>
    <xdr:ext cx="114300" cy="200025"/>
    <xdr:sp macro="" textlink="">
      <xdr:nvSpPr>
        <xdr:cNvPr id="301" name="Shape 3">
          <a:extLst>
            <a:ext uri="{FF2B5EF4-FFF2-40B4-BE49-F238E27FC236}">
              <a16:creationId xmlns:a16="http://schemas.microsoft.com/office/drawing/2014/main" id="{2BA9DFE1-4B04-4094-A01F-B03BBC9785CC}"/>
            </a:ext>
          </a:extLst>
        </xdr:cNvPr>
        <xdr:cNvSpPr txBox="1"/>
      </xdr:nvSpPr>
      <xdr:spPr>
        <a:xfrm>
          <a:off x="11134725" y="2008822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492125</xdr:colOff>
      <xdr:row>59</xdr:row>
      <xdr:rowOff>142875</xdr:rowOff>
    </xdr:from>
    <xdr:ext cx="898071" cy="1079386"/>
    <xdr:pic>
      <xdr:nvPicPr>
        <xdr:cNvPr id="302" name="Imagen 301">
          <a:extLst>
            <a:ext uri="{FF2B5EF4-FFF2-40B4-BE49-F238E27FC236}">
              <a16:creationId xmlns:a16="http://schemas.microsoft.com/office/drawing/2014/main" id="{111956E1-CEAD-4510-B18B-BB0C0623924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25600" y="19069050"/>
          <a:ext cx="898071" cy="1079386"/>
        </a:xfrm>
        <a:prstGeom prst="rect">
          <a:avLst/>
        </a:prstGeom>
      </xdr:spPr>
    </xdr:pic>
    <xdr:clientData/>
  </xdr:oneCellAnchor>
  <xdr:oneCellAnchor>
    <xdr:from>
      <xdr:col>6</xdr:col>
      <xdr:colOff>0</xdr:colOff>
      <xdr:row>93</xdr:row>
      <xdr:rowOff>0</xdr:rowOff>
    </xdr:from>
    <xdr:ext cx="114300" cy="200025"/>
    <xdr:sp macro="" textlink="">
      <xdr:nvSpPr>
        <xdr:cNvPr id="303" name="Shape 3">
          <a:extLst>
            <a:ext uri="{FF2B5EF4-FFF2-40B4-BE49-F238E27FC236}">
              <a16:creationId xmlns:a16="http://schemas.microsoft.com/office/drawing/2014/main" id="{75C52D1E-5EA1-442D-87DD-9AC5FA09D350}"/>
            </a:ext>
          </a:extLst>
        </xdr:cNvPr>
        <xdr:cNvSpPr txBox="1"/>
      </xdr:nvSpPr>
      <xdr:spPr>
        <a:xfrm>
          <a:off x="11134725" y="263556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93</xdr:row>
      <xdr:rowOff>0</xdr:rowOff>
    </xdr:from>
    <xdr:ext cx="114300" cy="200025"/>
    <xdr:sp macro="" textlink="">
      <xdr:nvSpPr>
        <xdr:cNvPr id="304" name="Shape 3">
          <a:extLst>
            <a:ext uri="{FF2B5EF4-FFF2-40B4-BE49-F238E27FC236}">
              <a16:creationId xmlns:a16="http://schemas.microsoft.com/office/drawing/2014/main" id="{0EFD5097-DC27-489E-A0AC-E4AF4410A25B}"/>
            </a:ext>
          </a:extLst>
        </xdr:cNvPr>
        <xdr:cNvSpPr txBox="1"/>
      </xdr:nvSpPr>
      <xdr:spPr>
        <a:xfrm>
          <a:off x="11134725" y="263556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93</xdr:row>
      <xdr:rowOff>0</xdr:rowOff>
    </xdr:from>
    <xdr:ext cx="114300" cy="200025"/>
    <xdr:sp macro="" textlink="">
      <xdr:nvSpPr>
        <xdr:cNvPr id="305" name="Shape 3">
          <a:extLst>
            <a:ext uri="{FF2B5EF4-FFF2-40B4-BE49-F238E27FC236}">
              <a16:creationId xmlns:a16="http://schemas.microsoft.com/office/drawing/2014/main" id="{5490E43A-03EB-48DD-89E4-63D56575F65F}"/>
            </a:ext>
          </a:extLst>
        </xdr:cNvPr>
        <xdr:cNvSpPr txBox="1"/>
      </xdr:nvSpPr>
      <xdr:spPr>
        <a:xfrm>
          <a:off x="11134725" y="263556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93</xdr:row>
      <xdr:rowOff>0</xdr:rowOff>
    </xdr:from>
    <xdr:ext cx="114300" cy="200025"/>
    <xdr:sp macro="" textlink="">
      <xdr:nvSpPr>
        <xdr:cNvPr id="306" name="Shape 3">
          <a:extLst>
            <a:ext uri="{FF2B5EF4-FFF2-40B4-BE49-F238E27FC236}">
              <a16:creationId xmlns:a16="http://schemas.microsoft.com/office/drawing/2014/main" id="{F53E953D-6645-4159-AF10-54F0EF63767F}"/>
            </a:ext>
          </a:extLst>
        </xdr:cNvPr>
        <xdr:cNvSpPr txBox="1"/>
      </xdr:nvSpPr>
      <xdr:spPr>
        <a:xfrm>
          <a:off x="11134725" y="263556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93</xdr:row>
      <xdr:rowOff>0</xdr:rowOff>
    </xdr:from>
    <xdr:ext cx="114300" cy="200025"/>
    <xdr:sp macro="" textlink="">
      <xdr:nvSpPr>
        <xdr:cNvPr id="307" name="Shape 3">
          <a:extLst>
            <a:ext uri="{FF2B5EF4-FFF2-40B4-BE49-F238E27FC236}">
              <a16:creationId xmlns:a16="http://schemas.microsoft.com/office/drawing/2014/main" id="{8ADFC6F2-F5B9-4A66-920B-26879B1550AB}"/>
            </a:ext>
          </a:extLst>
        </xdr:cNvPr>
        <xdr:cNvSpPr txBox="1"/>
      </xdr:nvSpPr>
      <xdr:spPr>
        <a:xfrm>
          <a:off x="11134725" y="263556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492125</xdr:colOff>
      <xdr:row>87</xdr:row>
      <xdr:rowOff>142875</xdr:rowOff>
    </xdr:from>
    <xdr:ext cx="898071" cy="1079386"/>
    <xdr:pic>
      <xdr:nvPicPr>
        <xdr:cNvPr id="308" name="Imagen 307">
          <a:extLst>
            <a:ext uri="{FF2B5EF4-FFF2-40B4-BE49-F238E27FC236}">
              <a16:creationId xmlns:a16="http://schemas.microsoft.com/office/drawing/2014/main" id="{1964751B-638F-4BCC-92B9-AA7DA9E0680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25600" y="25336500"/>
          <a:ext cx="898071" cy="1079386"/>
        </a:xfrm>
        <a:prstGeom prst="rect">
          <a:avLst/>
        </a:prstGeom>
      </xdr:spPr>
    </xdr:pic>
    <xdr:clientData/>
  </xdr:oneCellAnchor>
  <xdr:oneCellAnchor>
    <xdr:from>
      <xdr:col>6</xdr:col>
      <xdr:colOff>0</xdr:colOff>
      <xdr:row>93</xdr:row>
      <xdr:rowOff>0</xdr:rowOff>
    </xdr:from>
    <xdr:ext cx="114300" cy="200025"/>
    <xdr:sp macro="" textlink="">
      <xdr:nvSpPr>
        <xdr:cNvPr id="309" name="Shape 3">
          <a:extLst>
            <a:ext uri="{FF2B5EF4-FFF2-40B4-BE49-F238E27FC236}">
              <a16:creationId xmlns:a16="http://schemas.microsoft.com/office/drawing/2014/main" id="{87F9F2CC-3F23-456F-BA23-188EEE14299F}"/>
            </a:ext>
          </a:extLst>
        </xdr:cNvPr>
        <xdr:cNvSpPr txBox="1"/>
      </xdr:nvSpPr>
      <xdr:spPr>
        <a:xfrm>
          <a:off x="11134725" y="263556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93</xdr:row>
      <xdr:rowOff>0</xdr:rowOff>
    </xdr:from>
    <xdr:ext cx="114300" cy="200025"/>
    <xdr:sp macro="" textlink="">
      <xdr:nvSpPr>
        <xdr:cNvPr id="310" name="Shape 3">
          <a:extLst>
            <a:ext uri="{FF2B5EF4-FFF2-40B4-BE49-F238E27FC236}">
              <a16:creationId xmlns:a16="http://schemas.microsoft.com/office/drawing/2014/main" id="{EE1D413C-37DC-42F4-9819-67CAEDACB3FB}"/>
            </a:ext>
          </a:extLst>
        </xdr:cNvPr>
        <xdr:cNvSpPr txBox="1"/>
      </xdr:nvSpPr>
      <xdr:spPr>
        <a:xfrm>
          <a:off x="11134725" y="263556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93</xdr:row>
      <xdr:rowOff>0</xdr:rowOff>
    </xdr:from>
    <xdr:ext cx="114300" cy="200025"/>
    <xdr:sp macro="" textlink="">
      <xdr:nvSpPr>
        <xdr:cNvPr id="311" name="Shape 3">
          <a:extLst>
            <a:ext uri="{FF2B5EF4-FFF2-40B4-BE49-F238E27FC236}">
              <a16:creationId xmlns:a16="http://schemas.microsoft.com/office/drawing/2014/main" id="{4D03CB55-15FE-4E31-85A2-6BDEB39B286F}"/>
            </a:ext>
          </a:extLst>
        </xdr:cNvPr>
        <xdr:cNvSpPr txBox="1"/>
      </xdr:nvSpPr>
      <xdr:spPr>
        <a:xfrm>
          <a:off x="11134725" y="263556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492125</xdr:colOff>
      <xdr:row>87</xdr:row>
      <xdr:rowOff>142875</xdr:rowOff>
    </xdr:from>
    <xdr:ext cx="898071" cy="1079386"/>
    <xdr:pic>
      <xdr:nvPicPr>
        <xdr:cNvPr id="312" name="Imagen 311">
          <a:extLst>
            <a:ext uri="{FF2B5EF4-FFF2-40B4-BE49-F238E27FC236}">
              <a16:creationId xmlns:a16="http://schemas.microsoft.com/office/drawing/2014/main" id="{EB53EABD-9476-4FED-A980-3BAF5D06000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25600" y="25336500"/>
          <a:ext cx="898071" cy="1079386"/>
        </a:xfrm>
        <a:prstGeom prst="rect">
          <a:avLst/>
        </a:prstGeom>
      </xdr:spPr>
    </xdr:pic>
    <xdr:clientData/>
  </xdr:oneCellAnchor>
  <xdr:oneCellAnchor>
    <xdr:from>
      <xdr:col>6</xdr:col>
      <xdr:colOff>0</xdr:colOff>
      <xdr:row>121</xdr:row>
      <xdr:rowOff>0</xdr:rowOff>
    </xdr:from>
    <xdr:ext cx="114300" cy="200025"/>
    <xdr:sp macro="" textlink="">
      <xdr:nvSpPr>
        <xdr:cNvPr id="313" name="Shape 3">
          <a:extLst>
            <a:ext uri="{FF2B5EF4-FFF2-40B4-BE49-F238E27FC236}">
              <a16:creationId xmlns:a16="http://schemas.microsoft.com/office/drawing/2014/main" id="{8430407B-1AE5-443F-AD33-1E88060AD499}"/>
            </a:ext>
          </a:extLst>
        </xdr:cNvPr>
        <xdr:cNvSpPr txBox="1"/>
      </xdr:nvSpPr>
      <xdr:spPr>
        <a:xfrm>
          <a:off x="11134725" y="323373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121</xdr:row>
      <xdr:rowOff>0</xdr:rowOff>
    </xdr:from>
    <xdr:ext cx="114300" cy="200025"/>
    <xdr:sp macro="" textlink="">
      <xdr:nvSpPr>
        <xdr:cNvPr id="314" name="Shape 3">
          <a:extLst>
            <a:ext uri="{FF2B5EF4-FFF2-40B4-BE49-F238E27FC236}">
              <a16:creationId xmlns:a16="http://schemas.microsoft.com/office/drawing/2014/main" id="{45472CE7-7429-4C2E-A8CF-43322924E8DC}"/>
            </a:ext>
          </a:extLst>
        </xdr:cNvPr>
        <xdr:cNvSpPr txBox="1"/>
      </xdr:nvSpPr>
      <xdr:spPr>
        <a:xfrm>
          <a:off x="11134725" y="323373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121</xdr:row>
      <xdr:rowOff>0</xdr:rowOff>
    </xdr:from>
    <xdr:ext cx="114300" cy="200025"/>
    <xdr:sp macro="" textlink="">
      <xdr:nvSpPr>
        <xdr:cNvPr id="315" name="Shape 3">
          <a:extLst>
            <a:ext uri="{FF2B5EF4-FFF2-40B4-BE49-F238E27FC236}">
              <a16:creationId xmlns:a16="http://schemas.microsoft.com/office/drawing/2014/main" id="{AC8F86A0-F095-485F-BA37-FF3A175966FF}"/>
            </a:ext>
          </a:extLst>
        </xdr:cNvPr>
        <xdr:cNvSpPr txBox="1"/>
      </xdr:nvSpPr>
      <xdr:spPr>
        <a:xfrm>
          <a:off x="11134725" y="323373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121</xdr:row>
      <xdr:rowOff>0</xdr:rowOff>
    </xdr:from>
    <xdr:ext cx="114300" cy="200025"/>
    <xdr:sp macro="" textlink="">
      <xdr:nvSpPr>
        <xdr:cNvPr id="316" name="Shape 3">
          <a:extLst>
            <a:ext uri="{FF2B5EF4-FFF2-40B4-BE49-F238E27FC236}">
              <a16:creationId xmlns:a16="http://schemas.microsoft.com/office/drawing/2014/main" id="{707506A1-237C-4F08-B0C5-38CCF70125E8}"/>
            </a:ext>
          </a:extLst>
        </xdr:cNvPr>
        <xdr:cNvSpPr txBox="1"/>
      </xdr:nvSpPr>
      <xdr:spPr>
        <a:xfrm>
          <a:off x="11134725" y="323373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121</xdr:row>
      <xdr:rowOff>0</xdr:rowOff>
    </xdr:from>
    <xdr:ext cx="114300" cy="200025"/>
    <xdr:sp macro="" textlink="">
      <xdr:nvSpPr>
        <xdr:cNvPr id="317" name="Shape 3">
          <a:extLst>
            <a:ext uri="{FF2B5EF4-FFF2-40B4-BE49-F238E27FC236}">
              <a16:creationId xmlns:a16="http://schemas.microsoft.com/office/drawing/2014/main" id="{B1AB19FD-257C-4F7A-9CB2-E53F2C459FC3}"/>
            </a:ext>
          </a:extLst>
        </xdr:cNvPr>
        <xdr:cNvSpPr txBox="1"/>
      </xdr:nvSpPr>
      <xdr:spPr>
        <a:xfrm>
          <a:off x="11134725" y="323373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492125</xdr:colOff>
      <xdr:row>115</xdr:row>
      <xdr:rowOff>142875</xdr:rowOff>
    </xdr:from>
    <xdr:ext cx="898071" cy="1079386"/>
    <xdr:pic>
      <xdr:nvPicPr>
        <xdr:cNvPr id="318" name="Imagen 317">
          <a:extLst>
            <a:ext uri="{FF2B5EF4-FFF2-40B4-BE49-F238E27FC236}">
              <a16:creationId xmlns:a16="http://schemas.microsoft.com/office/drawing/2014/main" id="{27324C89-FCD0-4E71-9143-8FF073C6534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25600" y="31318200"/>
          <a:ext cx="898071" cy="1079386"/>
        </a:xfrm>
        <a:prstGeom prst="rect">
          <a:avLst/>
        </a:prstGeom>
      </xdr:spPr>
    </xdr:pic>
    <xdr:clientData/>
  </xdr:oneCellAnchor>
  <xdr:oneCellAnchor>
    <xdr:from>
      <xdr:col>6</xdr:col>
      <xdr:colOff>0</xdr:colOff>
      <xdr:row>121</xdr:row>
      <xdr:rowOff>0</xdr:rowOff>
    </xdr:from>
    <xdr:ext cx="114300" cy="200025"/>
    <xdr:sp macro="" textlink="">
      <xdr:nvSpPr>
        <xdr:cNvPr id="319" name="Shape 3">
          <a:extLst>
            <a:ext uri="{FF2B5EF4-FFF2-40B4-BE49-F238E27FC236}">
              <a16:creationId xmlns:a16="http://schemas.microsoft.com/office/drawing/2014/main" id="{F09C4DEF-C322-43BF-A1A6-F70AB998A768}"/>
            </a:ext>
          </a:extLst>
        </xdr:cNvPr>
        <xdr:cNvSpPr txBox="1"/>
      </xdr:nvSpPr>
      <xdr:spPr>
        <a:xfrm>
          <a:off x="11134725" y="323373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121</xdr:row>
      <xdr:rowOff>0</xdr:rowOff>
    </xdr:from>
    <xdr:ext cx="114300" cy="200025"/>
    <xdr:sp macro="" textlink="">
      <xdr:nvSpPr>
        <xdr:cNvPr id="320" name="Shape 3">
          <a:extLst>
            <a:ext uri="{FF2B5EF4-FFF2-40B4-BE49-F238E27FC236}">
              <a16:creationId xmlns:a16="http://schemas.microsoft.com/office/drawing/2014/main" id="{F27A5817-F35D-4AA4-912D-4E01FBCC6769}"/>
            </a:ext>
          </a:extLst>
        </xdr:cNvPr>
        <xdr:cNvSpPr txBox="1"/>
      </xdr:nvSpPr>
      <xdr:spPr>
        <a:xfrm>
          <a:off x="11134725" y="323373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121</xdr:row>
      <xdr:rowOff>0</xdr:rowOff>
    </xdr:from>
    <xdr:ext cx="114300" cy="200025"/>
    <xdr:sp macro="" textlink="">
      <xdr:nvSpPr>
        <xdr:cNvPr id="321" name="Shape 3">
          <a:extLst>
            <a:ext uri="{FF2B5EF4-FFF2-40B4-BE49-F238E27FC236}">
              <a16:creationId xmlns:a16="http://schemas.microsoft.com/office/drawing/2014/main" id="{606E9CD5-BFC0-40BD-AE81-D4337590674E}"/>
            </a:ext>
          </a:extLst>
        </xdr:cNvPr>
        <xdr:cNvSpPr txBox="1"/>
      </xdr:nvSpPr>
      <xdr:spPr>
        <a:xfrm>
          <a:off x="11134725" y="323373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492125</xdr:colOff>
      <xdr:row>115</xdr:row>
      <xdr:rowOff>142875</xdr:rowOff>
    </xdr:from>
    <xdr:ext cx="898071" cy="1079386"/>
    <xdr:pic>
      <xdr:nvPicPr>
        <xdr:cNvPr id="322" name="Imagen 321">
          <a:extLst>
            <a:ext uri="{FF2B5EF4-FFF2-40B4-BE49-F238E27FC236}">
              <a16:creationId xmlns:a16="http://schemas.microsoft.com/office/drawing/2014/main" id="{21CD867E-15EE-4548-A274-2EBA1DBE81A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25600" y="31318200"/>
          <a:ext cx="898071" cy="1079386"/>
        </a:xfrm>
        <a:prstGeom prst="rect">
          <a:avLst/>
        </a:prstGeom>
      </xdr:spPr>
    </xdr:pic>
    <xdr:clientData/>
  </xdr:oneCellAnchor>
  <xdr:oneCellAnchor>
    <xdr:from>
      <xdr:col>6</xdr:col>
      <xdr:colOff>0</xdr:colOff>
      <xdr:row>170</xdr:row>
      <xdr:rowOff>0</xdr:rowOff>
    </xdr:from>
    <xdr:ext cx="114300" cy="200025"/>
    <xdr:sp macro="" textlink="">
      <xdr:nvSpPr>
        <xdr:cNvPr id="323" name="Shape 3">
          <a:extLst>
            <a:ext uri="{FF2B5EF4-FFF2-40B4-BE49-F238E27FC236}">
              <a16:creationId xmlns:a16="http://schemas.microsoft.com/office/drawing/2014/main" id="{517D2C23-5728-4F06-990B-7A62E8A71EB4}"/>
            </a:ext>
          </a:extLst>
        </xdr:cNvPr>
        <xdr:cNvSpPr txBox="1"/>
      </xdr:nvSpPr>
      <xdr:spPr>
        <a:xfrm>
          <a:off x="11134725" y="421290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170</xdr:row>
      <xdr:rowOff>0</xdr:rowOff>
    </xdr:from>
    <xdr:ext cx="114300" cy="200025"/>
    <xdr:sp macro="" textlink="">
      <xdr:nvSpPr>
        <xdr:cNvPr id="324" name="Shape 3">
          <a:extLst>
            <a:ext uri="{FF2B5EF4-FFF2-40B4-BE49-F238E27FC236}">
              <a16:creationId xmlns:a16="http://schemas.microsoft.com/office/drawing/2014/main" id="{6DD34FA4-90B9-4C31-A128-1EEFBA7B6880}"/>
            </a:ext>
          </a:extLst>
        </xdr:cNvPr>
        <xdr:cNvSpPr txBox="1"/>
      </xdr:nvSpPr>
      <xdr:spPr>
        <a:xfrm>
          <a:off x="11134725" y="421290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170</xdr:row>
      <xdr:rowOff>0</xdr:rowOff>
    </xdr:from>
    <xdr:ext cx="114300" cy="200025"/>
    <xdr:sp macro="" textlink="">
      <xdr:nvSpPr>
        <xdr:cNvPr id="325" name="Shape 3">
          <a:extLst>
            <a:ext uri="{FF2B5EF4-FFF2-40B4-BE49-F238E27FC236}">
              <a16:creationId xmlns:a16="http://schemas.microsoft.com/office/drawing/2014/main" id="{81D20ECE-7C43-4B5B-B3C8-D26F7ABF7D03}"/>
            </a:ext>
          </a:extLst>
        </xdr:cNvPr>
        <xdr:cNvSpPr txBox="1"/>
      </xdr:nvSpPr>
      <xdr:spPr>
        <a:xfrm>
          <a:off x="11134725" y="421290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170</xdr:row>
      <xdr:rowOff>0</xdr:rowOff>
    </xdr:from>
    <xdr:ext cx="114300" cy="200025"/>
    <xdr:sp macro="" textlink="">
      <xdr:nvSpPr>
        <xdr:cNvPr id="326" name="Shape 3">
          <a:extLst>
            <a:ext uri="{FF2B5EF4-FFF2-40B4-BE49-F238E27FC236}">
              <a16:creationId xmlns:a16="http://schemas.microsoft.com/office/drawing/2014/main" id="{BF3BF62F-5CFB-4CAE-BF70-2142CE3026A2}"/>
            </a:ext>
          </a:extLst>
        </xdr:cNvPr>
        <xdr:cNvSpPr txBox="1"/>
      </xdr:nvSpPr>
      <xdr:spPr>
        <a:xfrm>
          <a:off x="11134725" y="421290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170</xdr:row>
      <xdr:rowOff>0</xdr:rowOff>
    </xdr:from>
    <xdr:ext cx="114300" cy="200025"/>
    <xdr:sp macro="" textlink="">
      <xdr:nvSpPr>
        <xdr:cNvPr id="327" name="Shape 3">
          <a:extLst>
            <a:ext uri="{FF2B5EF4-FFF2-40B4-BE49-F238E27FC236}">
              <a16:creationId xmlns:a16="http://schemas.microsoft.com/office/drawing/2014/main" id="{6B765641-42B5-446B-B3A1-33FC126CD2DD}"/>
            </a:ext>
          </a:extLst>
        </xdr:cNvPr>
        <xdr:cNvSpPr txBox="1"/>
      </xdr:nvSpPr>
      <xdr:spPr>
        <a:xfrm>
          <a:off x="11134725" y="421290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492125</xdr:colOff>
      <xdr:row>164</xdr:row>
      <xdr:rowOff>142875</xdr:rowOff>
    </xdr:from>
    <xdr:ext cx="898071" cy="1079386"/>
    <xdr:pic>
      <xdr:nvPicPr>
        <xdr:cNvPr id="328" name="Imagen 327">
          <a:extLst>
            <a:ext uri="{FF2B5EF4-FFF2-40B4-BE49-F238E27FC236}">
              <a16:creationId xmlns:a16="http://schemas.microsoft.com/office/drawing/2014/main" id="{C75E81B0-0CF4-42C4-BC9A-0B39CACF74E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25600" y="41109900"/>
          <a:ext cx="898071" cy="1079386"/>
        </a:xfrm>
        <a:prstGeom prst="rect">
          <a:avLst/>
        </a:prstGeom>
      </xdr:spPr>
    </xdr:pic>
    <xdr:clientData/>
  </xdr:oneCellAnchor>
  <xdr:oneCellAnchor>
    <xdr:from>
      <xdr:col>6</xdr:col>
      <xdr:colOff>0</xdr:colOff>
      <xdr:row>170</xdr:row>
      <xdr:rowOff>0</xdr:rowOff>
    </xdr:from>
    <xdr:ext cx="114300" cy="200025"/>
    <xdr:sp macro="" textlink="">
      <xdr:nvSpPr>
        <xdr:cNvPr id="329" name="Shape 3">
          <a:extLst>
            <a:ext uri="{FF2B5EF4-FFF2-40B4-BE49-F238E27FC236}">
              <a16:creationId xmlns:a16="http://schemas.microsoft.com/office/drawing/2014/main" id="{00CEE5C4-E437-494D-8DB3-3C001E7AF5C3}"/>
            </a:ext>
          </a:extLst>
        </xdr:cNvPr>
        <xdr:cNvSpPr txBox="1"/>
      </xdr:nvSpPr>
      <xdr:spPr>
        <a:xfrm>
          <a:off x="11134725" y="421290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170</xdr:row>
      <xdr:rowOff>0</xdr:rowOff>
    </xdr:from>
    <xdr:ext cx="114300" cy="200025"/>
    <xdr:sp macro="" textlink="">
      <xdr:nvSpPr>
        <xdr:cNvPr id="330" name="Shape 3">
          <a:extLst>
            <a:ext uri="{FF2B5EF4-FFF2-40B4-BE49-F238E27FC236}">
              <a16:creationId xmlns:a16="http://schemas.microsoft.com/office/drawing/2014/main" id="{4D27CBC2-CB16-4947-8CA6-F8AC824E6533}"/>
            </a:ext>
          </a:extLst>
        </xdr:cNvPr>
        <xdr:cNvSpPr txBox="1"/>
      </xdr:nvSpPr>
      <xdr:spPr>
        <a:xfrm>
          <a:off x="11134725" y="421290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170</xdr:row>
      <xdr:rowOff>0</xdr:rowOff>
    </xdr:from>
    <xdr:ext cx="114300" cy="200025"/>
    <xdr:sp macro="" textlink="">
      <xdr:nvSpPr>
        <xdr:cNvPr id="331" name="Shape 3">
          <a:extLst>
            <a:ext uri="{FF2B5EF4-FFF2-40B4-BE49-F238E27FC236}">
              <a16:creationId xmlns:a16="http://schemas.microsoft.com/office/drawing/2014/main" id="{41760936-4892-4A26-80BC-D5EB6A03A11F}"/>
            </a:ext>
          </a:extLst>
        </xdr:cNvPr>
        <xdr:cNvSpPr txBox="1"/>
      </xdr:nvSpPr>
      <xdr:spPr>
        <a:xfrm>
          <a:off x="11134725" y="421290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492125</xdr:colOff>
      <xdr:row>164</xdr:row>
      <xdr:rowOff>142875</xdr:rowOff>
    </xdr:from>
    <xdr:ext cx="898071" cy="1079386"/>
    <xdr:pic>
      <xdr:nvPicPr>
        <xdr:cNvPr id="332" name="Imagen 331">
          <a:extLst>
            <a:ext uri="{FF2B5EF4-FFF2-40B4-BE49-F238E27FC236}">
              <a16:creationId xmlns:a16="http://schemas.microsoft.com/office/drawing/2014/main" id="{BACC7E0A-53BD-40F0-A411-7AEC723851D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25600" y="41109900"/>
          <a:ext cx="898071" cy="1079386"/>
        </a:xfrm>
        <a:prstGeom prst="rect">
          <a:avLst/>
        </a:prstGeom>
      </xdr:spPr>
    </xdr:pic>
    <xdr:clientData/>
  </xdr:oneCellAnchor>
  <xdr:oneCellAnchor>
    <xdr:from>
      <xdr:col>6</xdr:col>
      <xdr:colOff>0</xdr:colOff>
      <xdr:row>198</xdr:row>
      <xdr:rowOff>0</xdr:rowOff>
    </xdr:from>
    <xdr:ext cx="114300" cy="200025"/>
    <xdr:sp macro="" textlink="">
      <xdr:nvSpPr>
        <xdr:cNvPr id="333" name="Shape 3">
          <a:extLst>
            <a:ext uri="{FF2B5EF4-FFF2-40B4-BE49-F238E27FC236}">
              <a16:creationId xmlns:a16="http://schemas.microsoft.com/office/drawing/2014/main" id="{FEA187F7-8603-4B13-9B8A-28A1F84BEDC0}"/>
            </a:ext>
          </a:extLst>
        </xdr:cNvPr>
        <xdr:cNvSpPr txBox="1"/>
      </xdr:nvSpPr>
      <xdr:spPr>
        <a:xfrm>
          <a:off x="11134725" y="479488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198</xdr:row>
      <xdr:rowOff>0</xdr:rowOff>
    </xdr:from>
    <xdr:ext cx="114300" cy="200025"/>
    <xdr:sp macro="" textlink="">
      <xdr:nvSpPr>
        <xdr:cNvPr id="334" name="Shape 3">
          <a:extLst>
            <a:ext uri="{FF2B5EF4-FFF2-40B4-BE49-F238E27FC236}">
              <a16:creationId xmlns:a16="http://schemas.microsoft.com/office/drawing/2014/main" id="{9F6DB69C-F1D2-4071-8330-6DB81A19E082}"/>
            </a:ext>
          </a:extLst>
        </xdr:cNvPr>
        <xdr:cNvSpPr txBox="1"/>
      </xdr:nvSpPr>
      <xdr:spPr>
        <a:xfrm>
          <a:off x="11134725" y="479488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198</xdr:row>
      <xdr:rowOff>0</xdr:rowOff>
    </xdr:from>
    <xdr:ext cx="114300" cy="200025"/>
    <xdr:sp macro="" textlink="">
      <xdr:nvSpPr>
        <xdr:cNvPr id="335" name="Shape 3">
          <a:extLst>
            <a:ext uri="{FF2B5EF4-FFF2-40B4-BE49-F238E27FC236}">
              <a16:creationId xmlns:a16="http://schemas.microsoft.com/office/drawing/2014/main" id="{901B160E-005D-4EF8-992B-EA3AF846415E}"/>
            </a:ext>
          </a:extLst>
        </xdr:cNvPr>
        <xdr:cNvSpPr txBox="1"/>
      </xdr:nvSpPr>
      <xdr:spPr>
        <a:xfrm>
          <a:off x="11134725" y="479488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198</xdr:row>
      <xdr:rowOff>0</xdr:rowOff>
    </xdr:from>
    <xdr:ext cx="114300" cy="200025"/>
    <xdr:sp macro="" textlink="">
      <xdr:nvSpPr>
        <xdr:cNvPr id="336" name="Shape 3">
          <a:extLst>
            <a:ext uri="{FF2B5EF4-FFF2-40B4-BE49-F238E27FC236}">
              <a16:creationId xmlns:a16="http://schemas.microsoft.com/office/drawing/2014/main" id="{ADBD0055-3642-4E5F-BACA-B0B9D39346F9}"/>
            </a:ext>
          </a:extLst>
        </xdr:cNvPr>
        <xdr:cNvSpPr txBox="1"/>
      </xdr:nvSpPr>
      <xdr:spPr>
        <a:xfrm>
          <a:off x="11134725" y="479488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198</xdr:row>
      <xdr:rowOff>0</xdr:rowOff>
    </xdr:from>
    <xdr:ext cx="114300" cy="200025"/>
    <xdr:sp macro="" textlink="">
      <xdr:nvSpPr>
        <xdr:cNvPr id="337" name="Shape 3">
          <a:extLst>
            <a:ext uri="{FF2B5EF4-FFF2-40B4-BE49-F238E27FC236}">
              <a16:creationId xmlns:a16="http://schemas.microsoft.com/office/drawing/2014/main" id="{102D3557-EB7F-4E0D-A0FE-6BB7778CD9DC}"/>
            </a:ext>
          </a:extLst>
        </xdr:cNvPr>
        <xdr:cNvSpPr txBox="1"/>
      </xdr:nvSpPr>
      <xdr:spPr>
        <a:xfrm>
          <a:off x="11134725" y="479488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492125</xdr:colOff>
      <xdr:row>192</xdr:row>
      <xdr:rowOff>142875</xdr:rowOff>
    </xdr:from>
    <xdr:ext cx="898071" cy="1079386"/>
    <xdr:pic>
      <xdr:nvPicPr>
        <xdr:cNvPr id="338" name="Imagen 337">
          <a:extLst>
            <a:ext uri="{FF2B5EF4-FFF2-40B4-BE49-F238E27FC236}">
              <a16:creationId xmlns:a16="http://schemas.microsoft.com/office/drawing/2014/main" id="{BCF580B4-D63E-4E1B-BBAA-8201FABDEB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25600" y="46929675"/>
          <a:ext cx="898071" cy="1079386"/>
        </a:xfrm>
        <a:prstGeom prst="rect">
          <a:avLst/>
        </a:prstGeom>
      </xdr:spPr>
    </xdr:pic>
    <xdr:clientData/>
  </xdr:oneCellAnchor>
  <xdr:oneCellAnchor>
    <xdr:from>
      <xdr:col>6</xdr:col>
      <xdr:colOff>0</xdr:colOff>
      <xdr:row>198</xdr:row>
      <xdr:rowOff>0</xdr:rowOff>
    </xdr:from>
    <xdr:ext cx="114300" cy="200025"/>
    <xdr:sp macro="" textlink="">
      <xdr:nvSpPr>
        <xdr:cNvPr id="339" name="Shape 3">
          <a:extLst>
            <a:ext uri="{FF2B5EF4-FFF2-40B4-BE49-F238E27FC236}">
              <a16:creationId xmlns:a16="http://schemas.microsoft.com/office/drawing/2014/main" id="{55D8E5C6-4E9B-4E43-A56D-926E05449417}"/>
            </a:ext>
          </a:extLst>
        </xdr:cNvPr>
        <xdr:cNvSpPr txBox="1"/>
      </xdr:nvSpPr>
      <xdr:spPr>
        <a:xfrm>
          <a:off x="11134725" y="479488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198</xdr:row>
      <xdr:rowOff>0</xdr:rowOff>
    </xdr:from>
    <xdr:ext cx="114300" cy="200025"/>
    <xdr:sp macro="" textlink="">
      <xdr:nvSpPr>
        <xdr:cNvPr id="340" name="Shape 3">
          <a:extLst>
            <a:ext uri="{FF2B5EF4-FFF2-40B4-BE49-F238E27FC236}">
              <a16:creationId xmlns:a16="http://schemas.microsoft.com/office/drawing/2014/main" id="{EC42BA99-3F44-451D-8A96-A621FDA7C75D}"/>
            </a:ext>
          </a:extLst>
        </xdr:cNvPr>
        <xdr:cNvSpPr txBox="1"/>
      </xdr:nvSpPr>
      <xdr:spPr>
        <a:xfrm>
          <a:off x="11134725" y="479488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198</xdr:row>
      <xdr:rowOff>0</xdr:rowOff>
    </xdr:from>
    <xdr:ext cx="114300" cy="200025"/>
    <xdr:sp macro="" textlink="">
      <xdr:nvSpPr>
        <xdr:cNvPr id="341" name="Shape 3">
          <a:extLst>
            <a:ext uri="{FF2B5EF4-FFF2-40B4-BE49-F238E27FC236}">
              <a16:creationId xmlns:a16="http://schemas.microsoft.com/office/drawing/2014/main" id="{65133DAF-7B59-4983-AB79-92F7B91FAE28}"/>
            </a:ext>
          </a:extLst>
        </xdr:cNvPr>
        <xdr:cNvSpPr txBox="1"/>
      </xdr:nvSpPr>
      <xdr:spPr>
        <a:xfrm>
          <a:off x="11134725" y="479488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492125</xdr:colOff>
      <xdr:row>192</xdr:row>
      <xdr:rowOff>142875</xdr:rowOff>
    </xdr:from>
    <xdr:ext cx="898071" cy="1079386"/>
    <xdr:pic>
      <xdr:nvPicPr>
        <xdr:cNvPr id="342" name="Imagen 341">
          <a:extLst>
            <a:ext uri="{FF2B5EF4-FFF2-40B4-BE49-F238E27FC236}">
              <a16:creationId xmlns:a16="http://schemas.microsoft.com/office/drawing/2014/main" id="{9F3E1DC8-ED39-4D59-91C9-D2F83F96569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25600" y="46929675"/>
          <a:ext cx="898071" cy="1079386"/>
        </a:xfrm>
        <a:prstGeom prst="rect">
          <a:avLst/>
        </a:prstGeom>
      </xdr:spPr>
    </xdr:pic>
    <xdr:clientData/>
  </xdr:oneCellAnchor>
  <xdr:oneCellAnchor>
    <xdr:from>
      <xdr:col>6</xdr:col>
      <xdr:colOff>0</xdr:colOff>
      <xdr:row>226</xdr:row>
      <xdr:rowOff>0</xdr:rowOff>
    </xdr:from>
    <xdr:ext cx="114300" cy="200025"/>
    <xdr:sp macro="" textlink="">
      <xdr:nvSpPr>
        <xdr:cNvPr id="343" name="Shape 3">
          <a:extLst>
            <a:ext uri="{FF2B5EF4-FFF2-40B4-BE49-F238E27FC236}">
              <a16:creationId xmlns:a16="http://schemas.microsoft.com/office/drawing/2014/main" id="{AD19DED4-6C8B-4916-8D73-AC9670E0FCA5}"/>
            </a:ext>
          </a:extLst>
        </xdr:cNvPr>
        <xdr:cNvSpPr txBox="1"/>
      </xdr:nvSpPr>
      <xdr:spPr>
        <a:xfrm>
          <a:off x="11134725" y="540448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226</xdr:row>
      <xdr:rowOff>0</xdr:rowOff>
    </xdr:from>
    <xdr:ext cx="114300" cy="200025"/>
    <xdr:sp macro="" textlink="">
      <xdr:nvSpPr>
        <xdr:cNvPr id="344" name="Shape 3">
          <a:extLst>
            <a:ext uri="{FF2B5EF4-FFF2-40B4-BE49-F238E27FC236}">
              <a16:creationId xmlns:a16="http://schemas.microsoft.com/office/drawing/2014/main" id="{48AFFF5A-3C26-45FA-A097-ED293240E1FF}"/>
            </a:ext>
          </a:extLst>
        </xdr:cNvPr>
        <xdr:cNvSpPr txBox="1"/>
      </xdr:nvSpPr>
      <xdr:spPr>
        <a:xfrm>
          <a:off x="11134725" y="540448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226</xdr:row>
      <xdr:rowOff>0</xdr:rowOff>
    </xdr:from>
    <xdr:ext cx="114300" cy="200025"/>
    <xdr:sp macro="" textlink="">
      <xdr:nvSpPr>
        <xdr:cNvPr id="345" name="Shape 3">
          <a:extLst>
            <a:ext uri="{FF2B5EF4-FFF2-40B4-BE49-F238E27FC236}">
              <a16:creationId xmlns:a16="http://schemas.microsoft.com/office/drawing/2014/main" id="{5F39B082-423C-40F3-A555-0394352694BA}"/>
            </a:ext>
          </a:extLst>
        </xdr:cNvPr>
        <xdr:cNvSpPr txBox="1"/>
      </xdr:nvSpPr>
      <xdr:spPr>
        <a:xfrm>
          <a:off x="11134725" y="540448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226</xdr:row>
      <xdr:rowOff>0</xdr:rowOff>
    </xdr:from>
    <xdr:ext cx="114300" cy="200025"/>
    <xdr:sp macro="" textlink="">
      <xdr:nvSpPr>
        <xdr:cNvPr id="346" name="Shape 3">
          <a:extLst>
            <a:ext uri="{FF2B5EF4-FFF2-40B4-BE49-F238E27FC236}">
              <a16:creationId xmlns:a16="http://schemas.microsoft.com/office/drawing/2014/main" id="{5A65304F-B2BC-45E8-A042-94FC324B80C9}"/>
            </a:ext>
          </a:extLst>
        </xdr:cNvPr>
        <xdr:cNvSpPr txBox="1"/>
      </xdr:nvSpPr>
      <xdr:spPr>
        <a:xfrm>
          <a:off x="11134725" y="540448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226</xdr:row>
      <xdr:rowOff>0</xdr:rowOff>
    </xdr:from>
    <xdr:ext cx="114300" cy="200025"/>
    <xdr:sp macro="" textlink="">
      <xdr:nvSpPr>
        <xdr:cNvPr id="347" name="Shape 3">
          <a:extLst>
            <a:ext uri="{FF2B5EF4-FFF2-40B4-BE49-F238E27FC236}">
              <a16:creationId xmlns:a16="http://schemas.microsoft.com/office/drawing/2014/main" id="{0FE205C1-E1B6-4216-97BF-F537D4911A00}"/>
            </a:ext>
          </a:extLst>
        </xdr:cNvPr>
        <xdr:cNvSpPr txBox="1"/>
      </xdr:nvSpPr>
      <xdr:spPr>
        <a:xfrm>
          <a:off x="11134725" y="540448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492125</xdr:colOff>
      <xdr:row>220</xdr:row>
      <xdr:rowOff>142875</xdr:rowOff>
    </xdr:from>
    <xdr:ext cx="898071" cy="1079386"/>
    <xdr:pic>
      <xdr:nvPicPr>
        <xdr:cNvPr id="348" name="Imagen 347">
          <a:extLst>
            <a:ext uri="{FF2B5EF4-FFF2-40B4-BE49-F238E27FC236}">
              <a16:creationId xmlns:a16="http://schemas.microsoft.com/office/drawing/2014/main" id="{C5C0587B-992F-49AA-A799-60FA40F0948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25600" y="53025675"/>
          <a:ext cx="898071" cy="1079386"/>
        </a:xfrm>
        <a:prstGeom prst="rect">
          <a:avLst/>
        </a:prstGeom>
      </xdr:spPr>
    </xdr:pic>
    <xdr:clientData/>
  </xdr:oneCellAnchor>
  <xdr:oneCellAnchor>
    <xdr:from>
      <xdr:col>6</xdr:col>
      <xdr:colOff>0</xdr:colOff>
      <xdr:row>226</xdr:row>
      <xdr:rowOff>0</xdr:rowOff>
    </xdr:from>
    <xdr:ext cx="114300" cy="200025"/>
    <xdr:sp macro="" textlink="">
      <xdr:nvSpPr>
        <xdr:cNvPr id="349" name="Shape 3">
          <a:extLst>
            <a:ext uri="{FF2B5EF4-FFF2-40B4-BE49-F238E27FC236}">
              <a16:creationId xmlns:a16="http://schemas.microsoft.com/office/drawing/2014/main" id="{61CF91C6-6833-4310-AD49-62BB709A4762}"/>
            </a:ext>
          </a:extLst>
        </xdr:cNvPr>
        <xdr:cNvSpPr txBox="1"/>
      </xdr:nvSpPr>
      <xdr:spPr>
        <a:xfrm>
          <a:off x="11134725" y="540448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226</xdr:row>
      <xdr:rowOff>0</xdr:rowOff>
    </xdr:from>
    <xdr:ext cx="114300" cy="200025"/>
    <xdr:sp macro="" textlink="">
      <xdr:nvSpPr>
        <xdr:cNvPr id="350" name="Shape 3">
          <a:extLst>
            <a:ext uri="{FF2B5EF4-FFF2-40B4-BE49-F238E27FC236}">
              <a16:creationId xmlns:a16="http://schemas.microsoft.com/office/drawing/2014/main" id="{FB07D41F-D986-4A12-B30B-64B61ACADF45}"/>
            </a:ext>
          </a:extLst>
        </xdr:cNvPr>
        <xdr:cNvSpPr txBox="1"/>
      </xdr:nvSpPr>
      <xdr:spPr>
        <a:xfrm>
          <a:off x="11134725" y="540448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226</xdr:row>
      <xdr:rowOff>0</xdr:rowOff>
    </xdr:from>
    <xdr:ext cx="114300" cy="200025"/>
    <xdr:sp macro="" textlink="">
      <xdr:nvSpPr>
        <xdr:cNvPr id="351" name="Shape 3">
          <a:extLst>
            <a:ext uri="{FF2B5EF4-FFF2-40B4-BE49-F238E27FC236}">
              <a16:creationId xmlns:a16="http://schemas.microsoft.com/office/drawing/2014/main" id="{2C58B7F4-2443-467C-B404-393F3EA2C3F7}"/>
            </a:ext>
          </a:extLst>
        </xdr:cNvPr>
        <xdr:cNvSpPr txBox="1"/>
      </xdr:nvSpPr>
      <xdr:spPr>
        <a:xfrm>
          <a:off x="11134725" y="540448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492125</xdr:colOff>
      <xdr:row>220</xdr:row>
      <xdr:rowOff>142875</xdr:rowOff>
    </xdr:from>
    <xdr:ext cx="898071" cy="1079386"/>
    <xdr:pic>
      <xdr:nvPicPr>
        <xdr:cNvPr id="352" name="Imagen 351">
          <a:extLst>
            <a:ext uri="{FF2B5EF4-FFF2-40B4-BE49-F238E27FC236}">
              <a16:creationId xmlns:a16="http://schemas.microsoft.com/office/drawing/2014/main" id="{A4B86831-B485-411C-B814-2363E443E68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25600" y="53025675"/>
          <a:ext cx="898071" cy="1079386"/>
        </a:xfrm>
        <a:prstGeom prst="rect">
          <a:avLst/>
        </a:prstGeom>
      </xdr:spPr>
    </xdr:pic>
    <xdr:clientData/>
  </xdr:oneCellAnchor>
  <xdr:oneCellAnchor>
    <xdr:from>
      <xdr:col>6</xdr:col>
      <xdr:colOff>0</xdr:colOff>
      <xdr:row>248</xdr:row>
      <xdr:rowOff>0</xdr:rowOff>
    </xdr:from>
    <xdr:ext cx="114300" cy="200025"/>
    <xdr:sp macro="" textlink="">
      <xdr:nvSpPr>
        <xdr:cNvPr id="353" name="Shape 3">
          <a:extLst>
            <a:ext uri="{FF2B5EF4-FFF2-40B4-BE49-F238E27FC236}">
              <a16:creationId xmlns:a16="http://schemas.microsoft.com/office/drawing/2014/main" id="{D047E17F-40B3-4BA0-832E-1E045DE14B64}"/>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354" name="Shape 3">
          <a:extLst>
            <a:ext uri="{FF2B5EF4-FFF2-40B4-BE49-F238E27FC236}">
              <a16:creationId xmlns:a16="http://schemas.microsoft.com/office/drawing/2014/main" id="{F657B3F9-CA26-4053-A3DC-98543FB3EF72}"/>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355" name="Shape 3">
          <a:extLst>
            <a:ext uri="{FF2B5EF4-FFF2-40B4-BE49-F238E27FC236}">
              <a16:creationId xmlns:a16="http://schemas.microsoft.com/office/drawing/2014/main" id="{05649EEC-5B92-45F4-9129-03A6B3C65007}"/>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356" name="Shape 3">
          <a:extLst>
            <a:ext uri="{FF2B5EF4-FFF2-40B4-BE49-F238E27FC236}">
              <a16:creationId xmlns:a16="http://schemas.microsoft.com/office/drawing/2014/main" id="{F31EFCE1-D97C-4F40-9E97-79F94C19D4FF}"/>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357" name="Shape 3">
          <a:extLst>
            <a:ext uri="{FF2B5EF4-FFF2-40B4-BE49-F238E27FC236}">
              <a16:creationId xmlns:a16="http://schemas.microsoft.com/office/drawing/2014/main" id="{7C8E6245-693D-4041-9604-92F0CCF59627}"/>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358" name="Shape 3">
          <a:extLst>
            <a:ext uri="{FF2B5EF4-FFF2-40B4-BE49-F238E27FC236}">
              <a16:creationId xmlns:a16="http://schemas.microsoft.com/office/drawing/2014/main" id="{00E83056-40C7-437B-B823-60D16325EFE6}"/>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359" name="Shape 3">
          <a:extLst>
            <a:ext uri="{FF2B5EF4-FFF2-40B4-BE49-F238E27FC236}">
              <a16:creationId xmlns:a16="http://schemas.microsoft.com/office/drawing/2014/main" id="{3505BCBB-D011-4CF2-9EF8-37391CD96B43}"/>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360" name="Shape 3">
          <a:extLst>
            <a:ext uri="{FF2B5EF4-FFF2-40B4-BE49-F238E27FC236}">
              <a16:creationId xmlns:a16="http://schemas.microsoft.com/office/drawing/2014/main" id="{A357A87C-5BA4-4D97-A755-A153BF457956}"/>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361" name="Shape 3">
          <a:extLst>
            <a:ext uri="{FF2B5EF4-FFF2-40B4-BE49-F238E27FC236}">
              <a16:creationId xmlns:a16="http://schemas.microsoft.com/office/drawing/2014/main" id="{770758FD-2180-47A4-BE13-2885AD43E533}"/>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362" name="Shape 3">
          <a:extLst>
            <a:ext uri="{FF2B5EF4-FFF2-40B4-BE49-F238E27FC236}">
              <a16:creationId xmlns:a16="http://schemas.microsoft.com/office/drawing/2014/main" id="{C87CC5D2-6C07-4C74-81A3-521B2BC90624}"/>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363" name="Shape 3">
          <a:extLst>
            <a:ext uri="{FF2B5EF4-FFF2-40B4-BE49-F238E27FC236}">
              <a16:creationId xmlns:a16="http://schemas.microsoft.com/office/drawing/2014/main" id="{3040BD00-4ABC-4F4A-8D3B-6B4776760BE6}"/>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364" name="Shape 3">
          <a:extLst>
            <a:ext uri="{FF2B5EF4-FFF2-40B4-BE49-F238E27FC236}">
              <a16:creationId xmlns:a16="http://schemas.microsoft.com/office/drawing/2014/main" id="{5ED37EA9-0D4B-4C0E-844C-E8A234E83D14}"/>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365" name="Shape 3">
          <a:extLst>
            <a:ext uri="{FF2B5EF4-FFF2-40B4-BE49-F238E27FC236}">
              <a16:creationId xmlns:a16="http://schemas.microsoft.com/office/drawing/2014/main" id="{CB231918-21F3-456C-9340-A7D3F7E9BEF5}"/>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366" name="Shape 3">
          <a:extLst>
            <a:ext uri="{FF2B5EF4-FFF2-40B4-BE49-F238E27FC236}">
              <a16:creationId xmlns:a16="http://schemas.microsoft.com/office/drawing/2014/main" id="{46F95975-3AAF-4869-B6B8-0FBA30458FBA}"/>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367" name="Shape 3">
          <a:extLst>
            <a:ext uri="{FF2B5EF4-FFF2-40B4-BE49-F238E27FC236}">
              <a16:creationId xmlns:a16="http://schemas.microsoft.com/office/drawing/2014/main" id="{2499ACCB-96F3-4F22-B064-195D00F6C9A2}"/>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368" name="Shape 3">
          <a:extLst>
            <a:ext uri="{FF2B5EF4-FFF2-40B4-BE49-F238E27FC236}">
              <a16:creationId xmlns:a16="http://schemas.microsoft.com/office/drawing/2014/main" id="{4015FAFA-C8E2-4A22-B85B-6B10A8A3D9C8}"/>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369" name="Shape 3">
          <a:extLst>
            <a:ext uri="{FF2B5EF4-FFF2-40B4-BE49-F238E27FC236}">
              <a16:creationId xmlns:a16="http://schemas.microsoft.com/office/drawing/2014/main" id="{B2786F37-27DB-4B53-91A5-FEA87ED34392}"/>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370" name="Shape 3">
          <a:extLst>
            <a:ext uri="{FF2B5EF4-FFF2-40B4-BE49-F238E27FC236}">
              <a16:creationId xmlns:a16="http://schemas.microsoft.com/office/drawing/2014/main" id="{7E20CD65-B6F0-4BF8-9ED2-B1ED901DB30A}"/>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371" name="Shape 3">
          <a:extLst>
            <a:ext uri="{FF2B5EF4-FFF2-40B4-BE49-F238E27FC236}">
              <a16:creationId xmlns:a16="http://schemas.microsoft.com/office/drawing/2014/main" id="{8B77E11F-554B-460F-AB8F-1CE973631C49}"/>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372" name="Shape 3">
          <a:extLst>
            <a:ext uri="{FF2B5EF4-FFF2-40B4-BE49-F238E27FC236}">
              <a16:creationId xmlns:a16="http://schemas.microsoft.com/office/drawing/2014/main" id="{9DE7698B-D309-40B8-8D1D-45EE3DE0F9DC}"/>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373" name="Shape 3">
          <a:extLst>
            <a:ext uri="{FF2B5EF4-FFF2-40B4-BE49-F238E27FC236}">
              <a16:creationId xmlns:a16="http://schemas.microsoft.com/office/drawing/2014/main" id="{755D1700-6FC6-4BB5-BC82-57655D96CDD6}"/>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374" name="Shape 3">
          <a:extLst>
            <a:ext uri="{FF2B5EF4-FFF2-40B4-BE49-F238E27FC236}">
              <a16:creationId xmlns:a16="http://schemas.microsoft.com/office/drawing/2014/main" id="{A6E8E4B9-B473-442A-8340-A15057325D12}"/>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375" name="Shape 3">
          <a:extLst>
            <a:ext uri="{FF2B5EF4-FFF2-40B4-BE49-F238E27FC236}">
              <a16:creationId xmlns:a16="http://schemas.microsoft.com/office/drawing/2014/main" id="{044B51A2-D1B9-4847-ABA3-5BFF16904068}"/>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376" name="Shape 3">
          <a:extLst>
            <a:ext uri="{FF2B5EF4-FFF2-40B4-BE49-F238E27FC236}">
              <a16:creationId xmlns:a16="http://schemas.microsoft.com/office/drawing/2014/main" id="{83AA9842-17E0-4BD3-B26A-421AFB5FC359}"/>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377" name="Shape 3">
          <a:extLst>
            <a:ext uri="{FF2B5EF4-FFF2-40B4-BE49-F238E27FC236}">
              <a16:creationId xmlns:a16="http://schemas.microsoft.com/office/drawing/2014/main" id="{589865DC-92A1-4623-8100-4D73CA257A2E}"/>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378" name="Shape 3">
          <a:extLst>
            <a:ext uri="{FF2B5EF4-FFF2-40B4-BE49-F238E27FC236}">
              <a16:creationId xmlns:a16="http://schemas.microsoft.com/office/drawing/2014/main" id="{AD7EDE27-0676-41AE-91F4-876A5A7175BC}"/>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379" name="Shape 3">
          <a:extLst>
            <a:ext uri="{FF2B5EF4-FFF2-40B4-BE49-F238E27FC236}">
              <a16:creationId xmlns:a16="http://schemas.microsoft.com/office/drawing/2014/main" id="{F4F86940-255F-444F-8420-2109B3041ED6}"/>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380" name="Shape 3">
          <a:extLst>
            <a:ext uri="{FF2B5EF4-FFF2-40B4-BE49-F238E27FC236}">
              <a16:creationId xmlns:a16="http://schemas.microsoft.com/office/drawing/2014/main" id="{478C0BE3-5005-4204-972D-F7491311B607}"/>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381" name="Shape 3">
          <a:extLst>
            <a:ext uri="{FF2B5EF4-FFF2-40B4-BE49-F238E27FC236}">
              <a16:creationId xmlns:a16="http://schemas.microsoft.com/office/drawing/2014/main" id="{1F46BAC7-66A6-4588-8D3D-850BFAA2A5DC}"/>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382" name="Shape 3">
          <a:extLst>
            <a:ext uri="{FF2B5EF4-FFF2-40B4-BE49-F238E27FC236}">
              <a16:creationId xmlns:a16="http://schemas.microsoft.com/office/drawing/2014/main" id="{9D8AD53A-3260-49F7-9F86-7D28EA895C6E}"/>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383" name="Shape 3">
          <a:extLst>
            <a:ext uri="{FF2B5EF4-FFF2-40B4-BE49-F238E27FC236}">
              <a16:creationId xmlns:a16="http://schemas.microsoft.com/office/drawing/2014/main" id="{415AB827-D72A-4142-B95F-E7368ACA89F6}"/>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384" name="Shape 3">
          <a:extLst>
            <a:ext uri="{FF2B5EF4-FFF2-40B4-BE49-F238E27FC236}">
              <a16:creationId xmlns:a16="http://schemas.microsoft.com/office/drawing/2014/main" id="{246D06A3-B199-47BC-AA41-858B8303508C}"/>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385" name="Shape 3">
          <a:extLst>
            <a:ext uri="{FF2B5EF4-FFF2-40B4-BE49-F238E27FC236}">
              <a16:creationId xmlns:a16="http://schemas.microsoft.com/office/drawing/2014/main" id="{D3E8E379-92FE-45D1-8407-6A957A58A81C}"/>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386" name="Shape 3">
          <a:extLst>
            <a:ext uri="{FF2B5EF4-FFF2-40B4-BE49-F238E27FC236}">
              <a16:creationId xmlns:a16="http://schemas.microsoft.com/office/drawing/2014/main" id="{6A9BBF60-2323-4A6E-A007-EE41A572504E}"/>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387" name="Shape 3">
          <a:extLst>
            <a:ext uri="{FF2B5EF4-FFF2-40B4-BE49-F238E27FC236}">
              <a16:creationId xmlns:a16="http://schemas.microsoft.com/office/drawing/2014/main" id="{074081A3-0E94-4995-8A25-DFC528EC0B57}"/>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388" name="Shape 3">
          <a:extLst>
            <a:ext uri="{FF2B5EF4-FFF2-40B4-BE49-F238E27FC236}">
              <a16:creationId xmlns:a16="http://schemas.microsoft.com/office/drawing/2014/main" id="{ECBE495E-3C4E-47AE-8AB0-CD38ECF2A1C5}"/>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389" name="Shape 3">
          <a:extLst>
            <a:ext uri="{FF2B5EF4-FFF2-40B4-BE49-F238E27FC236}">
              <a16:creationId xmlns:a16="http://schemas.microsoft.com/office/drawing/2014/main" id="{F9E348D9-A2D2-4BEF-9946-306B6DA0F476}"/>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390" name="Shape 3">
          <a:extLst>
            <a:ext uri="{FF2B5EF4-FFF2-40B4-BE49-F238E27FC236}">
              <a16:creationId xmlns:a16="http://schemas.microsoft.com/office/drawing/2014/main" id="{14722E74-8ADC-4EA0-BD6E-6CC909BCB04A}"/>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391" name="Shape 3">
          <a:extLst>
            <a:ext uri="{FF2B5EF4-FFF2-40B4-BE49-F238E27FC236}">
              <a16:creationId xmlns:a16="http://schemas.microsoft.com/office/drawing/2014/main" id="{58C47FC8-0AF7-4919-8EB9-BAA272CAF517}"/>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392" name="Shape 3">
          <a:extLst>
            <a:ext uri="{FF2B5EF4-FFF2-40B4-BE49-F238E27FC236}">
              <a16:creationId xmlns:a16="http://schemas.microsoft.com/office/drawing/2014/main" id="{35BC0FA7-64A8-49C2-954C-3444E421A6C7}"/>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393" name="Shape 3">
          <a:extLst>
            <a:ext uri="{FF2B5EF4-FFF2-40B4-BE49-F238E27FC236}">
              <a16:creationId xmlns:a16="http://schemas.microsoft.com/office/drawing/2014/main" id="{0BA15A76-A094-4FB8-A510-87369642E4CD}"/>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394" name="Shape 3">
          <a:extLst>
            <a:ext uri="{FF2B5EF4-FFF2-40B4-BE49-F238E27FC236}">
              <a16:creationId xmlns:a16="http://schemas.microsoft.com/office/drawing/2014/main" id="{60053269-3604-4A25-818B-2ED9FFEAA887}"/>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395" name="Shape 3">
          <a:extLst>
            <a:ext uri="{FF2B5EF4-FFF2-40B4-BE49-F238E27FC236}">
              <a16:creationId xmlns:a16="http://schemas.microsoft.com/office/drawing/2014/main" id="{BF1CBC83-CE77-46A3-90CE-3930E6AE7353}"/>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396" name="Shape 3">
          <a:extLst>
            <a:ext uri="{FF2B5EF4-FFF2-40B4-BE49-F238E27FC236}">
              <a16:creationId xmlns:a16="http://schemas.microsoft.com/office/drawing/2014/main" id="{5AF8FE90-5EFC-4678-881F-E989C60AA980}"/>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397" name="Shape 3">
          <a:extLst>
            <a:ext uri="{FF2B5EF4-FFF2-40B4-BE49-F238E27FC236}">
              <a16:creationId xmlns:a16="http://schemas.microsoft.com/office/drawing/2014/main" id="{D89726A2-9838-46FB-A786-E68B37BC4CA9}"/>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398" name="Shape 3">
          <a:extLst>
            <a:ext uri="{FF2B5EF4-FFF2-40B4-BE49-F238E27FC236}">
              <a16:creationId xmlns:a16="http://schemas.microsoft.com/office/drawing/2014/main" id="{BA5D6C3D-D2EC-4770-9B1E-EEF561C741F3}"/>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399" name="Shape 3">
          <a:extLst>
            <a:ext uri="{FF2B5EF4-FFF2-40B4-BE49-F238E27FC236}">
              <a16:creationId xmlns:a16="http://schemas.microsoft.com/office/drawing/2014/main" id="{2403DC0C-6BB7-4D68-BD7B-E6B3F5B04346}"/>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400" name="Shape 3">
          <a:extLst>
            <a:ext uri="{FF2B5EF4-FFF2-40B4-BE49-F238E27FC236}">
              <a16:creationId xmlns:a16="http://schemas.microsoft.com/office/drawing/2014/main" id="{47BC4C92-386F-47F0-BB40-8DDB5080EBE7}"/>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401" name="Shape 3">
          <a:extLst>
            <a:ext uri="{FF2B5EF4-FFF2-40B4-BE49-F238E27FC236}">
              <a16:creationId xmlns:a16="http://schemas.microsoft.com/office/drawing/2014/main" id="{98CD1FA5-3DC7-4361-B55D-6B177D604916}"/>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402" name="Shape 3">
          <a:extLst>
            <a:ext uri="{FF2B5EF4-FFF2-40B4-BE49-F238E27FC236}">
              <a16:creationId xmlns:a16="http://schemas.microsoft.com/office/drawing/2014/main" id="{847F4A50-6330-4C96-A681-5A2E42440526}"/>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403" name="Shape 3">
          <a:extLst>
            <a:ext uri="{FF2B5EF4-FFF2-40B4-BE49-F238E27FC236}">
              <a16:creationId xmlns:a16="http://schemas.microsoft.com/office/drawing/2014/main" id="{1FA6E3F5-1E26-48D2-BB46-81605487A2FF}"/>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404" name="Shape 3">
          <a:extLst>
            <a:ext uri="{FF2B5EF4-FFF2-40B4-BE49-F238E27FC236}">
              <a16:creationId xmlns:a16="http://schemas.microsoft.com/office/drawing/2014/main" id="{D10F85F0-4FBE-4B78-9C80-2AD606C03DEB}"/>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405" name="Shape 3">
          <a:extLst>
            <a:ext uri="{FF2B5EF4-FFF2-40B4-BE49-F238E27FC236}">
              <a16:creationId xmlns:a16="http://schemas.microsoft.com/office/drawing/2014/main" id="{A9F82BAD-BDB2-4C31-8E57-5026A0C46EDF}"/>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406" name="Shape 3">
          <a:extLst>
            <a:ext uri="{FF2B5EF4-FFF2-40B4-BE49-F238E27FC236}">
              <a16:creationId xmlns:a16="http://schemas.microsoft.com/office/drawing/2014/main" id="{6BF2F633-F2A2-4CF1-B443-9093E81F62E5}"/>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407" name="Shape 3">
          <a:extLst>
            <a:ext uri="{FF2B5EF4-FFF2-40B4-BE49-F238E27FC236}">
              <a16:creationId xmlns:a16="http://schemas.microsoft.com/office/drawing/2014/main" id="{EB35C960-33AC-4A0A-B628-733DDE16DB38}"/>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408" name="Shape 3">
          <a:extLst>
            <a:ext uri="{FF2B5EF4-FFF2-40B4-BE49-F238E27FC236}">
              <a16:creationId xmlns:a16="http://schemas.microsoft.com/office/drawing/2014/main" id="{7FAA93A1-27B3-4EE3-8358-81D322751EE1}"/>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409" name="Shape 3">
          <a:extLst>
            <a:ext uri="{FF2B5EF4-FFF2-40B4-BE49-F238E27FC236}">
              <a16:creationId xmlns:a16="http://schemas.microsoft.com/office/drawing/2014/main" id="{1B8F71B4-FD20-40E5-9186-BA98B47CEB77}"/>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410" name="Shape 3">
          <a:extLst>
            <a:ext uri="{FF2B5EF4-FFF2-40B4-BE49-F238E27FC236}">
              <a16:creationId xmlns:a16="http://schemas.microsoft.com/office/drawing/2014/main" id="{5308FD4E-6402-4581-BE9E-662B871BBAD6}"/>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411" name="Shape 3">
          <a:extLst>
            <a:ext uri="{FF2B5EF4-FFF2-40B4-BE49-F238E27FC236}">
              <a16:creationId xmlns:a16="http://schemas.microsoft.com/office/drawing/2014/main" id="{F825FD95-BF08-40DE-AC58-9A98F054872C}"/>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412" name="Shape 3">
          <a:extLst>
            <a:ext uri="{FF2B5EF4-FFF2-40B4-BE49-F238E27FC236}">
              <a16:creationId xmlns:a16="http://schemas.microsoft.com/office/drawing/2014/main" id="{4C46EF73-9E9F-482C-9443-F68D9945B422}"/>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413" name="Shape 3">
          <a:extLst>
            <a:ext uri="{FF2B5EF4-FFF2-40B4-BE49-F238E27FC236}">
              <a16:creationId xmlns:a16="http://schemas.microsoft.com/office/drawing/2014/main" id="{0A0EE74C-5138-4FEA-8646-318AC66EB8E7}"/>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414" name="Shape 3">
          <a:extLst>
            <a:ext uri="{FF2B5EF4-FFF2-40B4-BE49-F238E27FC236}">
              <a16:creationId xmlns:a16="http://schemas.microsoft.com/office/drawing/2014/main" id="{DD900191-3F0D-4C88-8E7F-59CB4843031C}"/>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415" name="Shape 3">
          <a:extLst>
            <a:ext uri="{FF2B5EF4-FFF2-40B4-BE49-F238E27FC236}">
              <a16:creationId xmlns:a16="http://schemas.microsoft.com/office/drawing/2014/main" id="{50D12181-CE05-4B91-8753-74E26758F23D}"/>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416" name="Shape 3">
          <a:extLst>
            <a:ext uri="{FF2B5EF4-FFF2-40B4-BE49-F238E27FC236}">
              <a16:creationId xmlns:a16="http://schemas.microsoft.com/office/drawing/2014/main" id="{F5E8F3BB-6714-4692-8022-6865EEF40C14}"/>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417" name="Shape 3">
          <a:extLst>
            <a:ext uri="{FF2B5EF4-FFF2-40B4-BE49-F238E27FC236}">
              <a16:creationId xmlns:a16="http://schemas.microsoft.com/office/drawing/2014/main" id="{9C0EBC63-11D9-4454-924E-163332A34336}"/>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418" name="Shape 3">
          <a:extLst>
            <a:ext uri="{FF2B5EF4-FFF2-40B4-BE49-F238E27FC236}">
              <a16:creationId xmlns:a16="http://schemas.microsoft.com/office/drawing/2014/main" id="{C637F1B8-B458-4FCD-9AFA-0C0A89E6F5C1}"/>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419" name="Shape 3">
          <a:extLst>
            <a:ext uri="{FF2B5EF4-FFF2-40B4-BE49-F238E27FC236}">
              <a16:creationId xmlns:a16="http://schemas.microsoft.com/office/drawing/2014/main" id="{A7BF41D9-6D84-4D65-B6FA-D8B574278EEE}"/>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420" name="Shape 3">
          <a:extLst>
            <a:ext uri="{FF2B5EF4-FFF2-40B4-BE49-F238E27FC236}">
              <a16:creationId xmlns:a16="http://schemas.microsoft.com/office/drawing/2014/main" id="{AFB503B7-3756-49F2-B274-E26A414D6D50}"/>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421" name="Shape 3">
          <a:extLst>
            <a:ext uri="{FF2B5EF4-FFF2-40B4-BE49-F238E27FC236}">
              <a16:creationId xmlns:a16="http://schemas.microsoft.com/office/drawing/2014/main" id="{D0F7332F-FB34-472C-9F18-876947A4C60C}"/>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422" name="Shape 3">
          <a:extLst>
            <a:ext uri="{FF2B5EF4-FFF2-40B4-BE49-F238E27FC236}">
              <a16:creationId xmlns:a16="http://schemas.microsoft.com/office/drawing/2014/main" id="{DBB4CE57-5A5C-40E5-A2D0-BCA3377D087E}"/>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423" name="Shape 3">
          <a:extLst>
            <a:ext uri="{FF2B5EF4-FFF2-40B4-BE49-F238E27FC236}">
              <a16:creationId xmlns:a16="http://schemas.microsoft.com/office/drawing/2014/main" id="{6C7B8606-6702-4BB9-9935-45DC6F715A39}"/>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424" name="Shape 3">
          <a:extLst>
            <a:ext uri="{FF2B5EF4-FFF2-40B4-BE49-F238E27FC236}">
              <a16:creationId xmlns:a16="http://schemas.microsoft.com/office/drawing/2014/main" id="{BD9A0777-107B-444F-956B-CED311F4ED85}"/>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425" name="Shape 3">
          <a:extLst>
            <a:ext uri="{FF2B5EF4-FFF2-40B4-BE49-F238E27FC236}">
              <a16:creationId xmlns:a16="http://schemas.microsoft.com/office/drawing/2014/main" id="{E9798D07-5EB0-45BD-87D2-7BC6CF34E505}"/>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426" name="Shape 3">
          <a:extLst>
            <a:ext uri="{FF2B5EF4-FFF2-40B4-BE49-F238E27FC236}">
              <a16:creationId xmlns:a16="http://schemas.microsoft.com/office/drawing/2014/main" id="{452F3B4E-A75F-4B17-A0DC-5AF9353E070A}"/>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427" name="Shape 3">
          <a:extLst>
            <a:ext uri="{FF2B5EF4-FFF2-40B4-BE49-F238E27FC236}">
              <a16:creationId xmlns:a16="http://schemas.microsoft.com/office/drawing/2014/main" id="{C2EF74BE-01A0-44CC-A24C-D06C3A5DF4E9}"/>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428" name="Shape 3">
          <a:extLst>
            <a:ext uri="{FF2B5EF4-FFF2-40B4-BE49-F238E27FC236}">
              <a16:creationId xmlns:a16="http://schemas.microsoft.com/office/drawing/2014/main" id="{D1A80513-CD1A-473F-BED8-BB89DB3511FE}"/>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429" name="Shape 3">
          <a:extLst>
            <a:ext uri="{FF2B5EF4-FFF2-40B4-BE49-F238E27FC236}">
              <a16:creationId xmlns:a16="http://schemas.microsoft.com/office/drawing/2014/main" id="{75184484-E3FB-46C6-BA55-B08A724763B6}"/>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430" name="Shape 3">
          <a:extLst>
            <a:ext uri="{FF2B5EF4-FFF2-40B4-BE49-F238E27FC236}">
              <a16:creationId xmlns:a16="http://schemas.microsoft.com/office/drawing/2014/main" id="{D2771DB0-41DC-49A5-894E-085705A3B3C7}"/>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431" name="Shape 3">
          <a:extLst>
            <a:ext uri="{FF2B5EF4-FFF2-40B4-BE49-F238E27FC236}">
              <a16:creationId xmlns:a16="http://schemas.microsoft.com/office/drawing/2014/main" id="{311F5791-4F7C-4BAC-8408-12B280DFCEE3}"/>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432" name="Shape 3">
          <a:extLst>
            <a:ext uri="{FF2B5EF4-FFF2-40B4-BE49-F238E27FC236}">
              <a16:creationId xmlns:a16="http://schemas.microsoft.com/office/drawing/2014/main" id="{5CC304FD-65F9-4723-AECA-418A415C2C0C}"/>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37</xdr:row>
      <xdr:rowOff>0</xdr:rowOff>
    </xdr:from>
    <xdr:ext cx="114300" cy="200025"/>
    <xdr:sp macro="" textlink="">
      <xdr:nvSpPr>
        <xdr:cNvPr id="433" name="Shape 3">
          <a:extLst>
            <a:ext uri="{FF2B5EF4-FFF2-40B4-BE49-F238E27FC236}">
              <a16:creationId xmlns:a16="http://schemas.microsoft.com/office/drawing/2014/main" id="{160BF387-FC1C-4F20-8378-7D0FCE6D6CC0}"/>
            </a:ext>
          </a:extLst>
        </xdr:cNvPr>
        <xdr:cNvSpPr txBox="1"/>
      </xdr:nvSpPr>
      <xdr:spPr>
        <a:xfrm>
          <a:off x="11134725" y="1448752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37</xdr:row>
      <xdr:rowOff>0</xdr:rowOff>
    </xdr:from>
    <xdr:ext cx="114300" cy="200025"/>
    <xdr:sp macro="" textlink="">
      <xdr:nvSpPr>
        <xdr:cNvPr id="434" name="Shape 3">
          <a:extLst>
            <a:ext uri="{FF2B5EF4-FFF2-40B4-BE49-F238E27FC236}">
              <a16:creationId xmlns:a16="http://schemas.microsoft.com/office/drawing/2014/main" id="{54CEA6F5-B194-40D5-9BAF-62CE72C5A94C}"/>
            </a:ext>
          </a:extLst>
        </xdr:cNvPr>
        <xdr:cNvSpPr txBox="1"/>
      </xdr:nvSpPr>
      <xdr:spPr>
        <a:xfrm>
          <a:off x="11134725" y="1448752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37</xdr:row>
      <xdr:rowOff>0</xdr:rowOff>
    </xdr:from>
    <xdr:ext cx="114300" cy="200025"/>
    <xdr:sp macro="" textlink="">
      <xdr:nvSpPr>
        <xdr:cNvPr id="435" name="Shape 3">
          <a:extLst>
            <a:ext uri="{FF2B5EF4-FFF2-40B4-BE49-F238E27FC236}">
              <a16:creationId xmlns:a16="http://schemas.microsoft.com/office/drawing/2014/main" id="{B5CA465F-1791-493A-BADB-015615A89B50}"/>
            </a:ext>
          </a:extLst>
        </xdr:cNvPr>
        <xdr:cNvSpPr txBox="1"/>
      </xdr:nvSpPr>
      <xdr:spPr>
        <a:xfrm>
          <a:off x="11134725" y="1448752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37</xdr:row>
      <xdr:rowOff>0</xdr:rowOff>
    </xdr:from>
    <xdr:ext cx="114300" cy="200025"/>
    <xdr:sp macro="" textlink="">
      <xdr:nvSpPr>
        <xdr:cNvPr id="436" name="Shape 3">
          <a:extLst>
            <a:ext uri="{FF2B5EF4-FFF2-40B4-BE49-F238E27FC236}">
              <a16:creationId xmlns:a16="http://schemas.microsoft.com/office/drawing/2014/main" id="{12C1AA0D-8690-460A-B023-E2479E8E928E}"/>
            </a:ext>
          </a:extLst>
        </xdr:cNvPr>
        <xdr:cNvSpPr txBox="1"/>
      </xdr:nvSpPr>
      <xdr:spPr>
        <a:xfrm>
          <a:off x="11134725" y="1448752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37</xdr:row>
      <xdr:rowOff>0</xdr:rowOff>
    </xdr:from>
    <xdr:ext cx="114300" cy="200025"/>
    <xdr:sp macro="" textlink="">
      <xdr:nvSpPr>
        <xdr:cNvPr id="437" name="Shape 3">
          <a:extLst>
            <a:ext uri="{FF2B5EF4-FFF2-40B4-BE49-F238E27FC236}">
              <a16:creationId xmlns:a16="http://schemas.microsoft.com/office/drawing/2014/main" id="{59A89540-1E58-4208-A167-3D559496DA47}"/>
            </a:ext>
          </a:extLst>
        </xdr:cNvPr>
        <xdr:cNvSpPr txBox="1"/>
      </xdr:nvSpPr>
      <xdr:spPr>
        <a:xfrm>
          <a:off x="11134725" y="1448752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37</xdr:row>
      <xdr:rowOff>0</xdr:rowOff>
    </xdr:from>
    <xdr:ext cx="114300" cy="200025"/>
    <xdr:sp macro="" textlink="">
      <xdr:nvSpPr>
        <xdr:cNvPr id="439" name="Shape 3">
          <a:extLst>
            <a:ext uri="{FF2B5EF4-FFF2-40B4-BE49-F238E27FC236}">
              <a16:creationId xmlns:a16="http://schemas.microsoft.com/office/drawing/2014/main" id="{9A8C12E3-E15A-4D31-811F-20C8C38AA4DD}"/>
            </a:ext>
          </a:extLst>
        </xdr:cNvPr>
        <xdr:cNvSpPr txBox="1"/>
      </xdr:nvSpPr>
      <xdr:spPr>
        <a:xfrm>
          <a:off x="11134725" y="1448752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37</xdr:row>
      <xdr:rowOff>0</xdr:rowOff>
    </xdr:from>
    <xdr:ext cx="114300" cy="200025"/>
    <xdr:sp macro="" textlink="">
      <xdr:nvSpPr>
        <xdr:cNvPr id="440" name="Shape 3">
          <a:extLst>
            <a:ext uri="{FF2B5EF4-FFF2-40B4-BE49-F238E27FC236}">
              <a16:creationId xmlns:a16="http://schemas.microsoft.com/office/drawing/2014/main" id="{6C4418FD-3937-44EE-B18B-1016EF2618ED}"/>
            </a:ext>
          </a:extLst>
        </xdr:cNvPr>
        <xdr:cNvSpPr txBox="1"/>
      </xdr:nvSpPr>
      <xdr:spPr>
        <a:xfrm>
          <a:off x="11134725" y="1448752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37</xdr:row>
      <xdr:rowOff>0</xdr:rowOff>
    </xdr:from>
    <xdr:ext cx="114300" cy="200025"/>
    <xdr:sp macro="" textlink="">
      <xdr:nvSpPr>
        <xdr:cNvPr id="441" name="Shape 3">
          <a:extLst>
            <a:ext uri="{FF2B5EF4-FFF2-40B4-BE49-F238E27FC236}">
              <a16:creationId xmlns:a16="http://schemas.microsoft.com/office/drawing/2014/main" id="{A87AFB0F-0C38-4CB3-9F45-2AF9530D8F5D}"/>
            </a:ext>
          </a:extLst>
        </xdr:cNvPr>
        <xdr:cNvSpPr txBox="1"/>
      </xdr:nvSpPr>
      <xdr:spPr>
        <a:xfrm>
          <a:off x="11134725" y="1448752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442" name="Shape 3">
          <a:extLst>
            <a:ext uri="{FF2B5EF4-FFF2-40B4-BE49-F238E27FC236}">
              <a16:creationId xmlns:a16="http://schemas.microsoft.com/office/drawing/2014/main" id="{94ABC9BA-5158-42FD-9056-166C8025177E}"/>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443" name="Shape 3">
          <a:extLst>
            <a:ext uri="{FF2B5EF4-FFF2-40B4-BE49-F238E27FC236}">
              <a16:creationId xmlns:a16="http://schemas.microsoft.com/office/drawing/2014/main" id="{6D6680BD-2CB7-453F-A74F-BABE7A7FAD99}"/>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444" name="Shape 3">
          <a:extLst>
            <a:ext uri="{FF2B5EF4-FFF2-40B4-BE49-F238E27FC236}">
              <a16:creationId xmlns:a16="http://schemas.microsoft.com/office/drawing/2014/main" id="{8ADB771A-1FB2-4FD0-B073-E16D95971C8F}"/>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445" name="Shape 3">
          <a:extLst>
            <a:ext uri="{FF2B5EF4-FFF2-40B4-BE49-F238E27FC236}">
              <a16:creationId xmlns:a16="http://schemas.microsoft.com/office/drawing/2014/main" id="{04F5FEB1-E423-4E1F-95A0-7A713041D0E5}"/>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446" name="Shape 3">
          <a:extLst>
            <a:ext uri="{FF2B5EF4-FFF2-40B4-BE49-F238E27FC236}">
              <a16:creationId xmlns:a16="http://schemas.microsoft.com/office/drawing/2014/main" id="{532402B4-0389-40F2-B079-27EDFDF4A0A7}"/>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447" name="Shape 3">
          <a:extLst>
            <a:ext uri="{FF2B5EF4-FFF2-40B4-BE49-F238E27FC236}">
              <a16:creationId xmlns:a16="http://schemas.microsoft.com/office/drawing/2014/main" id="{120762EA-57F3-4C18-948F-EFF2E74FFB4B}"/>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448" name="Shape 3">
          <a:extLst>
            <a:ext uri="{FF2B5EF4-FFF2-40B4-BE49-F238E27FC236}">
              <a16:creationId xmlns:a16="http://schemas.microsoft.com/office/drawing/2014/main" id="{6CE0A2E2-F51C-440B-A91B-0F21DA559BC3}"/>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248</xdr:row>
      <xdr:rowOff>0</xdr:rowOff>
    </xdr:from>
    <xdr:ext cx="114300" cy="200025"/>
    <xdr:sp macro="" textlink="">
      <xdr:nvSpPr>
        <xdr:cNvPr id="449" name="Shape 3">
          <a:extLst>
            <a:ext uri="{FF2B5EF4-FFF2-40B4-BE49-F238E27FC236}">
              <a16:creationId xmlns:a16="http://schemas.microsoft.com/office/drawing/2014/main" id="{CE262609-F192-4E7F-B9E3-2B219C3AB073}"/>
            </a:ext>
          </a:extLst>
        </xdr:cNvPr>
        <xdr:cNvSpPr txBox="1"/>
      </xdr:nvSpPr>
      <xdr:spPr>
        <a:xfrm>
          <a:off x="11134725" y="59340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254</xdr:row>
      <xdr:rowOff>0</xdr:rowOff>
    </xdr:from>
    <xdr:ext cx="114300" cy="200025"/>
    <xdr:sp macro="" textlink="">
      <xdr:nvSpPr>
        <xdr:cNvPr id="450" name="Shape 3">
          <a:extLst>
            <a:ext uri="{FF2B5EF4-FFF2-40B4-BE49-F238E27FC236}">
              <a16:creationId xmlns:a16="http://schemas.microsoft.com/office/drawing/2014/main" id="{A1C332E0-59A8-4B21-AF94-DE64930627A3}"/>
            </a:ext>
          </a:extLst>
        </xdr:cNvPr>
        <xdr:cNvSpPr txBox="1"/>
      </xdr:nvSpPr>
      <xdr:spPr>
        <a:xfrm>
          <a:off x="11134725" y="6050280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254</xdr:row>
      <xdr:rowOff>0</xdr:rowOff>
    </xdr:from>
    <xdr:ext cx="114300" cy="200025"/>
    <xdr:sp macro="" textlink="">
      <xdr:nvSpPr>
        <xdr:cNvPr id="451" name="Shape 3">
          <a:extLst>
            <a:ext uri="{FF2B5EF4-FFF2-40B4-BE49-F238E27FC236}">
              <a16:creationId xmlns:a16="http://schemas.microsoft.com/office/drawing/2014/main" id="{630E7EAC-46FA-44DD-8763-F0705930ED1C}"/>
            </a:ext>
          </a:extLst>
        </xdr:cNvPr>
        <xdr:cNvSpPr txBox="1"/>
      </xdr:nvSpPr>
      <xdr:spPr>
        <a:xfrm>
          <a:off x="11134725" y="6050280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254</xdr:row>
      <xdr:rowOff>0</xdr:rowOff>
    </xdr:from>
    <xdr:ext cx="114300" cy="200025"/>
    <xdr:sp macro="" textlink="">
      <xdr:nvSpPr>
        <xdr:cNvPr id="452" name="Shape 3">
          <a:extLst>
            <a:ext uri="{FF2B5EF4-FFF2-40B4-BE49-F238E27FC236}">
              <a16:creationId xmlns:a16="http://schemas.microsoft.com/office/drawing/2014/main" id="{1C5B6DB1-742D-4CC3-995E-ECEC7C552208}"/>
            </a:ext>
          </a:extLst>
        </xdr:cNvPr>
        <xdr:cNvSpPr txBox="1"/>
      </xdr:nvSpPr>
      <xdr:spPr>
        <a:xfrm>
          <a:off x="11134725" y="6050280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254</xdr:row>
      <xdr:rowOff>0</xdr:rowOff>
    </xdr:from>
    <xdr:ext cx="114300" cy="200025"/>
    <xdr:sp macro="" textlink="">
      <xdr:nvSpPr>
        <xdr:cNvPr id="453" name="Shape 3">
          <a:extLst>
            <a:ext uri="{FF2B5EF4-FFF2-40B4-BE49-F238E27FC236}">
              <a16:creationId xmlns:a16="http://schemas.microsoft.com/office/drawing/2014/main" id="{6259112A-51F7-49DE-B158-DE06568516F4}"/>
            </a:ext>
          </a:extLst>
        </xdr:cNvPr>
        <xdr:cNvSpPr txBox="1"/>
      </xdr:nvSpPr>
      <xdr:spPr>
        <a:xfrm>
          <a:off x="11134725" y="6050280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254</xdr:row>
      <xdr:rowOff>0</xdr:rowOff>
    </xdr:from>
    <xdr:ext cx="114300" cy="200025"/>
    <xdr:sp macro="" textlink="">
      <xdr:nvSpPr>
        <xdr:cNvPr id="454" name="Shape 3">
          <a:extLst>
            <a:ext uri="{FF2B5EF4-FFF2-40B4-BE49-F238E27FC236}">
              <a16:creationId xmlns:a16="http://schemas.microsoft.com/office/drawing/2014/main" id="{FBBE6C5A-8112-4033-A71E-AC2DE4542A4B}"/>
            </a:ext>
          </a:extLst>
        </xdr:cNvPr>
        <xdr:cNvSpPr txBox="1"/>
      </xdr:nvSpPr>
      <xdr:spPr>
        <a:xfrm>
          <a:off x="11134725" y="6050280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492125</xdr:colOff>
      <xdr:row>248</xdr:row>
      <xdr:rowOff>142875</xdr:rowOff>
    </xdr:from>
    <xdr:ext cx="898071" cy="1079386"/>
    <xdr:pic>
      <xdr:nvPicPr>
        <xdr:cNvPr id="455" name="Imagen 454">
          <a:extLst>
            <a:ext uri="{FF2B5EF4-FFF2-40B4-BE49-F238E27FC236}">
              <a16:creationId xmlns:a16="http://schemas.microsoft.com/office/drawing/2014/main" id="{9D5A256C-D84F-4EB3-9E58-C6BA58F21E9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25600" y="59483625"/>
          <a:ext cx="898071" cy="1079386"/>
        </a:xfrm>
        <a:prstGeom prst="rect">
          <a:avLst/>
        </a:prstGeom>
      </xdr:spPr>
    </xdr:pic>
    <xdr:clientData/>
  </xdr:oneCellAnchor>
  <xdr:oneCellAnchor>
    <xdr:from>
      <xdr:col>6</xdr:col>
      <xdr:colOff>0</xdr:colOff>
      <xdr:row>254</xdr:row>
      <xdr:rowOff>0</xdr:rowOff>
    </xdr:from>
    <xdr:ext cx="114300" cy="200025"/>
    <xdr:sp macro="" textlink="">
      <xdr:nvSpPr>
        <xdr:cNvPr id="456" name="Shape 3">
          <a:extLst>
            <a:ext uri="{FF2B5EF4-FFF2-40B4-BE49-F238E27FC236}">
              <a16:creationId xmlns:a16="http://schemas.microsoft.com/office/drawing/2014/main" id="{4717E1EA-E442-432C-A496-E045E5FFFCF1}"/>
            </a:ext>
          </a:extLst>
        </xdr:cNvPr>
        <xdr:cNvSpPr txBox="1"/>
      </xdr:nvSpPr>
      <xdr:spPr>
        <a:xfrm>
          <a:off x="11134725" y="6050280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254</xdr:row>
      <xdr:rowOff>0</xdr:rowOff>
    </xdr:from>
    <xdr:ext cx="114300" cy="200025"/>
    <xdr:sp macro="" textlink="">
      <xdr:nvSpPr>
        <xdr:cNvPr id="457" name="Shape 3">
          <a:extLst>
            <a:ext uri="{FF2B5EF4-FFF2-40B4-BE49-F238E27FC236}">
              <a16:creationId xmlns:a16="http://schemas.microsoft.com/office/drawing/2014/main" id="{92298510-EE07-4303-A1F4-0C6BADD6B7F6}"/>
            </a:ext>
          </a:extLst>
        </xdr:cNvPr>
        <xdr:cNvSpPr txBox="1"/>
      </xdr:nvSpPr>
      <xdr:spPr>
        <a:xfrm>
          <a:off x="11134725" y="6050280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254</xdr:row>
      <xdr:rowOff>0</xdr:rowOff>
    </xdr:from>
    <xdr:ext cx="114300" cy="200025"/>
    <xdr:sp macro="" textlink="">
      <xdr:nvSpPr>
        <xdr:cNvPr id="458" name="Shape 3">
          <a:extLst>
            <a:ext uri="{FF2B5EF4-FFF2-40B4-BE49-F238E27FC236}">
              <a16:creationId xmlns:a16="http://schemas.microsoft.com/office/drawing/2014/main" id="{1F8330FB-E0D1-4EEA-B495-96E812224085}"/>
            </a:ext>
          </a:extLst>
        </xdr:cNvPr>
        <xdr:cNvSpPr txBox="1"/>
      </xdr:nvSpPr>
      <xdr:spPr>
        <a:xfrm>
          <a:off x="11134725" y="6050280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492125</xdr:colOff>
      <xdr:row>248</xdr:row>
      <xdr:rowOff>142875</xdr:rowOff>
    </xdr:from>
    <xdr:ext cx="898071" cy="1079386"/>
    <xdr:pic>
      <xdr:nvPicPr>
        <xdr:cNvPr id="459" name="Imagen 458">
          <a:extLst>
            <a:ext uri="{FF2B5EF4-FFF2-40B4-BE49-F238E27FC236}">
              <a16:creationId xmlns:a16="http://schemas.microsoft.com/office/drawing/2014/main" id="{C4C35CAE-11DE-4175-9F6C-0ADCD2262DB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25600" y="59483625"/>
          <a:ext cx="898071" cy="1079386"/>
        </a:xfrm>
        <a:prstGeom prst="rect">
          <a:avLst/>
        </a:prstGeom>
      </xdr:spPr>
    </xdr:pic>
    <xdr:clientData/>
  </xdr:oneCellAnchor>
  <xdr:oneCellAnchor>
    <xdr:from>
      <xdr:col>6</xdr:col>
      <xdr:colOff>0</xdr:colOff>
      <xdr:row>282</xdr:row>
      <xdr:rowOff>0</xdr:rowOff>
    </xdr:from>
    <xdr:ext cx="114300" cy="200025"/>
    <xdr:sp macro="" textlink="">
      <xdr:nvSpPr>
        <xdr:cNvPr id="460" name="Shape 3">
          <a:extLst>
            <a:ext uri="{FF2B5EF4-FFF2-40B4-BE49-F238E27FC236}">
              <a16:creationId xmlns:a16="http://schemas.microsoft.com/office/drawing/2014/main" id="{614B1344-E27D-4ACB-A1ED-05C2C50B8918}"/>
            </a:ext>
          </a:extLst>
        </xdr:cNvPr>
        <xdr:cNvSpPr txBox="1"/>
      </xdr:nvSpPr>
      <xdr:spPr>
        <a:xfrm>
          <a:off x="11134725" y="6622732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282</xdr:row>
      <xdr:rowOff>0</xdr:rowOff>
    </xdr:from>
    <xdr:ext cx="114300" cy="200025"/>
    <xdr:sp macro="" textlink="">
      <xdr:nvSpPr>
        <xdr:cNvPr id="461" name="Shape 3">
          <a:extLst>
            <a:ext uri="{FF2B5EF4-FFF2-40B4-BE49-F238E27FC236}">
              <a16:creationId xmlns:a16="http://schemas.microsoft.com/office/drawing/2014/main" id="{1326BFF3-8150-4A9C-A102-250CFFBDB14B}"/>
            </a:ext>
          </a:extLst>
        </xdr:cNvPr>
        <xdr:cNvSpPr txBox="1"/>
      </xdr:nvSpPr>
      <xdr:spPr>
        <a:xfrm>
          <a:off x="11134725" y="6622732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282</xdr:row>
      <xdr:rowOff>0</xdr:rowOff>
    </xdr:from>
    <xdr:ext cx="114300" cy="200025"/>
    <xdr:sp macro="" textlink="">
      <xdr:nvSpPr>
        <xdr:cNvPr id="462" name="Shape 3">
          <a:extLst>
            <a:ext uri="{FF2B5EF4-FFF2-40B4-BE49-F238E27FC236}">
              <a16:creationId xmlns:a16="http://schemas.microsoft.com/office/drawing/2014/main" id="{45923977-D84A-4BC9-B056-F027D6235CDC}"/>
            </a:ext>
          </a:extLst>
        </xdr:cNvPr>
        <xdr:cNvSpPr txBox="1"/>
      </xdr:nvSpPr>
      <xdr:spPr>
        <a:xfrm>
          <a:off x="11134725" y="6622732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282</xdr:row>
      <xdr:rowOff>0</xdr:rowOff>
    </xdr:from>
    <xdr:ext cx="114300" cy="200025"/>
    <xdr:sp macro="" textlink="">
      <xdr:nvSpPr>
        <xdr:cNvPr id="463" name="Shape 3">
          <a:extLst>
            <a:ext uri="{FF2B5EF4-FFF2-40B4-BE49-F238E27FC236}">
              <a16:creationId xmlns:a16="http://schemas.microsoft.com/office/drawing/2014/main" id="{FA472EF8-2B98-4D15-AB26-6F717A33CC58}"/>
            </a:ext>
          </a:extLst>
        </xdr:cNvPr>
        <xdr:cNvSpPr txBox="1"/>
      </xdr:nvSpPr>
      <xdr:spPr>
        <a:xfrm>
          <a:off x="11134725" y="6622732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282</xdr:row>
      <xdr:rowOff>0</xdr:rowOff>
    </xdr:from>
    <xdr:ext cx="114300" cy="200025"/>
    <xdr:sp macro="" textlink="">
      <xdr:nvSpPr>
        <xdr:cNvPr id="464" name="Shape 3">
          <a:extLst>
            <a:ext uri="{FF2B5EF4-FFF2-40B4-BE49-F238E27FC236}">
              <a16:creationId xmlns:a16="http://schemas.microsoft.com/office/drawing/2014/main" id="{0200F2AD-BD66-46D0-BC37-BCD965E987D7}"/>
            </a:ext>
          </a:extLst>
        </xdr:cNvPr>
        <xdr:cNvSpPr txBox="1"/>
      </xdr:nvSpPr>
      <xdr:spPr>
        <a:xfrm>
          <a:off x="11134725" y="6622732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492125</xdr:colOff>
      <xdr:row>276</xdr:row>
      <xdr:rowOff>142875</xdr:rowOff>
    </xdr:from>
    <xdr:ext cx="898071" cy="1079386"/>
    <xdr:pic>
      <xdr:nvPicPr>
        <xdr:cNvPr id="465" name="Imagen 464">
          <a:extLst>
            <a:ext uri="{FF2B5EF4-FFF2-40B4-BE49-F238E27FC236}">
              <a16:creationId xmlns:a16="http://schemas.microsoft.com/office/drawing/2014/main" id="{02BC511A-02B3-4ECB-A0AC-6936286DAB1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25600" y="65208150"/>
          <a:ext cx="898071" cy="1079386"/>
        </a:xfrm>
        <a:prstGeom prst="rect">
          <a:avLst/>
        </a:prstGeom>
      </xdr:spPr>
    </xdr:pic>
    <xdr:clientData/>
  </xdr:oneCellAnchor>
  <xdr:oneCellAnchor>
    <xdr:from>
      <xdr:col>6</xdr:col>
      <xdr:colOff>0</xdr:colOff>
      <xdr:row>282</xdr:row>
      <xdr:rowOff>0</xdr:rowOff>
    </xdr:from>
    <xdr:ext cx="114300" cy="200025"/>
    <xdr:sp macro="" textlink="">
      <xdr:nvSpPr>
        <xdr:cNvPr id="466" name="Shape 3">
          <a:extLst>
            <a:ext uri="{FF2B5EF4-FFF2-40B4-BE49-F238E27FC236}">
              <a16:creationId xmlns:a16="http://schemas.microsoft.com/office/drawing/2014/main" id="{B5ACCA4F-681D-4BD4-9F54-D6AB923155B1}"/>
            </a:ext>
          </a:extLst>
        </xdr:cNvPr>
        <xdr:cNvSpPr txBox="1"/>
      </xdr:nvSpPr>
      <xdr:spPr>
        <a:xfrm>
          <a:off x="11134725" y="6622732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282</xdr:row>
      <xdr:rowOff>0</xdr:rowOff>
    </xdr:from>
    <xdr:ext cx="114300" cy="200025"/>
    <xdr:sp macro="" textlink="">
      <xdr:nvSpPr>
        <xdr:cNvPr id="467" name="Shape 3">
          <a:extLst>
            <a:ext uri="{FF2B5EF4-FFF2-40B4-BE49-F238E27FC236}">
              <a16:creationId xmlns:a16="http://schemas.microsoft.com/office/drawing/2014/main" id="{C3967F16-68C6-4E14-9E7E-75BABAA30F35}"/>
            </a:ext>
          </a:extLst>
        </xdr:cNvPr>
        <xdr:cNvSpPr txBox="1"/>
      </xdr:nvSpPr>
      <xdr:spPr>
        <a:xfrm>
          <a:off x="11134725" y="6622732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282</xdr:row>
      <xdr:rowOff>0</xdr:rowOff>
    </xdr:from>
    <xdr:ext cx="114300" cy="200025"/>
    <xdr:sp macro="" textlink="">
      <xdr:nvSpPr>
        <xdr:cNvPr id="468" name="Shape 3">
          <a:extLst>
            <a:ext uri="{FF2B5EF4-FFF2-40B4-BE49-F238E27FC236}">
              <a16:creationId xmlns:a16="http://schemas.microsoft.com/office/drawing/2014/main" id="{B0CAA8C4-9643-4EDF-92F7-0C1C3B8F5D35}"/>
            </a:ext>
          </a:extLst>
        </xdr:cNvPr>
        <xdr:cNvSpPr txBox="1"/>
      </xdr:nvSpPr>
      <xdr:spPr>
        <a:xfrm>
          <a:off x="11134725" y="6622732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492125</xdr:colOff>
      <xdr:row>276</xdr:row>
      <xdr:rowOff>142875</xdr:rowOff>
    </xdr:from>
    <xdr:ext cx="898071" cy="1079386"/>
    <xdr:pic>
      <xdr:nvPicPr>
        <xdr:cNvPr id="469" name="Imagen 468">
          <a:extLst>
            <a:ext uri="{FF2B5EF4-FFF2-40B4-BE49-F238E27FC236}">
              <a16:creationId xmlns:a16="http://schemas.microsoft.com/office/drawing/2014/main" id="{D950D200-2646-4BEA-B540-2E947FB44EA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25600" y="65208150"/>
          <a:ext cx="898071" cy="1079386"/>
        </a:xfrm>
        <a:prstGeom prst="rect">
          <a:avLst/>
        </a:prstGeom>
      </xdr:spPr>
    </xdr:pic>
    <xdr:clientData/>
  </xdr:oneCellAnchor>
  <xdr:oneCellAnchor>
    <xdr:from>
      <xdr:col>6</xdr:col>
      <xdr:colOff>0</xdr:colOff>
      <xdr:row>310</xdr:row>
      <xdr:rowOff>0</xdr:rowOff>
    </xdr:from>
    <xdr:ext cx="114300" cy="200025"/>
    <xdr:sp macro="" textlink="">
      <xdr:nvSpPr>
        <xdr:cNvPr id="479" name="Shape 3">
          <a:extLst>
            <a:ext uri="{FF2B5EF4-FFF2-40B4-BE49-F238E27FC236}">
              <a16:creationId xmlns:a16="http://schemas.microsoft.com/office/drawing/2014/main" id="{1BF9FCA4-93FF-4A0E-91D4-1039138D4BF0}"/>
            </a:ext>
          </a:extLst>
        </xdr:cNvPr>
        <xdr:cNvSpPr txBox="1"/>
      </xdr:nvSpPr>
      <xdr:spPr>
        <a:xfrm>
          <a:off x="11134725" y="7201852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310</xdr:row>
      <xdr:rowOff>0</xdr:rowOff>
    </xdr:from>
    <xdr:ext cx="114300" cy="200025"/>
    <xdr:sp macro="" textlink="">
      <xdr:nvSpPr>
        <xdr:cNvPr id="480" name="Shape 3">
          <a:extLst>
            <a:ext uri="{FF2B5EF4-FFF2-40B4-BE49-F238E27FC236}">
              <a16:creationId xmlns:a16="http://schemas.microsoft.com/office/drawing/2014/main" id="{1B23DC60-399F-4D78-9C5A-015D5D948D8B}"/>
            </a:ext>
          </a:extLst>
        </xdr:cNvPr>
        <xdr:cNvSpPr txBox="1"/>
      </xdr:nvSpPr>
      <xdr:spPr>
        <a:xfrm>
          <a:off x="11134725" y="7201852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310</xdr:row>
      <xdr:rowOff>0</xdr:rowOff>
    </xdr:from>
    <xdr:ext cx="114300" cy="200025"/>
    <xdr:sp macro="" textlink="">
      <xdr:nvSpPr>
        <xdr:cNvPr id="481" name="Shape 3">
          <a:extLst>
            <a:ext uri="{FF2B5EF4-FFF2-40B4-BE49-F238E27FC236}">
              <a16:creationId xmlns:a16="http://schemas.microsoft.com/office/drawing/2014/main" id="{85D9D679-4D90-4537-83B8-7E5CB7B17E2A}"/>
            </a:ext>
          </a:extLst>
        </xdr:cNvPr>
        <xdr:cNvSpPr txBox="1"/>
      </xdr:nvSpPr>
      <xdr:spPr>
        <a:xfrm>
          <a:off x="11134725" y="7201852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310</xdr:row>
      <xdr:rowOff>0</xdr:rowOff>
    </xdr:from>
    <xdr:ext cx="114300" cy="200025"/>
    <xdr:sp macro="" textlink="">
      <xdr:nvSpPr>
        <xdr:cNvPr id="482" name="Shape 3">
          <a:extLst>
            <a:ext uri="{FF2B5EF4-FFF2-40B4-BE49-F238E27FC236}">
              <a16:creationId xmlns:a16="http://schemas.microsoft.com/office/drawing/2014/main" id="{2823A0B9-D9B3-4D5C-AD29-8930AE48B70C}"/>
            </a:ext>
          </a:extLst>
        </xdr:cNvPr>
        <xdr:cNvSpPr txBox="1"/>
      </xdr:nvSpPr>
      <xdr:spPr>
        <a:xfrm>
          <a:off x="11134725" y="7201852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310</xdr:row>
      <xdr:rowOff>0</xdr:rowOff>
    </xdr:from>
    <xdr:ext cx="114300" cy="200025"/>
    <xdr:sp macro="" textlink="">
      <xdr:nvSpPr>
        <xdr:cNvPr id="483" name="Shape 3">
          <a:extLst>
            <a:ext uri="{FF2B5EF4-FFF2-40B4-BE49-F238E27FC236}">
              <a16:creationId xmlns:a16="http://schemas.microsoft.com/office/drawing/2014/main" id="{5DB21467-F6FC-43BF-9DED-62D8468715B1}"/>
            </a:ext>
          </a:extLst>
        </xdr:cNvPr>
        <xdr:cNvSpPr txBox="1"/>
      </xdr:nvSpPr>
      <xdr:spPr>
        <a:xfrm>
          <a:off x="11134725" y="7201852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492125</xdr:colOff>
      <xdr:row>304</xdr:row>
      <xdr:rowOff>142875</xdr:rowOff>
    </xdr:from>
    <xdr:ext cx="898071" cy="1079386"/>
    <xdr:pic>
      <xdr:nvPicPr>
        <xdr:cNvPr id="484" name="Imagen 483">
          <a:extLst>
            <a:ext uri="{FF2B5EF4-FFF2-40B4-BE49-F238E27FC236}">
              <a16:creationId xmlns:a16="http://schemas.microsoft.com/office/drawing/2014/main" id="{6701D487-A26A-4F7E-9968-B408758A7FF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25600" y="70999350"/>
          <a:ext cx="898071" cy="1079386"/>
        </a:xfrm>
        <a:prstGeom prst="rect">
          <a:avLst/>
        </a:prstGeom>
      </xdr:spPr>
    </xdr:pic>
    <xdr:clientData/>
  </xdr:oneCellAnchor>
  <xdr:oneCellAnchor>
    <xdr:from>
      <xdr:col>6</xdr:col>
      <xdr:colOff>0</xdr:colOff>
      <xdr:row>310</xdr:row>
      <xdr:rowOff>0</xdr:rowOff>
    </xdr:from>
    <xdr:ext cx="114300" cy="200025"/>
    <xdr:sp macro="" textlink="">
      <xdr:nvSpPr>
        <xdr:cNvPr id="485" name="Shape 3">
          <a:extLst>
            <a:ext uri="{FF2B5EF4-FFF2-40B4-BE49-F238E27FC236}">
              <a16:creationId xmlns:a16="http://schemas.microsoft.com/office/drawing/2014/main" id="{AB18A86E-2E72-49A7-8C22-80F637320779}"/>
            </a:ext>
          </a:extLst>
        </xdr:cNvPr>
        <xdr:cNvSpPr txBox="1"/>
      </xdr:nvSpPr>
      <xdr:spPr>
        <a:xfrm>
          <a:off x="11134725" y="7201852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310</xdr:row>
      <xdr:rowOff>0</xdr:rowOff>
    </xdr:from>
    <xdr:ext cx="114300" cy="200025"/>
    <xdr:sp macro="" textlink="">
      <xdr:nvSpPr>
        <xdr:cNvPr id="486" name="Shape 3">
          <a:extLst>
            <a:ext uri="{FF2B5EF4-FFF2-40B4-BE49-F238E27FC236}">
              <a16:creationId xmlns:a16="http://schemas.microsoft.com/office/drawing/2014/main" id="{5E8EA8BC-454A-4951-815D-E38F6C62C657}"/>
            </a:ext>
          </a:extLst>
        </xdr:cNvPr>
        <xdr:cNvSpPr txBox="1"/>
      </xdr:nvSpPr>
      <xdr:spPr>
        <a:xfrm>
          <a:off x="11134725" y="7201852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310</xdr:row>
      <xdr:rowOff>0</xdr:rowOff>
    </xdr:from>
    <xdr:ext cx="114300" cy="200025"/>
    <xdr:sp macro="" textlink="">
      <xdr:nvSpPr>
        <xdr:cNvPr id="487" name="Shape 3">
          <a:extLst>
            <a:ext uri="{FF2B5EF4-FFF2-40B4-BE49-F238E27FC236}">
              <a16:creationId xmlns:a16="http://schemas.microsoft.com/office/drawing/2014/main" id="{4DDE6095-2F0B-4BC4-AC5E-99B34F0DF8E9}"/>
            </a:ext>
          </a:extLst>
        </xdr:cNvPr>
        <xdr:cNvSpPr txBox="1"/>
      </xdr:nvSpPr>
      <xdr:spPr>
        <a:xfrm>
          <a:off x="11134725" y="7201852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492125</xdr:colOff>
      <xdr:row>304</xdr:row>
      <xdr:rowOff>142875</xdr:rowOff>
    </xdr:from>
    <xdr:ext cx="898071" cy="1079386"/>
    <xdr:pic>
      <xdr:nvPicPr>
        <xdr:cNvPr id="488" name="Imagen 487">
          <a:extLst>
            <a:ext uri="{FF2B5EF4-FFF2-40B4-BE49-F238E27FC236}">
              <a16:creationId xmlns:a16="http://schemas.microsoft.com/office/drawing/2014/main" id="{E4BF0FBD-E6EA-4BFF-9D53-590C923D931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25600" y="70999350"/>
          <a:ext cx="898071" cy="1079386"/>
        </a:xfrm>
        <a:prstGeom prst="rect">
          <a:avLst/>
        </a:prstGeom>
      </xdr:spPr>
    </xdr:pic>
    <xdr:clientData/>
  </xdr:oneCellAnchor>
  <xdr:oneCellAnchor>
    <xdr:from>
      <xdr:col>6</xdr:col>
      <xdr:colOff>0</xdr:colOff>
      <xdr:row>310</xdr:row>
      <xdr:rowOff>0</xdr:rowOff>
    </xdr:from>
    <xdr:ext cx="114300" cy="200025"/>
    <xdr:sp macro="" textlink="">
      <xdr:nvSpPr>
        <xdr:cNvPr id="490" name="Shape 3">
          <a:extLst>
            <a:ext uri="{FF2B5EF4-FFF2-40B4-BE49-F238E27FC236}">
              <a16:creationId xmlns:a16="http://schemas.microsoft.com/office/drawing/2014/main" id="{D1EBAA43-AFC8-4598-BA03-494EAC2B4DFC}"/>
            </a:ext>
          </a:extLst>
        </xdr:cNvPr>
        <xdr:cNvSpPr txBox="1"/>
      </xdr:nvSpPr>
      <xdr:spPr>
        <a:xfrm>
          <a:off x="11134725" y="7201852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310</xdr:row>
      <xdr:rowOff>0</xdr:rowOff>
    </xdr:from>
    <xdr:ext cx="114300" cy="200025"/>
    <xdr:sp macro="" textlink="">
      <xdr:nvSpPr>
        <xdr:cNvPr id="491" name="Shape 3">
          <a:extLst>
            <a:ext uri="{FF2B5EF4-FFF2-40B4-BE49-F238E27FC236}">
              <a16:creationId xmlns:a16="http://schemas.microsoft.com/office/drawing/2014/main" id="{9C5DD48F-71EA-4749-8824-4C52857B4147}"/>
            </a:ext>
          </a:extLst>
        </xdr:cNvPr>
        <xdr:cNvSpPr txBox="1"/>
      </xdr:nvSpPr>
      <xdr:spPr>
        <a:xfrm>
          <a:off x="11134725" y="7201852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310</xdr:row>
      <xdr:rowOff>0</xdr:rowOff>
    </xdr:from>
    <xdr:ext cx="114300" cy="200025"/>
    <xdr:sp macro="" textlink="">
      <xdr:nvSpPr>
        <xdr:cNvPr id="492" name="Shape 3">
          <a:extLst>
            <a:ext uri="{FF2B5EF4-FFF2-40B4-BE49-F238E27FC236}">
              <a16:creationId xmlns:a16="http://schemas.microsoft.com/office/drawing/2014/main" id="{CE39815F-41A0-40CA-850A-D9AAC0AB6ED1}"/>
            </a:ext>
          </a:extLst>
        </xdr:cNvPr>
        <xdr:cNvSpPr txBox="1"/>
      </xdr:nvSpPr>
      <xdr:spPr>
        <a:xfrm>
          <a:off x="11134725" y="7201852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310</xdr:row>
      <xdr:rowOff>0</xdr:rowOff>
    </xdr:from>
    <xdr:ext cx="114300" cy="200025"/>
    <xdr:sp macro="" textlink="">
      <xdr:nvSpPr>
        <xdr:cNvPr id="493" name="Shape 3">
          <a:extLst>
            <a:ext uri="{FF2B5EF4-FFF2-40B4-BE49-F238E27FC236}">
              <a16:creationId xmlns:a16="http://schemas.microsoft.com/office/drawing/2014/main" id="{7B17FADA-8C83-463D-AE31-BB6ADD67192E}"/>
            </a:ext>
          </a:extLst>
        </xdr:cNvPr>
        <xdr:cNvSpPr txBox="1"/>
      </xdr:nvSpPr>
      <xdr:spPr>
        <a:xfrm>
          <a:off x="11134725" y="7201852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310</xdr:row>
      <xdr:rowOff>0</xdr:rowOff>
    </xdr:from>
    <xdr:ext cx="114300" cy="200025"/>
    <xdr:sp macro="" textlink="">
      <xdr:nvSpPr>
        <xdr:cNvPr id="494" name="Shape 3">
          <a:extLst>
            <a:ext uri="{FF2B5EF4-FFF2-40B4-BE49-F238E27FC236}">
              <a16:creationId xmlns:a16="http://schemas.microsoft.com/office/drawing/2014/main" id="{F85C72C6-C6C0-4E1D-9CF5-658A81C1099C}"/>
            </a:ext>
          </a:extLst>
        </xdr:cNvPr>
        <xdr:cNvSpPr txBox="1"/>
      </xdr:nvSpPr>
      <xdr:spPr>
        <a:xfrm>
          <a:off x="11134725" y="7201852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310</xdr:row>
      <xdr:rowOff>0</xdr:rowOff>
    </xdr:from>
    <xdr:ext cx="114300" cy="200025"/>
    <xdr:sp macro="" textlink="">
      <xdr:nvSpPr>
        <xdr:cNvPr id="495" name="Shape 3">
          <a:extLst>
            <a:ext uri="{FF2B5EF4-FFF2-40B4-BE49-F238E27FC236}">
              <a16:creationId xmlns:a16="http://schemas.microsoft.com/office/drawing/2014/main" id="{8E278895-B773-4D85-A042-B6C52CB668BC}"/>
            </a:ext>
          </a:extLst>
        </xdr:cNvPr>
        <xdr:cNvSpPr txBox="1"/>
      </xdr:nvSpPr>
      <xdr:spPr>
        <a:xfrm>
          <a:off x="11134725" y="7201852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310</xdr:row>
      <xdr:rowOff>0</xdr:rowOff>
    </xdr:from>
    <xdr:ext cx="114300" cy="200025"/>
    <xdr:sp macro="" textlink="">
      <xdr:nvSpPr>
        <xdr:cNvPr id="496" name="Shape 3">
          <a:extLst>
            <a:ext uri="{FF2B5EF4-FFF2-40B4-BE49-F238E27FC236}">
              <a16:creationId xmlns:a16="http://schemas.microsoft.com/office/drawing/2014/main" id="{F63F03E9-EBA2-4CFD-8F03-407F6FB9E90F}"/>
            </a:ext>
          </a:extLst>
        </xdr:cNvPr>
        <xdr:cNvSpPr txBox="1"/>
      </xdr:nvSpPr>
      <xdr:spPr>
        <a:xfrm>
          <a:off x="11134725" y="7201852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310</xdr:row>
      <xdr:rowOff>0</xdr:rowOff>
    </xdr:from>
    <xdr:ext cx="114300" cy="200025"/>
    <xdr:sp macro="" textlink="">
      <xdr:nvSpPr>
        <xdr:cNvPr id="497" name="Shape 3">
          <a:extLst>
            <a:ext uri="{FF2B5EF4-FFF2-40B4-BE49-F238E27FC236}">
              <a16:creationId xmlns:a16="http://schemas.microsoft.com/office/drawing/2014/main" id="{B3A40F51-9EAE-4EC9-8F1B-78C44E5244A3}"/>
            </a:ext>
          </a:extLst>
        </xdr:cNvPr>
        <xdr:cNvSpPr txBox="1"/>
      </xdr:nvSpPr>
      <xdr:spPr>
        <a:xfrm>
          <a:off x="11134725" y="7201852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338</xdr:row>
      <xdr:rowOff>0</xdr:rowOff>
    </xdr:from>
    <xdr:ext cx="114300" cy="200025"/>
    <xdr:sp macro="" textlink="">
      <xdr:nvSpPr>
        <xdr:cNvPr id="498" name="Shape 3">
          <a:extLst>
            <a:ext uri="{FF2B5EF4-FFF2-40B4-BE49-F238E27FC236}">
              <a16:creationId xmlns:a16="http://schemas.microsoft.com/office/drawing/2014/main" id="{FD0CEA77-6BA8-4241-A635-4DF452D9474C}"/>
            </a:ext>
          </a:extLst>
        </xdr:cNvPr>
        <xdr:cNvSpPr txBox="1"/>
      </xdr:nvSpPr>
      <xdr:spPr>
        <a:xfrm>
          <a:off x="11134725" y="777811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338</xdr:row>
      <xdr:rowOff>0</xdr:rowOff>
    </xdr:from>
    <xdr:ext cx="114300" cy="200025"/>
    <xdr:sp macro="" textlink="">
      <xdr:nvSpPr>
        <xdr:cNvPr id="499" name="Shape 3">
          <a:extLst>
            <a:ext uri="{FF2B5EF4-FFF2-40B4-BE49-F238E27FC236}">
              <a16:creationId xmlns:a16="http://schemas.microsoft.com/office/drawing/2014/main" id="{74BA9694-46A4-4F15-A03E-23F287F3F0CF}"/>
            </a:ext>
          </a:extLst>
        </xdr:cNvPr>
        <xdr:cNvSpPr txBox="1"/>
      </xdr:nvSpPr>
      <xdr:spPr>
        <a:xfrm>
          <a:off x="11134725" y="777811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338</xdr:row>
      <xdr:rowOff>0</xdr:rowOff>
    </xdr:from>
    <xdr:ext cx="114300" cy="200025"/>
    <xdr:sp macro="" textlink="">
      <xdr:nvSpPr>
        <xdr:cNvPr id="500" name="Shape 3">
          <a:extLst>
            <a:ext uri="{FF2B5EF4-FFF2-40B4-BE49-F238E27FC236}">
              <a16:creationId xmlns:a16="http://schemas.microsoft.com/office/drawing/2014/main" id="{8C90A4B5-622D-46E7-97BB-329B57B69C46}"/>
            </a:ext>
          </a:extLst>
        </xdr:cNvPr>
        <xdr:cNvSpPr txBox="1"/>
      </xdr:nvSpPr>
      <xdr:spPr>
        <a:xfrm>
          <a:off x="11134725" y="777811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338</xdr:row>
      <xdr:rowOff>0</xdr:rowOff>
    </xdr:from>
    <xdr:ext cx="114300" cy="200025"/>
    <xdr:sp macro="" textlink="">
      <xdr:nvSpPr>
        <xdr:cNvPr id="501" name="Shape 3">
          <a:extLst>
            <a:ext uri="{FF2B5EF4-FFF2-40B4-BE49-F238E27FC236}">
              <a16:creationId xmlns:a16="http://schemas.microsoft.com/office/drawing/2014/main" id="{BD3213A5-1562-417B-9A0F-0370E0D0CA4E}"/>
            </a:ext>
          </a:extLst>
        </xdr:cNvPr>
        <xdr:cNvSpPr txBox="1"/>
      </xdr:nvSpPr>
      <xdr:spPr>
        <a:xfrm>
          <a:off x="11134725" y="777811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338</xdr:row>
      <xdr:rowOff>0</xdr:rowOff>
    </xdr:from>
    <xdr:ext cx="114300" cy="200025"/>
    <xdr:sp macro="" textlink="">
      <xdr:nvSpPr>
        <xdr:cNvPr id="502" name="Shape 3">
          <a:extLst>
            <a:ext uri="{FF2B5EF4-FFF2-40B4-BE49-F238E27FC236}">
              <a16:creationId xmlns:a16="http://schemas.microsoft.com/office/drawing/2014/main" id="{BA720402-7931-4802-9960-1AC0C489D55C}"/>
            </a:ext>
          </a:extLst>
        </xdr:cNvPr>
        <xdr:cNvSpPr txBox="1"/>
      </xdr:nvSpPr>
      <xdr:spPr>
        <a:xfrm>
          <a:off x="11134725" y="777811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492125</xdr:colOff>
      <xdr:row>332</xdr:row>
      <xdr:rowOff>142875</xdr:rowOff>
    </xdr:from>
    <xdr:ext cx="898071" cy="1079386"/>
    <xdr:pic>
      <xdr:nvPicPr>
        <xdr:cNvPr id="503" name="Imagen 502">
          <a:extLst>
            <a:ext uri="{FF2B5EF4-FFF2-40B4-BE49-F238E27FC236}">
              <a16:creationId xmlns:a16="http://schemas.microsoft.com/office/drawing/2014/main" id="{9781CB64-52A5-4082-99FE-15AACB5E772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25600" y="76761975"/>
          <a:ext cx="898071" cy="1079386"/>
        </a:xfrm>
        <a:prstGeom prst="rect">
          <a:avLst/>
        </a:prstGeom>
      </xdr:spPr>
    </xdr:pic>
    <xdr:clientData/>
  </xdr:oneCellAnchor>
  <xdr:oneCellAnchor>
    <xdr:from>
      <xdr:col>6</xdr:col>
      <xdr:colOff>0</xdr:colOff>
      <xdr:row>338</xdr:row>
      <xdr:rowOff>0</xdr:rowOff>
    </xdr:from>
    <xdr:ext cx="114300" cy="200025"/>
    <xdr:sp macro="" textlink="">
      <xdr:nvSpPr>
        <xdr:cNvPr id="504" name="Shape 3">
          <a:extLst>
            <a:ext uri="{FF2B5EF4-FFF2-40B4-BE49-F238E27FC236}">
              <a16:creationId xmlns:a16="http://schemas.microsoft.com/office/drawing/2014/main" id="{929393C2-22D2-495C-B130-E73972AB000F}"/>
            </a:ext>
          </a:extLst>
        </xdr:cNvPr>
        <xdr:cNvSpPr txBox="1"/>
      </xdr:nvSpPr>
      <xdr:spPr>
        <a:xfrm>
          <a:off x="11134725" y="777811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338</xdr:row>
      <xdr:rowOff>0</xdr:rowOff>
    </xdr:from>
    <xdr:ext cx="114300" cy="200025"/>
    <xdr:sp macro="" textlink="">
      <xdr:nvSpPr>
        <xdr:cNvPr id="505" name="Shape 3">
          <a:extLst>
            <a:ext uri="{FF2B5EF4-FFF2-40B4-BE49-F238E27FC236}">
              <a16:creationId xmlns:a16="http://schemas.microsoft.com/office/drawing/2014/main" id="{FCA392CB-4166-48A0-AB2D-3CD86BE2314E}"/>
            </a:ext>
          </a:extLst>
        </xdr:cNvPr>
        <xdr:cNvSpPr txBox="1"/>
      </xdr:nvSpPr>
      <xdr:spPr>
        <a:xfrm>
          <a:off x="11134725" y="777811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338</xdr:row>
      <xdr:rowOff>0</xdr:rowOff>
    </xdr:from>
    <xdr:ext cx="114300" cy="200025"/>
    <xdr:sp macro="" textlink="">
      <xdr:nvSpPr>
        <xdr:cNvPr id="506" name="Shape 3">
          <a:extLst>
            <a:ext uri="{FF2B5EF4-FFF2-40B4-BE49-F238E27FC236}">
              <a16:creationId xmlns:a16="http://schemas.microsoft.com/office/drawing/2014/main" id="{A34C2955-1AA4-4ECD-B2C5-64476774C05A}"/>
            </a:ext>
          </a:extLst>
        </xdr:cNvPr>
        <xdr:cNvSpPr txBox="1"/>
      </xdr:nvSpPr>
      <xdr:spPr>
        <a:xfrm>
          <a:off x="11134725" y="777811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492125</xdr:colOff>
      <xdr:row>332</xdr:row>
      <xdr:rowOff>142875</xdr:rowOff>
    </xdr:from>
    <xdr:ext cx="898071" cy="1079386"/>
    <xdr:pic>
      <xdr:nvPicPr>
        <xdr:cNvPr id="507" name="Imagen 506">
          <a:extLst>
            <a:ext uri="{FF2B5EF4-FFF2-40B4-BE49-F238E27FC236}">
              <a16:creationId xmlns:a16="http://schemas.microsoft.com/office/drawing/2014/main" id="{01596D11-27D9-4B3C-8173-E30D02365B0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25600" y="76761975"/>
          <a:ext cx="898071" cy="1079386"/>
        </a:xfrm>
        <a:prstGeom prst="rect">
          <a:avLst/>
        </a:prstGeom>
      </xdr:spPr>
    </xdr:pic>
    <xdr:clientData/>
  </xdr:oneCellAnchor>
  <xdr:oneCellAnchor>
    <xdr:from>
      <xdr:col>6</xdr:col>
      <xdr:colOff>0</xdr:colOff>
      <xdr:row>338</xdr:row>
      <xdr:rowOff>0</xdr:rowOff>
    </xdr:from>
    <xdr:ext cx="114300" cy="200025"/>
    <xdr:sp macro="" textlink="">
      <xdr:nvSpPr>
        <xdr:cNvPr id="508" name="Shape 3">
          <a:extLst>
            <a:ext uri="{FF2B5EF4-FFF2-40B4-BE49-F238E27FC236}">
              <a16:creationId xmlns:a16="http://schemas.microsoft.com/office/drawing/2014/main" id="{21AFECBD-69DC-41A8-B1D3-8932148C5340}"/>
            </a:ext>
          </a:extLst>
        </xdr:cNvPr>
        <xdr:cNvSpPr txBox="1"/>
      </xdr:nvSpPr>
      <xdr:spPr>
        <a:xfrm>
          <a:off x="11134725" y="777811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338</xdr:row>
      <xdr:rowOff>0</xdr:rowOff>
    </xdr:from>
    <xdr:ext cx="114300" cy="200025"/>
    <xdr:sp macro="" textlink="">
      <xdr:nvSpPr>
        <xdr:cNvPr id="509" name="Shape 3">
          <a:extLst>
            <a:ext uri="{FF2B5EF4-FFF2-40B4-BE49-F238E27FC236}">
              <a16:creationId xmlns:a16="http://schemas.microsoft.com/office/drawing/2014/main" id="{DBB223AC-CEE4-4050-ADFF-A4F450D16DD9}"/>
            </a:ext>
          </a:extLst>
        </xdr:cNvPr>
        <xdr:cNvSpPr txBox="1"/>
      </xdr:nvSpPr>
      <xdr:spPr>
        <a:xfrm>
          <a:off x="11134725" y="777811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338</xdr:row>
      <xdr:rowOff>0</xdr:rowOff>
    </xdr:from>
    <xdr:ext cx="114300" cy="200025"/>
    <xdr:sp macro="" textlink="">
      <xdr:nvSpPr>
        <xdr:cNvPr id="510" name="Shape 3">
          <a:extLst>
            <a:ext uri="{FF2B5EF4-FFF2-40B4-BE49-F238E27FC236}">
              <a16:creationId xmlns:a16="http://schemas.microsoft.com/office/drawing/2014/main" id="{6294F338-E3C3-4350-9C35-75E6966905A7}"/>
            </a:ext>
          </a:extLst>
        </xdr:cNvPr>
        <xdr:cNvSpPr txBox="1"/>
      </xdr:nvSpPr>
      <xdr:spPr>
        <a:xfrm>
          <a:off x="11134725" y="777811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338</xdr:row>
      <xdr:rowOff>0</xdr:rowOff>
    </xdr:from>
    <xdr:ext cx="114300" cy="200025"/>
    <xdr:sp macro="" textlink="">
      <xdr:nvSpPr>
        <xdr:cNvPr id="511" name="Shape 3">
          <a:extLst>
            <a:ext uri="{FF2B5EF4-FFF2-40B4-BE49-F238E27FC236}">
              <a16:creationId xmlns:a16="http://schemas.microsoft.com/office/drawing/2014/main" id="{F5847A37-6A50-46BF-A3E9-A37F6075F598}"/>
            </a:ext>
          </a:extLst>
        </xdr:cNvPr>
        <xdr:cNvSpPr txBox="1"/>
      </xdr:nvSpPr>
      <xdr:spPr>
        <a:xfrm>
          <a:off x="11134725" y="777811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338</xdr:row>
      <xdr:rowOff>0</xdr:rowOff>
    </xdr:from>
    <xdr:ext cx="114300" cy="200025"/>
    <xdr:sp macro="" textlink="">
      <xdr:nvSpPr>
        <xdr:cNvPr id="512" name="Shape 3">
          <a:extLst>
            <a:ext uri="{FF2B5EF4-FFF2-40B4-BE49-F238E27FC236}">
              <a16:creationId xmlns:a16="http://schemas.microsoft.com/office/drawing/2014/main" id="{68179D91-D89C-43FE-B1D0-713EB89F1C4D}"/>
            </a:ext>
          </a:extLst>
        </xdr:cNvPr>
        <xdr:cNvSpPr txBox="1"/>
      </xdr:nvSpPr>
      <xdr:spPr>
        <a:xfrm>
          <a:off x="11134725" y="777811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338</xdr:row>
      <xdr:rowOff>0</xdr:rowOff>
    </xdr:from>
    <xdr:ext cx="114300" cy="200025"/>
    <xdr:sp macro="" textlink="">
      <xdr:nvSpPr>
        <xdr:cNvPr id="513" name="Shape 3">
          <a:extLst>
            <a:ext uri="{FF2B5EF4-FFF2-40B4-BE49-F238E27FC236}">
              <a16:creationId xmlns:a16="http://schemas.microsoft.com/office/drawing/2014/main" id="{6D3DF3CD-730E-4104-9533-FFCEBE843F02}"/>
            </a:ext>
          </a:extLst>
        </xdr:cNvPr>
        <xdr:cNvSpPr txBox="1"/>
      </xdr:nvSpPr>
      <xdr:spPr>
        <a:xfrm>
          <a:off x="11134725" y="777811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338</xdr:row>
      <xdr:rowOff>0</xdr:rowOff>
    </xdr:from>
    <xdr:ext cx="114300" cy="200025"/>
    <xdr:sp macro="" textlink="">
      <xdr:nvSpPr>
        <xdr:cNvPr id="514" name="Shape 3">
          <a:extLst>
            <a:ext uri="{FF2B5EF4-FFF2-40B4-BE49-F238E27FC236}">
              <a16:creationId xmlns:a16="http://schemas.microsoft.com/office/drawing/2014/main" id="{B63A091D-5143-4E59-8DC4-AA29F0A1293F}"/>
            </a:ext>
          </a:extLst>
        </xdr:cNvPr>
        <xdr:cNvSpPr txBox="1"/>
      </xdr:nvSpPr>
      <xdr:spPr>
        <a:xfrm>
          <a:off x="11134725" y="777811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338</xdr:row>
      <xdr:rowOff>0</xdr:rowOff>
    </xdr:from>
    <xdr:ext cx="114300" cy="200025"/>
    <xdr:sp macro="" textlink="">
      <xdr:nvSpPr>
        <xdr:cNvPr id="515" name="Shape 3">
          <a:extLst>
            <a:ext uri="{FF2B5EF4-FFF2-40B4-BE49-F238E27FC236}">
              <a16:creationId xmlns:a16="http://schemas.microsoft.com/office/drawing/2014/main" id="{C21CB591-1C1A-418F-BF64-256FFCD95FD6}"/>
            </a:ext>
          </a:extLst>
        </xdr:cNvPr>
        <xdr:cNvSpPr txBox="1"/>
      </xdr:nvSpPr>
      <xdr:spPr>
        <a:xfrm>
          <a:off x="11134725" y="777811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366</xdr:row>
      <xdr:rowOff>0</xdr:rowOff>
    </xdr:from>
    <xdr:ext cx="114300" cy="200025"/>
    <xdr:sp macro="" textlink="">
      <xdr:nvSpPr>
        <xdr:cNvPr id="516" name="Shape 3">
          <a:extLst>
            <a:ext uri="{FF2B5EF4-FFF2-40B4-BE49-F238E27FC236}">
              <a16:creationId xmlns:a16="http://schemas.microsoft.com/office/drawing/2014/main" id="{02764E3F-CF2C-44DB-B780-089B4E9FB5A7}"/>
            </a:ext>
          </a:extLst>
        </xdr:cNvPr>
        <xdr:cNvSpPr txBox="1"/>
      </xdr:nvSpPr>
      <xdr:spPr>
        <a:xfrm>
          <a:off x="11134725" y="843438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366</xdr:row>
      <xdr:rowOff>0</xdr:rowOff>
    </xdr:from>
    <xdr:ext cx="114300" cy="200025"/>
    <xdr:sp macro="" textlink="">
      <xdr:nvSpPr>
        <xdr:cNvPr id="517" name="Shape 3">
          <a:extLst>
            <a:ext uri="{FF2B5EF4-FFF2-40B4-BE49-F238E27FC236}">
              <a16:creationId xmlns:a16="http://schemas.microsoft.com/office/drawing/2014/main" id="{A48D5DA0-FB37-4FA2-B737-8ED3587B808B}"/>
            </a:ext>
          </a:extLst>
        </xdr:cNvPr>
        <xdr:cNvSpPr txBox="1"/>
      </xdr:nvSpPr>
      <xdr:spPr>
        <a:xfrm>
          <a:off x="11134725" y="843438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366</xdr:row>
      <xdr:rowOff>0</xdr:rowOff>
    </xdr:from>
    <xdr:ext cx="114300" cy="200025"/>
    <xdr:sp macro="" textlink="">
      <xdr:nvSpPr>
        <xdr:cNvPr id="518" name="Shape 3">
          <a:extLst>
            <a:ext uri="{FF2B5EF4-FFF2-40B4-BE49-F238E27FC236}">
              <a16:creationId xmlns:a16="http://schemas.microsoft.com/office/drawing/2014/main" id="{9B02E582-5BA0-4B91-884C-C2412BA66C01}"/>
            </a:ext>
          </a:extLst>
        </xdr:cNvPr>
        <xdr:cNvSpPr txBox="1"/>
      </xdr:nvSpPr>
      <xdr:spPr>
        <a:xfrm>
          <a:off x="11134725" y="843438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366</xdr:row>
      <xdr:rowOff>0</xdr:rowOff>
    </xdr:from>
    <xdr:ext cx="114300" cy="200025"/>
    <xdr:sp macro="" textlink="">
      <xdr:nvSpPr>
        <xdr:cNvPr id="519" name="Shape 3">
          <a:extLst>
            <a:ext uri="{FF2B5EF4-FFF2-40B4-BE49-F238E27FC236}">
              <a16:creationId xmlns:a16="http://schemas.microsoft.com/office/drawing/2014/main" id="{471C5855-1E49-429A-96CB-1A3E3C833BEC}"/>
            </a:ext>
          </a:extLst>
        </xdr:cNvPr>
        <xdr:cNvSpPr txBox="1"/>
      </xdr:nvSpPr>
      <xdr:spPr>
        <a:xfrm>
          <a:off x="11134725" y="843438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366</xdr:row>
      <xdr:rowOff>0</xdr:rowOff>
    </xdr:from>
    <xdr:ext cx="114300" cy="200025"/>
    <xdr:sp macro="" textlink="">
      <xdr:nvSpPr>
        <xdr:cNvPr id="520" name="Shape 3">
          <a:extLst>
            <a:ext uri="{FF2B5EF4-FFF2-40B4-BE49-F238E27FC236}">
              <a16:creationId xmlns:a16="http://schemas.microsoft.com/office/drawing/2014/main" id="{06661963-9370-4F75-866B-C1CACD3CE0B1}"/>
            </a:ext>
          </a:extLst>
        </xdr:cNvPr>
        <xdr:cNvSpPr txBox="1"/>
      </xdr:nvSpPr>
      <xdr:spPr>
        <a:xfrm>
          <a:off x="11134725" y="843438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492125</xdr:colOff>
      <xdr:row>360</xdr:row>
      <xdr:rowOff>142875</xdr:rowOff>
    </xdr:from>
    <xdr:ext cx="898071" cy="1079386"/>
    <xdr:pic>
      <xdr:nvPicPr>
        <xdr:cNvPr id="521" name="Imagen 520">
          <a:extLst>
            <a:ext uri="{FF2B5EF4-FFF2-40B4-BE49-F238E27FC236}">
              <a16:creationId xmlns:a16="http://schemas.microsoft.com/office/drawing/2014/main" id="{9CD6F1B5-31CD-4065-A9A2-EA16D79296A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25600" y="83324700"/>
          <a:ext cx="898071" cy="1079386"/>
        </a:xfrm>
        <a:prstGeom prst="rect">
          <a:avLst/>
        </a:prstGeom>
      </xdr:spPr>
    </xdr:pic>
    <xdr:clientData/>
  </xdr:oneCellAnchor>
  <xdr:oneCellAnchor>
    <xdr:from>
      <xdr:col>6</xdr:col>
      <xdr:colOff>0</xdr:colOff>
      <xdr:row>366</xdr:row>
      <xdr:rowOff>0</xdr:rowOff>
    </xdr:from>
    <xdr:ext cx="114300" cy="200025"/>
    <xdr:sp macro="" textlink="">
      <xdr:nvSpPr>
        <xdr:cNvPr id="522" name="Shape 3">
          <a:extLst>
            <a:ext uri="{FF2B5EF4-FFF2-40B4-BE49-F238E27FC236}">
              <a16:creationId xmlns:a16="http://schemas.microsoft.com/office/drawing/2014/main" id="{EE35AB16-CEB6-4A8B-B968-183AD6E588F4}"/>
            </a:ext>
          </a:extLst>
        </xdr:cNvPr>
        <xdr:cNvSpPr txBox="1"/>
      </xdr:nvSpPr>
      <xdr:spPr>
        <a:xfrm>
          <a:off x="11134725" y="843438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366</xdr:row>
      <xdr:rowOff>0</xdr:rowOff>
    </xdr:from>
    <xdr:ext cx="114300" cy="200025"/>
    <xdr:sp macro="" textlink="">
      <xdr:nvSpPr>
        <xdr:cNvPr id="523" name="Shape 3">
          <a:extLst>
            <a:ext uri="{FF2B5EF4-FFF2-40B4-BE49-F238E27FC236}">
              <a16:creationId xmlns:a16="http://schemas.microsoft.com/office/drawing/2014/main" id="{7FC0E277-7700-481A-B5F2-EBD0A5B8C54D}"/>
            </a:ext>
          </a:extLst>
        </xdr:cNvPr>
        <xdr:cNvSpPr txBox="1"/>
      </xdr:nvSpPr>
      <xdr:spPr>
        <a:xfrm>
          <a:off x="11134725" y="843438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366</xdr:row>
      <xdr:rowOff>0</xdr:rowOff>
    </xdr:from>
    <xdr:ext cx="114300" cy="200025"/>
    <xdr:sp macro="" textlink="">
      <xdr:nvSpPr>
        <xdr:cNvPr id="524" name="Shape 3">
          <a:extLst>
            <a:ext uri="{FF2B5EF4-FFF2-40B4-BE49-F238E27FC236}">
              <a16:creationId xmlns:a16="http://schemas.microsoft.com/office/drawing/2014/main" id="{68C22EC5-45E5-403F-840B-305CDD690DE5}"/>
            </a:ext>
          </a:extLst>
        </xdr:cNvPr>
        <xdr:cNvSpPr txBox="1"/>
      </xdr:nvSpPr>
      <xdr:spPr>
        <a:xfrm>
          <a:off x="11134725" y="843438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492125</xdr:colOff>
      <xdr:row>360</xdr:row>
      <xdr:rowOff>142875</xdr:rowOff>
    </xdr:from>
    <xdr:ext cx="898071" cy="1079386"/>
    <xdr:pic>
      <xdr:nvPicPr>
        <xdr:cNvPr id="525" name="Imagen 524">
          <a:extLst>
            <a:ext uri="{FF2B5EF4-FFF2-40B4-BE49-F238E27FC236}">
              <a16:creationId xmlns:a16="http://schemas.microsoft.com/office/drawing/2014/main" id="{C7115F66-BAFF-4331-8647-751EB954DAE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25600" y="83324700"/>
          <a:ext cx="898071" cy="1079386"/>
        </a:xfrm>
        <a:prstGeom prst="rect">
          <a:avLst/>
        </a:prstGeom>
      </xdr:spPr>
    </xdr:pic>
    <xdr:clientData/>
  </xdr:oneCellAnchor>
  <xdr:oneCellAnchor>
    <xdr:from>
      <xdr:col>6</xdr:col>
      <xdr:colOff>0</xdr:colOff>
      <xdr:row>366</xdr:row>
      <xdr:rowOff>0</xdr:rowOff>
    </xdr:from>
    <xdr:ext cx="114300" cy="200025"/>
    <xdr:sp macro="" textlink="">
      <xdr:nvSpPr>
        <xdr:cNvPr id="526" name="Shape 3">
          <a:extLst>
            <a:ext uri="{FF2B5EF4-FFF2-40B4-BE49-F238E27FC236}">
              <a16:creationId xmlns:a16="http://schemas.microsoft.com/office/drawing/2014/main" id="{AABCC2DE-3E76-426D-A237-DF6D766CEC4F}"/>
            </a:ext>
          </a:extLst>
        </xdr:cNvPr>
        <xdr:cNvSpPr txBox="1"/>
      </xdr:nvSpPr>
      <xdr:spPr>
        <a:xfrm>
          <a:off x="11134725" y="843438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366</xdr:row>
      <xdr:rowOff>0</xdr:rowOff>
    </xdr:from>
    <xdr:ext cx="114300" cy="200025"/>
    <xdr:sp macro="" textlink="">
      <xdr:nvSpPr>
        <xdr:cNvPr id="527" name="Shape 3">
          <a:extLst>
            <a:ext uri="{FF2B5EF4-FFF2-40B4-BE49-F238E27FC236}">
              <a16:creationId xmlns:a16="http://schemas.microsoft.com/office/drawing/2014/main" id="{C637B3BB-CB53-4925-AC44-2854E72721CB}"/>
            </a:ext>
          </a:extLst>
        </xdr:cNvPr>
        <xdr:cNvSpPr txBox="1"/>
      </xdr:nvSpPr>
      <xdr:spPr>
        <a:xfrm>
          <a:off x="11134725" y="843438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366</xdr:row>
      <xdr:rowOff>0</xdr:rowOff>
    </xdr:from>
    <xdr:ext cx="114300" cy="200025"/>
    <xdr:sp macro="" textlink="">
      <xdr:nvSpPr>
        <xdr:cNvPr id="528" name="Shape 3">
          <a:extLst>
            <a:ext uri="{FF2B5EF4-FFF2-40B4-BE49-F238E27FC236}">
              <a16:creationId xmlns:a16="http://schemas.microsoft.com/office/drawing/2014/main" id="{30BF6414-0644-45A4-BC32-2308913411C1}"/>
            </a:ext>
          </a:extLst>
        </xdr:cNvPr>
        <xdr:cNvSpPr txBox="1"/>
      </xdr:nvSpPr>
      <xdr:spPr>
        <a:xfrm>
          <a:off x="11134725" y="843438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366</xdr:row>
      <xdr:rowOff>0</xdr:rowOff>
    </xdr:from>
    <xdr:ext cx="114300" cy="200025"/>
    <xdr:sp macro="" textlink="">
      <xdr:nvSpPr>
        <xdr:cNvPr id="529" name="Shape 3">
          <a:extLst>
            <a:ext uri="{FF2B5EF4-FFF2-40B4-BE49-F238E27FC236}">
              <a16:creationId xmlns:a16="http://schemas.microsoft.com/office/drawing/2014/main" id="{A101B6E8-4E14-4333-BAA7-2A8AB4443C6A}"/>
            </a:ext>
          </a:extLst>
        </xdr:cNvPr>
        <xdr:cNvSpPr txBox="1"/>
      </xdr:nvSpPr>
      <xdr:spPr>
        <a:xfrm>
          <a:off x="11134725" y="843438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366</xdr:row>
      <xdr:rowOff>0</xdr:rowOff>
    </xdr:from>
    <xdr:ext cx="114300" cy="200025"/>
    <xdr:sp macro="" textlink="">
      <xdr:nvSpPr>
        <xdr:cNvPr id="530" name="Shape 3">
          <a:extLst>
            <a:ext uri="{FF2B5EF4-FFF2-40B4-BE49-F238E27FC236}">
              <a16:creationId xmlns:a16="http://schemas.microsoft.com/office/drawing/2014/main" id="{41D0DAB5-D792-4B25-9A24-3DB08E641235}"/>
            </a:ext>
          </a:extLst>
        </xdr:cNvPr>
        <xdr:cNvSpPr txBox="1"/>
      </xdr:nvSpPr>
      <xdr:spPr>
        <a:xfrm>
          <a:off x="11134725" y="843438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366</xdr:row>
      <xdr:rowOff>0</xdr:rowOff>
    </xdr:from>
    <xdr:ext cx="114300" cy="200025"/>
    <xdr:sp macro="" textlink="">
      <xdr:nvSpPr>
        <xdr:cNvPr id="531" name="Shape 3">
          <a:extLst>
            <a:ext uri="{FF2B5EF4-FFF2-40B4-BE49-F238E27FC236}">
              <a16:creationId xmlns:a16="http://schemas.microsoft.com/office/drawing/2014/main" id="{57A4AA4A-19C2-475F-AD52-70B47DD78180}"/>
            </a:ext>
          </a:extLst>
        </xdr:cNvPr>
        <xdr:cNvSpPr txBox="1"/>
      </xdr:nvSpPr>
      <xdr:spPr>
        <a:xfrm>
          <a:off x="11134725" y="843438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366</xdr:row>
      <xdr:rowOff>0</xdr:rowOff>
    </xdr:from>
    <xdr:ext cx="114300" cy="200025"/>
    <xdr:sp macro="" textlink="">
      <xdr:nvSpPr>
        <xdr:cNvPr id="532" name="Shape 3">
          <a:extLst>
            <a:ext uri="{FF2B5EF4-FFF2-40B4-BE49-F238E27FC236}">
              <a16:creationId xmlns:a16="http://schemas.microsoft.com/office/drawing/2014/main" id="{D1F1791C-4B1F-4E21-9622-144FEF72A9F1}"/>
            </a:ext>
          </a:extLst>
        </xdr:cNvPr>
        <xdr:cNvSpPr txBox="1"/>
      </xdr:nvSpPr>
      <xdr:spPr>
        <a:xfrm>
          <a:off x="11134725" y="843438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366</xdr:row>
      <xdr:rowOff>0</xdr:rowOff>
    </xdr:from>
    <xdr:ext cx="114300" cy="200025"/>
    <xdr:sp macro="" textlink="">
      <xdr:nvSpPr>
        <xdr:cNvPr id="533" name="Shape 3">
          <a:extLst>
            <a:ext uri="{FF2B5EF4-FFF2-40B4-BE49-F238E27FC236}">
              <a16:creationId xmlns:a16="http://schemas.microsoft.com/office/drawing/2014/main" id="{98BB58C9-CEF3-41EE-93A0-0FB5E1444D79}"/>
            </a:ext>
          </a:extLst>
        </xdr:cNvPr>
        <xdr:cNvSpPr txBox="1"/>
      </xdr:nvSpPr>
      <xdr:spPr>
        <a:xfrm>
          <a:off x="11134725" y="843438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394</xdr:row>
      <xdr:rowOff>0</xdr:rowOff>
    </xdr:from>
    <xdr:ext cx="114300" cy="200025"/>
    <xdr:sp macro="" textlink="">
      <xdr:nvSpPr>
        <xdr:cNvPr id="534" name="Shape 3">
          <a:extLst>
            <a:ext uri="{FF2B5EF4-FFF2-40B4-BE49-F238E27FC236}">
              <a16:creationId xmlns:a16="http://schemas.microsoft.com/office/drawing/2014/main" id="{7ECF4492-53C4-4550-8DB4-D7196750D151}"/>
            </a:ext>
          </a:extLst>
        </xdr:cNvPr>
        <xdr:cNvSpPr txBox="1"/>
      </xdr:nvSpPr>
      <xdr:spPr>
        <a:xfrm>
          <a:off x="11134725" y="897540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394</xdr:row>
      <xdr:rowOff>0</xdr:rowOff>
    </xdr:from>
    <xdr:ext cx="114300" cy="200025"/>
    <xdr:sp macro="" textlink="">
      <xdr:nvSpPr>
        <xdr:cNvPr id="535" name="Shape 3">
          <a:extLst>
            <a:ext uri="{FF2B5EF4-FFF2-40B4-BE49-F238E27FC236}">
              <a16:creationId xmlns:a16="http://schemas.microsoft.com/office/drawing/2014/main" id="{7ACA2055-6164-4473-9C84-5A75B7ECF7F7}"/>
            </a:ext>
          </a:extLst>
        </xdr:cNvPr>
        <xdr:cNvSpPr txBox="1"/>
      </xdr:nvSpPr>
      <xdr:spPr>
        <a:xfrm>
          <a:off x="11134725" y="897540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394</xdr:row>
      <xdr:rowOff>0</xdr:rowOff>
    </xdr:from>
    <xdr:ext cx="114300" cy="200025"/>
    <xdr:sp macro="" textlink="">
      <xdr:nvSpPr>
        <xdr:cNvPr id="536" name="Shape 3">
          <a:extLst>
            <a:ext uri="{FF2B5EF4-FFF2-40B4-BE49-F238E27FC236}">
              <a16:creationId xmlns:a16="http://schemas.microsoft.com/office/drawing/2014/main" id="{29098C32-CAFE-43A2-88EA-5D3ECCCF0806}"/>
            </a:ext>
          </a:extLst>
        </xdr:cNvPr>
        <xdr:cNvSpPr txBox="1"/>
      </xdr:nvSpPr>
      <xdr:spPr>
        <a:xfrm>
          <a:off x="11134725" y="897540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394</xdr:row>
      <xdr:rowOff>0</xdr:rowOff>
    </xdr:from>
    <xdr:ext cx="114300" cy="200025"/>
    <xdr:sp macro="" textlink="">
      <xdr:nvSpPr>
        <xdr:cNvPr id="537" name="Shape 3">
          <a:extLst>
            <a:ext uri="{FF2B5EF4-FFF2-40B4-BE49-F238E27FC236}">
              <a16:creationId xmlns:a16="http://schemas.microsoft.com/office/drawing/2014/main" id="{B863D862-C094-4F25-897B-DF37A77B877D}"/>
            </a:ext>
          </a:extLst>
        </xdr:cNvPr>
        <xdr:cNvSpPr txBox="1"/>
      </xdr:nvSpPr>
      <xdr:spPr>
        <a:xfrm>
          <a:off x="11134725" y="897540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394</xdr:row>
      <xdr:rowOff>0</xdr:rowOff>
    </xdr:from>
    <xdr:ext cx="114300" cy="200025"/>
    <xdr:sp macro="" textlink="">
      <xdr:nvSpPr>
        <xdr:cNvPr id="538" name="Shape 3">
          <a:extLst>
            <a:ext uri="{FF2B5EF4-FFF2-40B4-BE49-F238E27FC236}">
              <a16:creationId xmlns:a16="http://schemas.microsoft.com/office/drawing/2014/main" id="{9CC2D1DF-DEA3-4713-B982-7D2A0B31AD16}"/>
            </a:ext>
          </a:extLst>
        </xdr:cNvPr>
        <xdr:cNvSpPr txBox="1"/>
      </xdr:nvSpPr>
      <xdr:spPr>
        <a:xfrm>
          <a:off x="11134725" y="897540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492125</xdr:colOff>
      <xdr:row>388</xdr:row>
      <xdr:rowOff>142875</xdr:rowOff>
    </xdr:from>
    <xdr:ext cx="898071" cy="1079386"/>
    <xdr:pic>
      <xdr:nvPicPr>
        <xdr:cNvPr id="539" name="Imagen 538">
          <a:extLst>
            <a:ext uri="{FF2B5EF4-FFF2-40B4-BE49-F238E27FC236}">
              <a16:creationId xmlns:a16="http://schemas.microsoft.com/office/drawing/2014/main" id="{3077DB60-7BEB-4EBD-8247-CAFE6F7A9BE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25600" y="88734900"/>
          <a:ext cx="898071" cy="1079386"/>
        </a:xfrm>
        <a:prstGeom prst="rect">
          <a:avLst/>
        </a:prstGeom>
      </xdr:spPr>
    </xdr:pic>
    <xdr:clientData/>
  </xdr:oneCellAnchor>
  <xdr:oneCellAnchor>
    <xdr:from>
      <xdr:col>6</xdr:col>
      <xdr:colOff>0</xdr:colOff>
      <xdr:row>394</xdr:row>
      <xdr:rowOff>0</xdr:rowOff>
    </xdr:from>
    <xdr:ext cx="114300" cy="200025"/>
    <xdr:sp macro="" textlink="">
      <xdr:nvSpPr>
        <xdr:cNvPr id="540" name="Shape 3">
          <a:extLst>
            <a:ext uri="{FF2B5EF4-FFF2-40B4-BE49-F238E27FC236}">
              <a16:creationId xmlns:a16="http://schemas.microsoft.com/office/drawing/2014/main" id="{29495B9B-2640-4F88-920A-D1BD2AB61C66}"/>
            </a:ext>
          </a:extLst>
        </xdr:cNvPr>
        <xdr:cNvSpPr txBox="1"/>
      </xdr:nvSpPr>
      <xdr:spPr>
        <a:xfrm>
          <a:off x="11134725" y="897540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394</xdr:row>
      <xdr:rowOff>0</xdr:rowOff>
    </xdr:from>
    <xdr:ext cx="114300" cy="200025"/>
    <xdr:sp macro="" textlink="">
      <xdr:nvSpPr>
        <xdr:cNvPr id="541" name="Shape 3">
          <a:extLst>
            <a:ext uri="{FF2B5EF4-FFF2-40B4-BE49-F238E27FC236}">
              <a16:creationId xmlns:a16="http://schemas.microsoft.com/office/drawing/2014/main" id="{B45E6E5E-B4AC-4BBF-A81C-DEDB6C24B405}"/>
            </a:ext>
          </a:extLst>
        </xdr:cNvPr>
        <xdr:cNvSpPr txBox="1"/>
      </xdr:nvSpPr>
      <xdr:spPr>
        <a:xfrm>
          <a:off x="11134725" y="897540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394</xdr:row>
      <xdr:rowOff>0</xdr:rowOff>
    </xdr:from>
    <xdr:ext cx="114300" cy="200025"/>
    <xdr:sp macro="" textlink="">
      <xdr:nvSpPr>
        <xdr:cNvPr id="542" name="Shape 3">
          <a:extLst>
            <a:ext uri="{FF2B5EF4-FFF2-40B4-BE49-F238E27FC236}">
              <a16:creationId xmlns:a16="http://schemas.microsoft.com/office/drawing/2014/main" id="{F862926F-A525-4B7C-9302-C01317BCD7BD}"/>
            </a:ext>
          </a:extLst>
        </xdr:cNvPr>
        <xdr:cNvSpPr txBox="1"/>
      </xdr:nvSpPr>
      <xdr:spPr>
        <a:xfrm>
          <a:off x="11134725" y="897540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492125</xdr:colOff>
      <xdr:row>388</xdr:row>
      <xdr:rowOff>142875</xdr:rowOff>
    </xdr:from>
    <xdr:ext cx="898071" cy="1079386"/>
    <xdr:pic>
      <xdr:nvPicPr>
        <xdr:cNvPr id="543" name="Imagen 542">
          <a:extLst>
            <a:ext uri="{FF2B5EF4-FFF2-40B4-BE49-F238E27FC236}">
              <a16:creationId xmlns:a16="http://schemas.microsoft.com/office/drawing/2014/main" id="{ADC81B24-CDA4-4368-A768-D10394E9E77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25600" y="88734900"/>
          <a:ext cx="898071" cy="1079386"/>
        </a:xfrm>
        <a:prstGeom prst="rect">
          <a:avLst/>
        </a:prstGeom>
      </xdr:spPr>
    </xdr:pic>
    <xdr:clientData/>
  </xdr:oneCellAnchor>
  <xdr:oneCellAnchor>
    <xdr:from>
      <xdr:col>6</xdr:col>
      <xdr:colOff>0</xdr:colOff>
      <xdr:row>394</xdr:row>
      <xdr:rowOff>0</xdr:rowOff>
    </xdr:from>
    <xdr:ext cx="114300" cy="200025"/>
    <xdr:sp macro="" textlink="">
      <xdr:nvSpPr>
        <xdr:cNvPr id="544" name="Shape 3">
          <a:extLst>
            <a:ext uri="{FF2B5EF4-FFF2-40B4-BE49-F238E27FC236}">
              <a16:creationId xmlns:a16="http://schemas.microsoft.com/office/drawing/2014/main" id="{BB3B97AA-D17A-4B03-8028-2270385FE4C1}"/>
            </a:ext>
          </a:extLst>
        </xdr:cNvPr>
        <xdr:cNvSpPr txBox="1"/>
      </xdr:nvSpPr>
      <xdr:spPr>
        <a:xfrm>
          <a:off x="11134725" y="897540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394</xdr:row>
      <xdr:rowOff>0</xdr:rowOff>
    </xdr:from>
    <xdr:ext cx="114300" cy="200025"/>
    <xdr:sp macro="" textlink="">
      <xdr:nvSpPr>
        <xdr:cNvPr id="545" name="Shape 3">
          <a:extLst>
            <a:ext uri="{FF2B5EF4-FFF2-40B4-BE49-F238E27FC236}">
              <a16:creationId xmlns:a16="http://schemas.microsoft.com/office/drawing/2014/main" id="{D41E602C-2B09-4C2A-A3F9-84C6D394F9B1}"/>
            </a:ext>
          </a:extLst>
        </xdr:cNvPr>
        <xdr:cNvSpPr txBox="1"/>
      </xdr:nvSpPr>
      <xdr:spPr>
        <a:xfrm>
          <a:off x="11134725" y="897540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394</xdr:row>
      <xdr:rowOff>0</xdr:rowOff>
    </xdr:from>
    <xdr:ext cx="114300" cy="200025"/>
    <xdr:sp macro="" textlink="">
      <xdr:nvSpPr>
        <xdr:cNvPr id="546" name="Shape 3">
          <a:extLst>
            <a:ext uri="{FF2B5EF4-FFF2-40B4-BE49-F238E27FC236}">
              <a16:creationId xmlns:a16="http://schemas.microsoft.com/office/drawing/2014/main" id="{E5315873-FCDA-4BF9-8AA8-80AB56075413}"/>
            </a:ext>
          </a:extLst>
        </xdr:cNvPr>
        <xdr:cNvSpPr txBox="1"/>
      </xdr:nvSpPr>
      <xdr:spPr>
        <a:xfrm>
          <a:off x="11134725" y="897540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394</xdr:row>
      <xdr:rowOff>0</xdr:rowOff>
    </xdr:from>
    <xdr:ext cx="114300" cy="200025"/>
    <xdr:sp macro="" textlink="">
      <xdr:nvSpPr>
        <xdr:cNvPr id="547" name="Shape 3">
          <a:extLst>
            <a:ext uri="{FF2B5EF4-FFF2-40B4-BE49-F238E27FC236}">
              <a16:creationId xmlns:a16="http://schemas.microsoft.com/office/drawing/2014/main" id="{72D5AB12-31D7-49B3-81BE-587E39C75EE0}"/>
            </a:ext>
          </a:extLst>
        </xdr:cNvPr>
        <xdr:cNvSpPr txBox="1"/>
      </xdr:nvSpPr>
      <xdr:spPr>
        <a:xfrm>
          <a:off x="11134725" y="897540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394</xdr:row>
      <xdr:rowOff>0</xdr:rowOff>
    </xdr:from>
    <xdr:ext cx="114300" cy="200025"/>
    <xdr:sp macro="" textlink="">
      <xdr:nvSpPr>
        <xdr:cNvPr id="548" name="Shape 3">
          <a:extLst>
            <a:ext uri="{FF2B5EF4-FFF2-40B4-BE49-F238E27FC236}">
              <a16:creationId xmlns:a16="http://schemas.microsoft.com/office/drawing/2014/main" id="{5973E041-FBBA-4E24-A43F-D7B8B2798F51}"/>
            </a:ext>
          </a:extLst>
        </xdr:cNvPr>
        <xdr:cNvSpPr txBox="1"/>
      </xdr:nvSpPr>
      <xdr:spPr>
        <a:xfrm>
          <a:off x="11134725" y="897540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394</xdr:row>
      <xdr:rowOff>0</xdr:rowOff>
    </xdr:from>
    <xdr:ext cx="114300" cy="200025"/>
    <xdr:sp macro="" textlink="">
      <xdr:nvSpPr>
        <xdr:cNvPr id="549" name="Shape 3">
          <a:extLst>
            <a:ext uri="{FF2B5EF4-FFF2-40B4-BE49-F238E27FC236}">
              <a16:creationId xmlns:a16="http://schemas.microsoft.com/office/drawing/2014/main" id="{B87C1938-0708-44C6-9525-D45691C03239}"/>
            </a:ext>
          </a:extLst>
        </xdr:cNvPr>
        <xdr:cNvSpPr txBox="1"/>
      </xdr:nvSpPr>
      <xdr:spPr>
        <a:xfrm>
          <a:off x="11134725" y="897540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394</xdr:row>
      <xdr:rowOff>0</xdr:rowOff>
    </xdr:from>
    <xdr:ext cx="114300" cy="200025"/>
    <xdr:sp macro="" textlink="">
      <xdr:nvSpPr>
        <xdr:cNvPr id="550" name="Shape 3">
          <a:extLst>
            <a:ext uri="{FF2B5EF4-FFF2-40B4-BE49-F238E27FC236}">
              <a16:creationId xmlns:a16="http://schemas.microsoft.com/office/drawing/2014/main" id="{C2C1BE5C-12FF-4885-99E0-24D3764B171A}"/>
            </a:ext>
          </a:extLst>
        </xdr:cNvPr>
        <xdr:cNvSpPr txBox="1"/>
      </xdr:nvSpPr>
      <xdr:spPr>
        <a:xfrm>
          <a:off x="11134725" y="897540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394</xdr:row>
      <xdr:rowOff>0</xdr:rowOff>
    </xdr:from>
    <xdr:ext cx="114300" cy="200025"/>
    <xdr:sp macro="" textlink="">
      <xdr:nvSpPr>
        <xdr:cNvPr id="551" name="Shape 3">
          <a:extLst>
            <a:ext uri="{FF2B5EF4-FFF2-40B4-BE49-F238E27FC236}">
              <a16:creationId xmlns:a16="http://schemas.microsoft.com/office/drawing/2014/main" id="{4EC20362-9EA1-4934-9C70-0DC988003A4A}"/>
            </a:ext>
          </a:extLst>
        </xdr:cNvPr>
        <xdr:cNvSpPr txBox="1"/>
      </xdr:nvSpPr>
      <xdr:spPr>
        <a:xfrm>
          <a:off x="11134725" y="897540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422</xdr:row>
      <xdr:rowOff>0</xdr:rowOff>
    </xdr:from>
    <xdr:ext cx="114300" cy="200025"/>
    <xdr:sp macro="" textlink="">
      <xdr:nvSpPr>
        <xdr:cNvPr id="552" name="Shape 3">
          <a:extLst>
            <a:ext uri="{FF2B5EF4-FFF2-40B4-BE49-F238E27FC236}">
              <a16:creationId xmlns:a16="http://schemas.microsoft.com/office/drawing/2014/main" id="{41D9B919-15DF-474E-BED8-2B15377CB5BE}"/>
            </a:ext>
          </a:extLst>
        </xdr:cNvPr>
        <xdr:cNvSpPr txBox="1"/>
      </xdr:nvSpPr>
      <xdr:spPr>
        <a:xfrm>
          <a:off x="11134725" y="960691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422</xdr:row>
      <xdr:rowOff>0</xdr:rowOff>
    </xdr:from>
    <xdr:ext cx="114300" cy="200025"/>
    <xdr:sp macro="" textlink="">
      <xdr:nvSpPr>
        <xdr:cNvPr id="553" name="Shape 3">
          <a:extLst>
            <a:ext uri="{FF2B5EF4-FFF2-40B4-BE49-F238E27FC236}">
              <a16:creationId xmlns:a16="http://schemas.microsoft.com/office/drawing/2014/main" id="{DC2C2DD0-555F-4E73-98AD-CFBCD844504E}"/>
            </a:ext>
          </a:extLst>
        </xdr:cNvPr>
        <xdr:cNvSpPr txBox="1"/>
      </xdr:nvSpPr>
      <xdr:spPr>
        <a:xfrm>
          <a:off x="11134725" y="960691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422</xdr:row>
      <xdr:rowOff>0</xdr:rowOff>
    </xdr:from>
    <xdr:ext cx="114300" cy="200025"/>
    <xdr:sp macro="" textlink="">
      <xdr:nvSpPr>
        <xdr:cNvPr id="554" name="Shape 3">
          <a:extLst>
            <a:ext uri="{FF2B5EF4-FFF2-40B4-BE49-F238E27FC236}">
              <a16:creationId xmlns:a16="http://schemas.microsoft.com/office/drawing/2014/main" id="{BD6252CF-0B7E-4764-BF3E-ED4D3A341D21}"/>
            </a:ext>
          </a:extLst>
        </xdr:cNvPr>
        <xdr:cNvSpPr txBox="1"/>
      </xdr:nvSpPr>
      <xdr:spPr>
        <a:xfrm>
          <a:off x="11134725" y="960691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422</xdr:row>
      <xdr:rowOff>0</xdr:rowOff>
    </xdr:from>
    <xdr:ext cx="114300" cy="200025"/>
    <xdr:sp macro="" textlink="">
      <xdr:nvSpPr>
        <xdr:cNvPr id="555" name="Shape 3">
          <a:extLst>
            <a:ext uri="{FF2B5EF4-FFF2-40B4-BE49-F238E27FC236}">
              <a16:creationId xmlns:a16="http://schemas.microsoft.com/office/drawing/2014/main" id="{533BAFCA-A317-4BCF-AB68-2AE931D1F39F}"/>
            </a:ext>
          </a:extLst>
        </xdr:cNvPr>
        <xdr:cNvSpPr txBox="1"/>
      </xdr:nvSpPr>
      <xdr:spPr>
        <a:xfrm>
          <a:off x="11134725" y="960691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422</xdr:row>
      <xdr:rowOff>0</xdr:rowOff>
    </xdr:from>
    <xdr:ext cx="114300" cy="200025"/>
    <xdr:sp macro="" textlink="">
      <xdr:nvSpPr>
        <xdr:cNvPr id="556" name="Shape 3">
          <a:extLst>
            <a:ext uri="{FF2B5EF4-FFF2-40B4-BE49-F238E27FC236}">
              <a16:creationId xmlns:a16="http://schemas.microsoft.com/office/drawing/2014/main" id="{6896E6A1-7DC8-49A5-B1FD-EA5D5D9FF3E9}"/>
            </a:ext>
          </a:extLst>
        </xdr:cNvPr>
        <xdr:cNvSpPr txBox="1"/>
      </xdr:nvSpPr>
      <xdr:spPr>
        <a:xfrm>
          <a:off x="11134725" y="960691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492125</xdr:colOff>
      <xdr:row>416</xdr:row>
      <xdr:rowOff>142875</xdr:rowOff>
    </xdr:from>
    <xdr:ext cx="898071" cy="1079386"/>
    <xdr:pic>
      <xdr:nvPicPr>
        <xdr:cNvPr id="557" name="Imagen 556">
          <a:extLst>
            <a:ext uri="{FF2B5EF4-FFF2-40B4-BE49-F238E27FC236}">
              <a16:creationId xmlns:a16="http://schemas.microsoft.com/office/drawing/2014/main" id="{8B35311F-829E-4185-BB17-25391B656C6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25600" y="95049975"/>
          <a:ext cx="898071" cy="1079386"/>
        </a:xfrm>
        <a:prstGeom prst="rect">
          <a:avLst/>
        </a:prstGeom>
      </xdr:spPr>
    </xdr:pic>
    <xdr:clientData/>
  </xdr:oneCellAnchor>
  <xdr:oneCellAnchor>
    <xdr:from>
      <xdr:col>6</xdr:col>
      <xdr:colOff>0</xdr:colOff>
      <xdr:row>422</xdr:row>
      <xdr:rowOff>0</xdr:rowOff>
    </xdr:from>
    <xdr:ext cx="114300" cy="200025"/>
    <xdr:sp macro="" textlink="">
      <xdr:nvSpPr>
        <xdr:cNvPr id="558" name="Shape 3">
          <a:extLst>
            <a:ext uri="{FF2B5EF4-FFF2-40B4-BE49-F238E27FC236}">
              <a16:creationId xmlns:a16="http://schemas.microsoft.com/office/drawing/2014/main" id="{60F84A9E-2A7C-422A-A5BC-5B43ABDB0518}"/>
            </a:ext>
          </a:extLst>
        </xdr:cNvPr>
        <xdr:cNvSpPr txBox="1"/>
      </xdr:nvSpPr>
      <xdr:spPr>
        <a:xfrm>
          <a:off x="11134725" y="960691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422</xdr:row>
      <xdr:rowOff>0</xdr:rowOff>
    </xdr:from>
    <xdr:ext cx="114300" cy="200025"/>
    <xdr:sp macro="" textlink="">
      <xdr:nvSpPr>
        <xdr:cNvPr id="559" name="Shape 3">
          <a:extLst>
            <a:ext uri="{FF2B5EF4-FFF2-40B4-BE49-F238E27FC236}">
              <a16:creationId xmlns:a16="http://schemas.microsoft.com/office/drawing/2014/main" id="{92FD821A-AD54-45EE-A248-1E7E4A9E7EF5}"/>
            </a:ext>
          </a:extLst>
        </xdr:cNvPr>
        <xdr:cNvSpPr txBox="1"/>
      </xdr:nvSpPr>
      <xdr:spPr>
        <a:xfrm>
          <a:off x="11134725" y="960691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422</xdr:row>
      <xdr:rowOff>0</xdr:rowOff>
    </xdr:from>
    <xdr:ext cx="114300" cy="200025"/>
    <xdr:sp macro="" textlink="">
      <xdr:nvSpPr>
        <xdr:cNvPr id="560" name="Shape 3">
          <a:extLst>
            <a:ext uri="{FF2B5EF4-FFF2-40B4-BE49-F238E27FC236}">
              <a16:creationId xmlns:a16="http://schemas.microsoft.com/office/drawing/2014/main" id="{E34768F5-7F05-433F-B908-814D8CC87637}"/>
            </a:ext>
          </a:extLst>
        </xdr:cNvPr>
        <xdr:cNvSpPr txBox="1"/>
      </xdr:nvSpPr>
      <xdr:spPr>
        <a:xfrm>
          <a:off x="11134725" y="960691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492125</xdr:colOff>
      <xdr:row>416</xdr:row>
      <xdr:rowOff>142875</xdr:rowOff>
    </xdr:from>
    <xdr:ext cx="898071" cy="1079386"/>
    <xdr:pic>
      <xdr:nvPicPr>
        <xdr:cNvPr id="561" name="Imagen 560">
          <a:extLst>
            <a:ext uri="{FF2B5EF4-FFF2-40B4-BE49-F238E27FC236}">
              <a16:creationId xmlns:a16="http://schemas.microsoft.com/office/drawing/2014/main" id="{D401DAAE-98A0-41C8-8221-D6EBB7EC901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25600" y="95049975"/>
          <a:ext cx="898071" cy="1079386"/>
        </a:xfrm>
        <a:prstGeom prst="rect">
          <a:avLst/>
        </a:prstGeom>
      </xdr:spPr>
    </xdr:pic>
    <xdr:clientData/>
  </xdr:oneCellAnchor>
  <xdr:oneCellAnchor>
    <xdr:from>
      <xdr:col>6</xdr:col>
      <xdr:colOff>0</xdr:colOff>
      <xdr:row>422</xdr:row>
      <xdr:rowOff>0</xdr:rowOff>
    </xdr:from>
    <xdr:ext cx="114300" cy="200025"/>
    <xdr:sp macro="" textlink="">
      <xdr:nvSpPr>
        <xdr:cNvPr id="562" name="Shape 3">
          <a:extLst>
            <a:ext uri="{FF2B5EF4-FFF2-40B4-BE49-F238E27FC236}">
              <a16:creationId xmlns:a16="http://schemas.microsoft.com/office/drawing/2014/main" id="{302607ED-0847-40D6-A234-9009C2473DB0}"/>
            </a:ext>
          </a:extLst>
        </xdr:cNvPr>
        <xdr:cNvSpPr txBox="1"/>
      </xdr:nvSpPr>
      <xdr:spPr>
        <a:xfrm>
          <a:off x="11134725" y="960691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422</xdr:row>
      <xdr:rowOff>0</xdr:rowOff>
    </xdr:from>
    <xdr:ext cx="114300" cy="200025"/>
    <xdr:sp macro="" textlink="">
      <xdr:nvSpPr>
        <xdr:cNvPr id="563" name="Shape 3">
          <a:extLst>
            <a:ext uri="{FF2B5EF4-FFF2-40B4-BE49-F238E27FC236}">
              <a16:creationId xmlns:a16="http://schemas.microsoft.com/office/drawing/2014/main" id="{0956BA73-AAE3-4858-926A-F76B9489C5BC}"/>
            </a:ext>
          </a:extLst>
        </xdr:cNvPr>
        <xdr:cNvSpPr txBox="1"/>
      </xdr:nvSpPr>
      <xdr:spPr>
        <a:xfrm>
          <a:off x="11134725" y="960691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422</xdr:row>
      <xdr:rowOff>0</xdr:rowOff>
    </xdr:from>
    <xdr:ext cx="114300" cy="200025"/>
    <xdr:sp macro="" textlink="">
      <xdr:nvSpPr>
        <xdr:cNvPr id="564" name="Shape 3">
          <a:extLst>
            <a:ext uri="{FF2B5EF4-FFF2-40B4-BE49-F238E27FC236}">
              <a16:creationId xmlns:a16="http://schemas.microsoft.com/office/drawing/2014/main" id="{F2118D7A-C758-4746-89CE-79F1B0E83242}"/>
            </a:ext>
          </a:extLst>
        </xdr:cNvPr>
        <xdr:cNvSpPr txBox="1"/>
      </xdr:nvSpPr>
      <xdr:spPr>
        <a:xfrm>
          <a:off x="11134725" y="960691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422</xdr:row>
      <xdr:rowOff>0</xdr:rowOff>
    </xdr:from>
    <xdr:ext cx="114300" cy="200025"/>
    <xdr:sp macro="" textlink="">
      <xdr:nvSpPr>
        <xdr:cNvPr id="565" name="Shape 3">
          <a:extLst>
            <a:ext uri="{FF2B5EF4-FFF2-40B4-BE49-F238E27FC236}">
              <a16:creationId xmlns:a16="http://schemas.microsoft.com/office/drawing/2014/main" id="{13DD1C14-69E1-4B28-8A77-FAAAA070DB37}"/>
            </a:ext>
          </a:extLst>
        </xdr:cNvPr>
        <xdr:cNvSpPr txBox="1"/>
      </xdr:nvSpPr>
      <xdr:spPr>
        <a:xfrm>
          <a:off x="11134725" y="960691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422</xdr:row>
      <xdr:rowOff>0</xdr:rowOff>
    </xdr:from>
    <xdr:ext cx="114300" cy="200025"/>
    <xdr:sp macro="" textlink="">
      <xdr:nvSpPr>
        <xdr:cNvPr id="566" name="Shape 3">
          <a:extLst>
            <a:ext uri="{FF2B5EF4-FFF2-40B4-BE49-F238E27FC236}">
              <a16:creationId xmlns:a16="http://schemas.microsoft.com/office/drawing/2014/main" id="{5F302FF6-92E1-4724-AF82-1EBAA60A445C}"/>
            </a:ext>
          </a:extLst>
        </xdr:cNvPr>
        <xdr:cNvSpPr txBox="1"/>
      </xdr:nvSpPr>
      <xdr:spPr>
        <a:xfrm>
          <a:off x="11134725" y="960691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422</xdr:row>
      <xdr:rowOff>0</xdr:rowOff>
    </xdr:from>
    <xdr:ext cx="114300" cy="200025"/>
    <xdr:sp macro="" textlink="">
      <xdr:nvSpPr>
        <xdr:cNvPr id="567" name="Shape 3">
          <a:extLst>
            <a:ext uri="{FF2B5EF4-FFF2-40B4-BE49-F238E27FC236}">
              <a16:creationId xmlns:a16="http://schemas.microsoft.com/office/drawing/2014/main" id="{85792C79-F92A-4ED5-9E7F-94A74B6BE5AA}"/>
            </a:ext>
          </a:extLst>
        </xdr:cNvPr>
        <xdr:cNvSpPr txBox="1"/>
      </xdr:nvSpPr>
      <xdr:spPr>
        <a:xfrm>
          <a:off x="11134725" y="960691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422</xdr:row>
      <xdr:rowOff>0</xdr:rowOff>
    </xdr:from>
    <xdr:ext cx="114300" cy="200025"/>
    <xdr:sp macro="" textlink="">
      <xdr:nvSpPr>
        <xdr:cNvPr id="568" name="Shape 3">
          <a:extLst>
            <a:ext uri="{FF2B5EF4-FFF2-40B4-BE49-F238E27FC236}">
              <a16:creationId xmlns:a16="http://schemas.microsoft.com/office/drawing/2014/main" id="{6CAAF421-DDC4-47E4-8E42-8EA4E981ECEF}"/>
            </a:ext>
          </a:extLst>
        </xdr:cNvPr>
        <xdr:cNvSpPr txBox="1"/>
      </xdr:nvSpPr>
      <xdr:spPr>
        <a:xfrm>
          <a:off x="11134725" y="960691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422</xdr:row>
      <xdr:rowOff>0</xdr:rowOff>
    </xdr:from>
    <xdr:ext cx="114300" cy="200025"/>
    <xdr:sp macro="" textlink="">
      <xdr:nvSpPr>
        <xdr:cNvPr id="569" name="Shape 3">
          <a:extLst>
            <a:ext uri="{FF2B5EF4-FFF2-40B4-BE49-F238E27FC236}">
              <a16:creationId xmlns:a16="http://schemas.microsoft.com/office/drawing/2014/main" id="{71B90ED3-A24F-4313-899B-2A77058F8595}"/>
            </a:ext>
          </a:extLst>
        </xdr:cNvPr>
        <xdr:cNvSpPr txBox="1"/>
      </xdr:nvSpPr>
      <xdr:spPr>
        <a:xfrm>
          <a:off x="11134725" y="960691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394</xdr:row>
      <xdr:rowOff>0</xdr:rowOff>
    </xdr:from>
    <xdr:ext cx="114300" cy="200025"/>
    <xdr:sp macro="" textlink="">
      <xdr:nvSpPr>
        <xdr:cNvPr id="570" name="Shape 3">
          <a:extLst>
            <a:ext uri="{FF2B5EF4-FFF2-40B4-BE49-F238E27FC236}">
              <a16:creationId xmlns:a16="http://schemas.microsoft.com/office/drawing/2014/main" id="{35C3F22C-D3A4-48F2-AD25-AB2E3DD2A976}"/>
            </a:ext>
          </a:extLst>
        </xdr:cNvPr>
        <xdr:cNvSpPr txBox="1"/>
      </xdr:nvSpPr>
      <xdr:spPr>
        <a:xfrm>
          <a:off x="11134725" y="897540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394</xdr:row>
      <xdr:rowOff>0</xdr:rowOff>
    </xdr:from>
    <xdr:ext cx="114300" cy="200025"/>
    <xdr:sp macro="" textlink="">
      <xdr:nvSpPr>
        <xdr:cNvPr id="571" name="Shape 3">
          <a:extLst>
            <a:ext uri="{FF2B5EF4-FFF2-40B4-BE49-F238E27FC236}">
              <a16:creationId xmlns:a16="http://schemas.microsoft.com/office/drawing/2014/main" id="{BA5E6845-D479-4375-B727-1C0C33597281}"/>
            </a:ext>
          </a:extLst>
        </xdr:cNvPr>
        <xdr:cNvSpPr txBox="1"/>
      </xdr:nvSpPr>
      <xdr:spPr>
        <a:xfrm>
          <a:off x="11134725" y="897540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394</xdr:row>
      <xdr:rowOff>0</xdr:rowOff>
    </xdr:from>
    <xdr:ext cx="114300" cy="200025"/>
    <xdr:sp macro="" textlink="">
      <xdr:nvSpPr>
        <xdr:cNvPr id="572" name="Shape 3">
          <a:extLst>
            <a:ext uri="{FF2B5EF4-FFF2-40B4-BE49-F238E27FC236}">
              <a16:creationId xmlns:a16="http://schemas.microsoft.com/office/drawing/2014/main" id="{23F506D1-177E-4AFA-90FB-28B795ED083F}"/>
            </a:ext>
          </a:extLst>
        </xdr:cNvPr>
        <xdr:cNvSpPr txBox="1"/>
      </xdr:nvSpPr>
      <xdr:spPr>
        <a:xfrm>
          <a:off x="11134725" y="897540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394</xdr:row>
      <xdr:rowOff>0</xdr:rowOff>
    </xdr:from>
    <xdr:ext cx="114300" cy="200025"/>
    <xdr:sp macro="" textlink="">
      <xdr:nvSpPr>
        <xdr:cNvPr id="573" name="Shape 3">
          <a:extLst>
            <a:ext uri="{FF2B5EF4-FFF2-40B4-BE49-F238E27FC236}">
              <a16:creationId xmlns:a16="http://schemas.microsoft.com/office/drawing/2014/main" id="{1CFFD37B-DA10-4068-ABB8-71D241960C27}"/>
            </a:ext>
          </a:extLst>
        </xdr:cNvPr>
        <xdr:cNvSpPr txBox="1"/>
      </xdr:nvSpPr>
      <xdr:spPr>
        <a:xfrm>
          <a:off x="11134725" y="897540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394</xdr:row>
      <xdr:rowOff>0</xdr:rowOff>
    </xdr:from>
    <xdr:ext cx="114300" cy="200025"/>
    <xdr:sp macro="" textlink="">
      <xdr:nvSpPr>
        <xdr:cNvPr id="574" name="Shape 3">
          <a:extLst>
            <a:ext uri="{FF2B5EF4-FFF2-40B4-BE49-F238E27FC236}">
              <a16:creationId xmlns:a16="http://schemas.microsoft.com/office/drawing/2014/main" id="{7275361B-3346-4E1B-B253-69FC8D599D60}"/>
            </a:ext>
          </a:extLst>
        </xdr:cNvPr>
        <xdr:cNvSpPr txBox="1"/>
      </xdr:nvSpPr>
      <xdr:spPr>
        <a:xfrm>
          <a:off x="11134725" y="897540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394</xdr:row>
      <xdr:rowOff>0</xdr:rowOff>
    </xdr:from>
    <xdr:ext cx="114300" cy="200025"/>
    <xdr:sp macro="" textlink="">
      <xdr:nvSpPr>
        <xdr:cNvPr id="575" name="Shape 3">
          <a:extLst>
            <a:ext uri="{FF2B5EF4-FFF2-40B4-BE49-F238E27FC236}">
              <a16:creationId xmlns:a16="http://schemas.microsoft.com/office/drawing/2014/main" id="{F2155FC9-FD77-43A6-98A9-B8CC80D06216}"/>
            </a:ext>
          </a:extLst>
        </xdr:cNvPr>
        <xdr:cNvSpPr txBox="1"/>
      </xdr:nvSpPr>
      <xdr:spPr>
        <a:xfrm>
          <a:off x="11134725" y="897540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394</xdr:row>
      <xdr:rowOff>0</xdr:rowOff>
    </xdr:from>
    <xdr:ext cx="114300" cy="200025"/>
    <xdr:sp macro="" textlink="">
      <xdr:nvSpPr>
        <xdr:cNvPr id="576" name="Shape 3">
          <a:extLst>
            <a:ext uri="{FF2B5EF4-FFF2-40B4-BE49-F238E27FC236}">
              <a16:creationId xmlns:a16="http://schemas.microsoft.com/office/drawing/2014/main" id="{C31979A0-8EE1-47CF-8BDC-9B65F43EC61C}"/>
            </a:ext>
          </a:extLst>
        </xdr:cNvPr>
        <xdr:cNvSpPr txBox="1"/>
      </xdr:nvSpPr>
      <xdr:spPr>
        <a:xfrm>
          <a:off x="11134725" y="897540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394</xdr:row>
      <xdr:rowOff>0</xdr:rowOff>
    </xdr:from>
    <xdr:ext cx="114300" cy="200025"/>
    <xdr:sp macro="" textlink="">
      <xdr:nvSpPr>
        <xdr:cNvPr id="577" name="Shape 3">
          <a:extLst>
            <a:ext uri="{FF2B5EF4-FFF2-40B4-BE49-F238E27FC236}">
              <a16:creationId xmlns:a16="http://schemas.microsoft.com/office/drawing/2014/main" id="{1135B534-51BE-4661-89DA-3BC3FB55237D}"/>
            </a:ext>
          </a:extLst>
        </xdr:cNvPr>
        <xdr:cNvSpPr txBox="1"/>
      </xdr:nvSpPr>
      <xdr:spPr>
        <a:xfrm>
          <a:off x="11134725" y="897540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394</xdr:row>
      <xdr:rowOff>0</xdr:rowOff>
    </xdr:from>
    <xdr:ext cx="114300" cy="200025"/>
    <xdr:sp macro="" textlink="">
      <xdr:nvSpPr>
        <xdr:cNvPr id="578" name="Shape 3">
          <a:extLst>
            <a:ext uri="{FF2B5EF4-FFF2-40B4-BE49-F238E27FC236}">
              <a16:creationId xmlns:a16="http://schemas.microsoft.com/office/drawing/2014/main" id="{096342B0-8600-4E1D-84CC-8609D0F69F78}"/>
            </a:ext>
          </a:extLst>
        </xdr:cNvPr>
        <xdr:cNvSpPr txBox="1"/>
      </xdr:nvSpPr>
      <xdr:spPr>
        <a:xfrm>
          <a:off x="11134725" y="897540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394</xdr:row>
      <xdr:rowOff>0</xdr:rowOff>
    </xdr:from>
    <xdr:ext cx="114300" cy="200025"/>
    <xdr:sp macro="" textlink="">
      <xdr:nvSpPr>
        <xdr:cNvPr id="579" name="Shape 3">
          <a:extLst>
            <a:ext uri="{FF2B5EF4-FFF2-40B4-BE49-F238E27FC236}">
              <a16:creationId xmlns:a16="http://schemas.microsoft.com/office/drawing/2014/main" id="{1048BC1B-A515-49EE-8508-970C664EFCBE}"/>
            </a:ext>
          </a:extLst>
        </xdr:cNvPr>
        <xdr:cNvSpPr txBox="1"/>
      </xdr:nvSpPr>
      <xdr:spPr>
        <a:xfrm>
          <a:off x="11134725" y="897540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394</xdr:row>
      <xdr:rowOff>0</xdr:rowOff>
    </xdr:from>
    <xdr:ext cx="114300" cy="200025"/>
    <xdr:sp macro="" textlink="">
      <xdr:nvSpPr>
        <xdr:cNvPr id="580" name="Shape 3">
          <a:extLst>
            <a:ext uri="{FF2B5EF4-FFF2-40B4-BE49-F238E27FC236}">
              <a16:creationId xmlns:a16="http://schemas.microsoft.com/office/drawing/2014/main" id="{89FF6F3F-E5BF-4E4B-9216-0E76109D2BCB}"/>
            </a:ext>
          </a:extLst>
        </xdr:cNvPr>
        <xdr:cNvSpPr txBox="1"/>
      </xdr:nvSpPr>
      <xdr:spPr>
        <a:xfrm>
          <a:off x="11134725" y="897540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394</xdr:row>
      <xdr:rowOff>0</xdr:rowOff>
    </xdr:from>
    <xdr:ext cx="114300" cy="200025"/>
    <xdr:sp macro="" textlink="">
      <xdr:nvSpPr>
        <xdr:cNvPr id="581" name="Shape 3">
          <a:extLst>
            <a:ext uri="{FF2B5EF4-FFF2-40B4-BE49-F238E27FC236}">
              <a16:creationId xmlns:a16="http://schemas.microsoft.com/office/drawing/2014/main" id="{EBCC1059-8EDC-4AA7-AEAF-EA6C223ECD09}"/>
            </a:ext>
          </a:extLst>
        </xdr:cNvPr>
        <xdr:cNvSpPr txBox="1"/>
      </xdr:nvSpPr>
      <xdr:spPr>
        <a:xfrm>
          <a:off x="11134725" y="897540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394</xdr:row>
      <xdr:rowOff>0</xdr:rowOff>
    </xdr:from>
    <xdr:ext cx="114300" cy="200025"/>
    <xdr:sp macro="" textlink="">
      <xdr:nvSpPr>
        <xdr:cNvPr id="582" name="Shape 3">
          <a:extLst>
            <a:ext uri="{FF2B5EF4-FFF2-40B4-BE49-F238E27FC236}">
              <a16:creationId xmlns:a16="http://schemas.microsoft.com/office/drawing/2014/main" id="{133623F5-2A79-4B96-A1A9-AD8C78A8831B}"/>
            </a:ext>
          </a:extLst>
        </xdr:cNvPr>
        <xdr:cNvSpPr txBox="1"/>
      </xdr:nvSpPr>
      <xdr:spPr>
        <a:xfrm>
          <a:off x="11134725" y="897540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394</xdr:row>
      <xdr:rowOff>0</xdr:rowOff>
    </xdr:from>
    <xdr:ext cx="114300" cy="200025"/>
    <xdr:sp macro="" textlink="">
      <xdr:nvSpPr>
        <xdr:cNvPr id="583" name="Shape 3">
          <a:extLst>
            <a:ext uri="{FF2B5EF4-FFF2-40B4-BE49-F238E27FC236}">
              <a16:creationId xmlns:a16="http://schemas.microsoft.com/office/drawing/2014/main" id="{FD7CC089-B612-4CF1-A9C2-D237B888CF34}"/>
            </a:ext>
          </a:extLst>
        </xdr:cNvPr>
        <xdr:cNvSpPr txBox="1"/>
      </xdr:nvSpPr>
      <xdr:spPr>
        <a:xfrm>
          <a:off x="11134725" y="897540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394</xdr:row>
      <xdr:rowOff>0</xdr:rowOff>
    </xdr:from>
    <xdr:ext cx="114300" cy="200025"/>
    <xdr:sp macro="" textlink="">
      <xdr:nvSpPr>
        <xdr:cNvPr id="584" name="Shape 3">
          <a:extLst>
            <a:ext uri="{FF2B5EF4-FFF2-40B4-BE49-F238E27FC236}">
              <a16:creationId xmlns:a16="http://schemas.microsoft.com/office/drawing/2014/main" id="{C3428F25-F599-4BD6-A014-281375580004}"/>
            </a:ext>
          </a:extLst>
        </xdr:cNvPr>
        <xdr:cNvSpPr txBox="1"/>
      </xdr:nvSpPr>
      <xdr:spPr>
        <a:xfrm>
          <a:off x="11134725" y="897540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394</xdr:row>
      <xdr:rowOff>0</xdr:rowOff>
    </xdr:from>
    <xdr:ext cx="114300" cy="200025"/>
    <xdr:sp macro="" textlink="">
      <xdr:nvSpPr>
        <xdr:cNvPr id="585" name="Shape 3">
          <a:extLst>
            <a:ext uri="{FF2B5EF4-FFF2-40B4-BE49-F238E27FC236}">
              <a16:creationId xmlns:a16="http://schemas.microsoft.com/office/drawing/2014/main" id="{070C5CA0-1C82-4C70-A99E-B19E8397072E}"/>
            </a:ext>
          </a:extLst>
        </xdr:cNvPr>
        <xdr:cNvSpPr txBox="1"/>
      </xdr:nvSpPr>
      <xdr:spPr>
        <a:xfrm>
          <a:off x="11134725" y="89754075"/>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450</xdr:row>
      <xdr:rowOff>0</xdr:rowOff>
    </xdr:from>
    <xdr:ext cx="114300" cy="200025"/>
    <xdr:sp macro="" textlink="">
      <xdr:nvSpPr>
        <xdr:cNvPr id="586" name="Shape 3">
          <a:extLst>
            <a:ext uri="{FF2B5EF4-FFF2-40B4-BE49-F238E27FC236}">
              <a16:creationId xmlns:a16="http://schemas.microsoft.com/office/drawing/2014/main" id="{FAD7BE84-6E17-4A54-A42C-D3C668623BE4}"/>
            </a:ext>
          </a:extLst>
        </xdr:cNvPr>
        <xdr:cNvSpPr txBox="1"/>
      </xdr:nvSpPr>
      <xdr:spPr>
        <a:xfrm>
          <a:off x="11134725" y="1018603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450</xdr:row>
      <xdr:rowOff>0</xdr:rowOff>
    </xdr:from>
    <xdr:ext cx="114300" cy="200025"/>
    <xdr:sp macro="" textlink="">
      <xdr:nvSpPr>
        <xdr:cNvPr id="587" name="Shape 3">
          <a:extLst>
            <a:ext uri="{FF2B5EF4-FFF2-40B4-BE49-F238E27FC236}">
              <a16:creationId xmlns:a16="http://schemas.microsoft.com/office/drawing/2014/main" id="{8F005756-003B-4259-A2DF-90B014B1CB76}"/>
            </a:ext>
          </a:extLst>
        </xdr:cNvPr>
        <xdr:cNvSpPr txBox="1"/>
      </xdr:nvSpPr>
      <xdr:spPr>
        <a:xfrm>
          <a:off x="11134725" y="1018603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450</xdr:row>
      <xdr:rowOff>0</xdr:rowOff>
    </xdr:from>
    <xdr:ext cx="114300" cy="200025"/>
    <xdr:sp macro="" textlink="">
      <xdr:nvSpPr>
        <xdr:cNvPr id="588" name="Shape 3">
          <a:extLst>
            <a:ext uri="{FF2B5EF4-FFF2-40B4-BE49-F238E27FC236}">
              <a16:creationId xmlns:a16="http://schemas.microsoft.com/office/drawing/2014/main" id="{8DFE12EC-2D64-4C96-B0A9-12EB391C39F6}"/>
            </a:ext>
          </a:extLst>
        </xdr:cNvPr>
        <xdr:cNvSpPr txBox="1"/>
      </xdr:nvSpPr>
      <xdr:spPr>
        <a:xfrm>
          <a:off x="11134725" y="1018603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450</xdr:row>
      <xdr:rowOff>0</xdr:rowOff>
    </xdr:from>
    <xdr:ext cx="114300" cy="200025"/>
    <xdr:sp macro="" textlink="">
      <xdr:nvSpPr>
        <xdr:cNvPr id="589" name="Shape 3">
          <a:extLst>
            <a:ext uri="{FF2B5EF4-FFF2-40B4-BE49-F238E27FC236}">
              <a16:creationId xmlns:a16="http://schemas.microsoft.com/office/drawing/2014/main" id="{173AAA5D-018E-47ED-8EDB-AD4CC8A65749}"/>
            </a:ext>
          </a:extLst>
        </xdr:cNvPr>
        <xdr:cNvSpPr txBox="1"/>
      </xdr:nvSpPr>
      <xdr:spPr>
        <a:xfrm>
          <a:off x="11134725" y="1018603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450</xdr:row>
      <xdr:rowOff>0</xdr:rowOff>
    </xdr:from>
    <xdr:ext cx="114300" cy="200025"/>
    <xdr:sp macro="" textlink="">
      <xdr:nvSpPr>
        <xdr:cNvPr id="590" name="Shape 3">
          <a:extLst>
            <a:ext uri="{FF2B5EF4-FFF2-40B4-BE49-F238E27FC236}">
              <a16:creationId xmlns:a16="http://schemas.microsoft.com/office/drawing/2014/main" id="{5B474C44-0832-4C09-88AE-D80E1A0F45B4}"/>
            </a:ext>
          </a:extLst>
        </xdr:cNvPr>
        <xdr:cNvSpPr txBox="1"/>
      </xdr:nvSpPr>
      <xdr:spPr>
        <a:xfrm>
          <a:off x="11134725" y="1018603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492125</xdr:colOff>
      <xdr:row>444</xdr:row>
      <xdr:rowOff>142875</xdr:rowOff>
    </xdr:from>
    <xdr:ext cx="898071" cy="1079386"/>
    <xdr:pic>
      <xdr:nvPicPr>
        <xdr:cNvPr id="591" name="Imagen 590">
          <a:extLst>
            <a:ext uri="{FF2B5EF4-FFF2-40B4-BE49-F238E27FC236}">
              <a16:creationId xmlns:a16="http://schemas.microsoft.com/office/drawing/2014/main" id="{76C841E2-5AC2-4013-8FDD-FA75D737095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25600" y="100841175"/>
          <a:ext cx="898071" cy="1079386"/>
        </a:xfrm>
        <a:prstGeom prst="rect">
          <a:avLst/>
        </a:prstGeom>
      </xdr:spPr>
    </xdr:pic>
    <xdr:clientData/>
  </xdr:oneCellAnchor>
  <xdr:oneCellAnchor>
    <xdr:from>
      <xdr:col>6</xdr:col>
      <xdr:colOff>0</xdr:colOff>
      <xdr:row>450</xdr:row>
      <xdr:rowOff>0</xdr:rowOff>
    </xdr:from>
    <xdr:ext cx="114300" cy="200025"/>
    <xdr:sp macro="" textlink="">
      <xdr:nvSpPr>
        <xdr:cNvPr id="592" name="Shape 3">
          <a:extLst>
            <a:ext uri="{FF2B5EF4-FFF2-40B4-BE49-F238E27FC236}">
              <a16:creationId xmlns:a16="http://schemas.microsoft.com/office/drawing/2014/main" id="{CAD7D30B-0857-478B-894C-FA4C44DFF099}"/>
            </a:ext>
          </a:extLst>
        </xdr:cNvPr>
        <xdr:cNvSpPr txBox="1"/>
      </xdr:nvSpPr>
      <xdr:spPr>
        <a:xfrm>
          <a:off x="11134725" y="1018603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450</xdr:row>
      <xdr:rowOff>0</xdr:rowOff>
    </xdr:from>
    <xdr:ext cx="114300" cy="200025"/>
    <xdr:sp macro="" textlink="">
      <xdr:nvSpPr>
        <xdr:cNvPr id="593" name="Shape 3">
          <a:extLst>
            <a:ext uri="{FF2B5EF4-FFF2-40B4-BE49-F238E27FC236}">
              <a16:creationId xmlns:a16="http://schemas.microsoft.com/office/drawing/2014/main" id="{10AC2D26-B9D2-449D-9D7A-F699155D6286}"/>
            </a:ext>
          </a:extLst>
        </xdr:cNvPr>
        <xdr:cNvSpPr txBox="1"/>
      </xdr:nvSpPr>
      <xdr:spPr>
        <a:xfrm>
          <a:off x="11134725" y="1018603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450</xdr:row>
      <xdr:rowOff>0</xdr:rowOff>
    </xdr:from>
    <xdr:ext cx="114300" cy="200025"/>
    <xdr:sp macro="" textlink="">
      <xdr:nvSpPr>
        <xdr:cNvPr id="594" name="Shape 3">
          <a:extLst>
            <a:ext uri="{FF2B5EF4-FFF2-40B4-BE49-F238E27FC236}">
              <a16:creationId xmlns:a16="http://schemas.microsoft.com/office/drawing/2014/main" id="{CD6C759C-63C0-4748-BF2D-FC50106EC133}"/>
            </a:ext>
          </a:extLst>
        </xdr:cNvPr>
        <xdr:cNvSpPr txBox="1"/>
      </xdr:nvSpPr>
      <xdr:spPr>
        <a:xfrm>
          <a:off x="11134725" y="1018603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492125</xdr:colOff>
      <xdr:row>444</xdr:row>
      <xdr:rowOff>142875</xdr:rowOff>
    </xdr:from>
    <xdr:ext cx="898071" cy="1079386"/>
    <xdr:pic>
      <xdr:nvPicPr>
        <xdr:cNvPr id="595" name="Imagen 594">
          <a:extLst>
            <a:ext uri="{FF2B5EF4-FFF2-40B4-BE49-F238E27FC236}">
              <a16:creationId xmlns:a16="http://schemas.microsoft.com/office/drawing/2014/main" id="{12DC064C-B13F-450B-A38C-D3BE8994306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25600" y="100841175"/>
          <a:ext cx="898071" cy="1079386"/>
        </a:xfrm>
        <a:prstGeom prst="rect">
          <a:avLst/>
        </a:prstGeom>
      </xdr:spPr>
    </xdr:pic>
    <xdr:clientData/>
  </xdr:oneCellAnchor>
  <xdr:oneCellAnchor>
    <xdr:from>
      <xdr:col>6</xdr:col>
      <xdr:colOff>0</xdr:colOff>
      <xdr:row>450</xdr:row>
      <xdr:rowOff>0</xdr:rowOff>
    </xdr:from>
    <xdr:ext cx="114300" cy="200025"/>
    <xdr:sp macro="" textlink="">
      <xdr:nvSpPr>
        <xdr:cNvPr id="596" name="Shape 3">
          <a:extLst>
            <a:ext uri="{FF2B5EF4-FFF2-40B4-BE49-F238E27FC236}">
              <a16:creationId xmlns:a16="http://schemas.microsoft.com/office/drawing/2014/main" id="{6BEAFCAC-3EA3-417A-8F9A-CF4DB2B078DC}"/>
            </a:ext>
          </a:extLst>
        </xdr:cNvPr>
        <xdr:cNvSpPr txBox="1"/>
      </xdr:nvSpPr>
      <xdr:spPr>
        <a:xfrm>
          <a:off x="11134725" y="1018603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450</xdr:row>
      <xdr:rowOff>0</xdr:rowOff>
    </xdr:from>
    <xdr:ext cx="114300" cy="200025"/>
    <xdr:sp macro="" textlink="">
      <xdr:nvSpPr>
        <xdr:cNvPr id="597" name="Shape 3">
          <a:extLst>
            <a:ext uri="{FF2B5EF4-FFF2-40B4-BE49-F238E27FC236}">
              <a16:creationId xmlns:a16="http://schemas.microsoft.com/office/drawing/2014/main" id="{ECD9B1FA-2675-4DC0-9517-C7CC33FA7877}"/>
            </a:ext>
          </a:extLst>
        </xdr:cNvPr>
        <xdr:cNvSpPr txBox="1"/>
      </xdr:nvSpPr>
      <xdr:spPr>
        <a:xfrm>
          <a:off x="11134725" y="1018603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450</xdr:row>
      <xdr:rowOff>0</xdr:rowOff>
    </xdr:from>
    <xdr:ext cx="114300" cy="200025"/>
    <xdr:sp macro="" textlink="">
      <xdr:nvSpPr>
        <xdr:cNvPr id="598" name="Shape 3">
          <a:extLst>
            <a:ext uri="{FF2B5EF4-FFF2-40B4-BE49-F238E27FC236}">
              <a16:creationId xmlns:a16="http://schemas.microsoft.com/office/drawing/2014/main" id="{3981D6AA-0344-46C5-885B-1DB439A7D72A}"/>
            </a:ext>
          </a:extLst>
        </xdr:cNvPr>
        <xdr:cNvSpPr txBox="1"/>
      </xdr:nvSpPr>
      <xdr:spPr>
        <a:xfrm>
          <a:off x="11134725" y="1018603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450</xdr:row>
      <xdr:rowOff>0</xdr:rowOff>
    </xdr:from>
    <xdr:ext cx="114300" cy="200025"/>
    <xdr:sp macro="" textlink="">
      <xdr:nvSpPr>
        <xdr:cNvPr id="599" name="Shape 3">
          <a:extLst>
            <a:ext uri="{FF2B5EF4-FFF2-40B4-BE49-F238E27FC236}">
              <a16:creationId xmlns:a16="http://schemas.microsoft.com/office/drawing/2014/main" id="{0DD0D7D7-F4E9-47CC-A7B0-ED2040D2D6EC}"/>
            </a:ext>
          </a:extLst>
        </xdr:cNvPr>
        <xdr:cNvSpPr txBox="1"/>
      </xdr:nvSpPr>
      <xdr:spPr>
        <a:xfrm>
          <a:off x="11134725" y="1018603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450</xdr:row>
      <xdr:rowOff>0</xdr:rowOff>
    </xdr:from>
    <xdr:ext cx="114300" cy="200025"/>
    <xdr:sp macro="" textlink="">
      <xdr:nvSpPr>
        <xdr:cNvPr id="600" name="Shape 3">
          <a:extLst>
            <a:ext uri="{FF2B5EF4-FFF2-40B4-BE49-F238E27FC236}">
              <a16:creationId xmlns:a16="http://schemas.microsoft.com/office/drawing/2014/main" id="{BF0134FA-5266-416D-914C-28CE0FB0F96B}"/>
            </a:ext>
          </a:extLst>
        </xdr:cNvPr>
        <xdr:cNvSpPr txBox="1"/>
      </xdr:nvSpPr>
      <xdr:spPr>
        <a:xfrm>
          <a:off x="11134725" y="1018603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450</xdr:row>
      <xdr:rowOff>0</xdr:rowOff>
    </xdr:from>
    <xdr:ext cx="114300" cy="200025"/>
    <xdr:sp macro="" textlink="">
      <xdr:nvSpPr>
        <xdr:cNvPr id="601" name="Shape 3">
          <a:extLst>
            <a:ext uri="{FF2B5EF4-FFF2-40B4-BE49-F238E27FC236}">
              <a16:creationId xmlns:a16="http://schemas.microsoft.com/office/drawing/2014/main" id="{490EB07E-9236-4968-AEFD-7F2569F2B44F}"/>
            </a:ext>
          </a:extLst>
        </xdr:cNvPr>
        <xdr:cNvSpPr txBox="1"/>
      </xdr:nvSpPr>
      <xdr:spPr>
        <a:xfrm>
          <a:off x="11134725" y="1018603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450</xdr:row>
      <xdr:rowOff>0</xdr:rowOff>
    </xdr:from>
    <xdr:ext cx="114300" cy="200025"/>
    <xdr:sp macro="" textlink="">
      <xdr:nvSpPr>
        <xdr:cNvPr id="602" name="Shape 3">
          <a:extLst>
            <a:ext uri="{FF2B5EF4-FFF2-40B4-BE49-F238E27FC236}">
              <a16:creationId xmlns:a16="http://schemas.microsoft.com/office/drawing/2014/main" id="{7D0C0127-E288-4C10-AE19-0188386F911C}"/>
            </a:ext>
          </a:extLst>
        </xdr:cNvPr>
        <xdr:cNvSpPr txBox="1"/>
      </xdr:nvSpPr>
      <xdr:spPr>
        <a:xfrm>
          <a:off x="11134725" y="1018603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450</xdr:row>
      <xdr:rowOff>0</xdr:rowOff>
    </xdr:from>
    <xdr:ext cx="114300" cy="200025"/>
    <xdr:sp macro="" textlink="">
      <xdr:nvSpPr>
        <xdr:cNvPr id="603" name="Shape 3">
          <a:extLst>
            <a:ext uri="{FF2B5EF4-FFF2-40B4-BE49-F238E27FC236}">
              <a16:creationId xmlns:a16="http://schemas.microsoft.com/office/drawing/2014/main" id="{B74EA3F0-5142-4243-BC2D-B90D43BCBF5E}"/>
            </a:ext>
          </a:extLst>
        </xdr:cNvPr>
        <xdr:cNvSpPr txBox="1"/>
      </xdr:nvSpPr>
      <xdr:spPr>
        <a:xfrm>
          <a:off x="11134725" y="1018603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478</xdr:row>
      <xdr:rowOff>0</xdr:rowOff>
    </xdr:from>
    <xdr:ext cx="114300" cy="200025"/>
    <xdr:sp macro="" textlink="">
      <xdr:nvSpPr>
        <xdr:cNvPr id="604" name="Shape 3">
          <a:extLst>
            <a:ext uri="{FF2B5EF4-FFF2-40B4-BE49-F238E27FC236}">
              <a16:creationId xmlns:a16="http://schemas.microsoft.com/office/drawing/2014/main" id="{86DF7821-68B2-47C9-9854-6EA0A7E90A73}"/>
            </a:ext>
          </a:extLst>
        </xdr:cNvPr>
        <xdr:cNvSpPr txBox="1"/>
      </xdr:nvSpPr>
      <xdr:spPr>
        <a:xfrm>
          <a:off x="11134725" y="1072705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478</xdr:row>
      <xdr:rowOff>0</xdr:rowOff>
    </xdr:from>
    <xdr:ext cx="114300" cy="200025"/>
    <xdr:sp macro="" textlink="">
      <xdr:nvSpPr>
        <xdr:cNvPr id="605" name="Shape 3">
          <a:extLst>
            <a:ext uri="{FF2B5EF4-FFF2-40B4-BE49-F238E27FC236}">
              <a16:creationId xmlns:a16="http://schemas.microsoft.com/office/drawing/2014/main" id="{A035F7D4-47A4-4341-BF5B-AC5350E709DC}"/>
            </a:ext>
          </a:extLst>
        </xdr:cNvPr>
        <xdr:cNvSpPr txBox="1"/>
      </xdr:nvSpPr>
      <xdr:spPr>
        <a:xfrm>
          <a:off x="11134725" y="1072705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478</xdr:row>
      <xdr:rowOff>0</xdr:rowOff>
    </xdr:from>
    <xdr:ext cx="114300" cy="200025"/>
    <xdr:sp macro="" textlink="">
      <xdr:nvSpPr>
        <xdr:cNvPr id="606" name="Shape 3">
          <a:extLst>
            <a:ext uri="{FF2B5EF4-FFF2-40B4-BE49-F238E27FC236}">
              <a16:creationId xmlns:a16="http://schemas.microsoft.com/office/drawing/2014/main" id="{F4330BFB-45B3-4A38-B551-299F0787FB9E}"/>
            </a:ext>
          </a:extLst>
        </xdr:cNvPr>
        <xdr:cNvSpPr txBox="1"/>
      </xdr:nvSpPr>
      <xdr:spPr>
        <a:xfrm>
          <a:off x="11134725" y="1072705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478</xdr:row>
      <xdr:rowOff>0</xdr:rowOff>
    </xdr:from>
    <xdr:ext cx="114300" cy="200025"/>
    <xdr:sp macro="" textlink="">
      <xdr:nvSpPr>
        <xdr:cNvPr id="607" name="Shape 3">
          <a:extLst>
            <a:ext uri="{FF2B5EF4-FFF2-40B4-BE49-F238E27FC236}">
              <a16:creationId xmlns:a16="http://schemas.microsoft.com/office/drawing/2014/main" id="{2585573F-1E1D-4590-BC67-502C0E48EF64}"/>
            </a:ext>
          </a:extLst>
        </xdr:cNvPr>
        <xdr:cNvSpPr txBox="1"/>
      </xdr:nvSpPr>
      <xdr:spPr>
        <a:xfrm>
          <a:off x="11134725" y="1072705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478</xdr:row>
      <xdr:rowOff>0</xdr:rowOff>
    </xdr:from>
    <xdr:ext cx="114300" cy="200025"/>
    <xdr:sp macro="" textlink="">
      <xdr:nvSpPr>
        <xdr:cNvPr id="608" name="Shape 3">
          <a:extLst>
            <a:ext uri="{FF2B5EF4-FFF2-40B4-BE49-F238E27FC236}">
              <a16:creationId xmlns:a16="http://schemas.microsoft.com/office/drawing/2014/main" id="{A3B7FA7D-C4D4-4E7E-823F-FCA473974941}"/>
            </a:ext>
          </a:extLst>
        </xdr:cNvPr>
        <xdr:cNvSpPr txBox="1"/>
      </xdr:nvSpPr>
      <xdr:spPr>
        <a:xfrm>
          <a:off x="11134725" y="1072705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492125</xdr:colOff>
      <xdr:row>472</xdr:row>
      <xdr:rowOff>142875</xdr:rowOff>
    </xdr:from>
    <xdr:ext cx="898071" cy="1079386"/>
    <xdr:pic>
      <xdr:nvPicPr>
        <xdr:cNvPr id="609" name="Imagen 608">
          <a:extLst>
            <a:ext uri="{FF2B5EF4-FFF2-40B4-BE49-F238E27FC236}">
              <a16:creationId xmlns:a16="http://schemas.microsoft.com/office/drawing/2014/main" id="{D701D6C1-D901-42EC-81FB-0E9ED3988B7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25600" y="106251375"/>
          <a:ext cx="898071" cy="1079386"/>
        </a:xfrm>
        <a:prstGeom prst="rect">
          <a:avLst/>
        </a:prstGeom>
      </xdr:spPr>
    </xdr:pic>
    <xdr:clientData/>
  </xdr:oneCellAnchor>
  <xdr:oneCellAnchor>
    <xdr:from>
      <xdr:col>6</xdr:col>
      <xdr:colOff>0</xdr:colOff>
      <xdr:row>478</xdr:row>
      <xdr:rowOff>0</xdr:rowOff>
    </xdr:from>
    <xdr:ext cx="114300" cy="200025"/>
    <xdr:sp macro="" textlink="">
      <xdr:nvSpPr>
        <xdr:cNvPr id="610" name="Shape 3">
          <a:extLst>
            <a:ext uri="{FF2B5EF4-FFF2-40B4-BE49-F238E27FC236}">
              <a16:creationId xmlns:a16="http://schemas.microsoft.com/office/drawing/2014/main" id="{1279DA71-B2D9-4C94-B4A9-47132FBDCF59}"/>
            </a:ext>
          </a:extLst>
        </xdr:cNvPr>
        <xdr:cNvSpPr txBox="1"/>
      </xdr:nvSpPr>
      <xdr:spPr>
        <a:xfrm>
          <a:off x="11134725" y="1072705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478</xdr:row>
      <xdr:rowOff>0</xdr:rowOff>
    </xdr:from>
    <xdr:ext cx="114300" cy="200025"/>
    <xdr:sp macro="" textlink="">
      <xdr:nvSpPr>
        <xdr:cNvPr id="611" name="Shape 3">
          <a:extLst>
            <a:ext uri="{FF2B5EF4-FFF2-40B4-BE49-F238E27FC236}">
              <a16:creationId xmlns:a16="http://schemas.microsoft.com/office/drawing/2014/main" id="{D5651AC4-F2EC-4A3B-92E6-66D7AC9FF6BA}"/>
            </a:ext>
          </a:extLst>
        </xdr:cNvPr>
        <xdr:cNvSpPr txBox="1"/>
      </xdr:nvSpPr>
      <xdr:spPr>
        <a:xfrm>
          <a:off x="11134725" y="1072705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478</xdr:row>
      <xdr:rowOff>0</xdr:rowOff>
    </xdr:from>
    <xdr:ext cx="114300" cy="200025"/>
    <xdr:sp macro="" textlink="">
      <xdr:nvSpPr>
        <xdr:cNvPr id="612" name="Shape 3">
          <a:extLst>
            <a:ext uri="{FF2B5EF4-FFF2-40B4-BE49-F238E27FC236}">
              <a16:creationId xmlns:a16="http://schemas.microsoft.com/office/drawing/2014/main" id="{65BB51BD-5695-48A3-B54C-78843283B220}"/>
            </a:ext>
          </a:extLst>
        </xdr:cNvPr>
        <xdr:cNvSpPr txBox="1"/>
      </xdr:nvSpPr>
      <xdr:spPr>
        <a:xfrm>
          <a:off x="11134725" y="1072705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492125</xdr:colOff>
      <xdr:row>472</xdr:row>
      <xdr:rowOff>142875</xdr:rowOff>
    </xdr:from>
    <xdr:ext cx="898071" cy="1079386"/>
    <xdr:pic>
      <xdr:nvPicPr>
        <xdr:cNvPr id="613" name="Imagen 612">
          <a:extLst>
            <a:ext uri="{FF2B5EF4-FFF2-40B4-BE49-F238E27FC236}">
              <a16:creationId xmlns:a16="http://schemas.microsoft.com/office/drawing/2014/main" id="{FFAEC3A2-1C19-406B-A047-26AFBCAF733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25600" y="106251375"/>
          <a:ext cx="898071" cy="1079386"/>
        </a:xfrm>
        <a:prstGeom prst="rect">
          <a:avLst/>
        </a:prstGeom>
      </xdr:spPr>
    </xdr:pic>
    <xdr:clientData/>
  </xdr:oneCellAnchor>
  <xdr:oneCellAnchor>
    <xdr:from>
      <xdr:col>6</xdr:col>
      <xdr:colOff>0</xdr:colOff>
      <xdr:row>478</xdr:row>
      <xdr:rowOff>0</xdr:rowOff>
    </xdr:from>
    <xdr:ext cx="114300" cy="200025"/>
    <xdr:sp macro="" textlink="">
      <xdr:nvSpPr>
        <xdr:cNvPr id="614" name="Shape 3">
          <a:extLst>
            <a:ext uri="{FF2B5EF4-FFF2-40B4-BE49-F238E27FC236}">
              <a16:creationId xmlns:a16="http://schemas.microsoft.com/office/drawing/2014/main" id="{DBF42B4A-A302-48FF-A17C-CAC345E027E6}"/>
            </a:ext>
          </a:extLst>
        </xdr:cNvPr>
        <xdr:cNvSpPr txBox="1"/>
      </xdr:nvSpPr>
      <xdr:spPr>
        <a:xfrm>
          <a:off x="11134725" y="1072705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478</xdr:row>
      <xdr:rowOff>0</xdr:rowOff>
    </xdr:from>
    <xdr:ext cx="114300" cy="200025"/>
    <xdr:sp macro="" textlink="">
      <xdr:nvSpPr>
        <xdr:cNvPr id="615" name="Shape 3">
          <a:extLst>
            <a:ext uri="{FF2B5EF4-FFF2-40B4-BE49-F238E27FC236}">
              <a16:creationId xmlns:a16="http://schemas.microsoft.com/office/drawing/2014/main" id="{366E80F2-9EF8-4958-BF68-8FF608EA4E38}"/>
            </a:ext>
          </a:extLst>
        </xdr:cNvPr>
        <xdr:cNvSpPr txBox="1"/>
      </xdr:nvSpPr>
      <xdr:spPr>
        <a:xfrm>
          <a:off x="11134725" y="1072705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478</xdr:row>
      <xdr:rowOff>0</xdr:rowOff>
    </xdr:from>
    <xdr:ext cx="114300" cy="200025"/>
    <xdr:sp macro="" textlink="">
      <xdr:nvSpPr>
        <xdr:cNvPr id="616" name="Shape 3">
          <a:extLst>
            <a:ext uri="{FF2B5EF4-FFF2-40B4-BE49-F238E27FC236}">
              <a16:creationId xmlns:a16="http://schemas.microsoft.com/office/drawing/2014/main" id="{AC754332-97DC-4D77-AC07-2CB32CDF916A}"/>
            </a:ext>
          </a:extLst>
        </xdr:cNvPr>
        <xdr:cNvSpPr txBox="1"/>
      </xdr:nvSpPr>
      <xdr:spPr>
        <a:xfrm>
          <a:off x="11134725" y="1072705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478</xdr:row>
      <xdr:rowOff>0</xdr:rowOff>
    </xdr:from>
    <xdr:ext cx="114300" cy="200025"/>
    <xdr:sp macro="" textlink="">
      <xdr:nvSpPr>
        <xdr:cNvPr id="617" name="Shape 3">
          <a:extLst>
            <a:ext uri="{FF2B5EF4-FFF2-40B4-BE49-F238E27FC236}">
              <a16:creationId xmlns:a16="http://schemas.microsoft.com/office/drawing/2014/main" id="{86F218CC-8B6C-4ADB-91CF-0B86ABF9B15D}"/>
            </a:ext>
          </a:extLst>
        </xdr:cNvPr>
        <xdr:cNvSpPr txBox="1"/>
      </xdr:nvSpPr>
      <xdr:spPr>
        <a:xfrm>
          <a:off x="11134725" y="1072705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478</xdr:row>
      <xdr:rowOff>0</xdr:rowOff>
    </xdr:from>
    <xdr:ext cx="114300" cy="200025"/>
    <xdr:sp macro="" textlink="">
      <xdr:nvSpPr>
        <xdr:cNvPr id="618" name="Shape 3">
          <a:extLst>
            <a:ext uri="{FF2B5EF4-FFF2-40B4-BE49-F238E27FC236}">
              <a16:creationId xmlns:a16="http://schemas.microsoft.com/office/drawing/2014/main" id="{C5283346-2925-4CCD-9A26-F6724F650196}"/>
            </a:ext>
          </a:extLst>
        </xdr:cNvPr>
        <xdr:cNvSpPr txBox="1"/>
      </xdr:nvSpPr>
      <xdr:spPr>
        <a:xfrm>
          <a:off x="11134725" y="1072705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478</xdr:row>
      <xdr:rowOff>0</xdr:rowOff>
    </xdr:from>
    <xdr:ext cx="114300" cy="200025"/>
    <xdr:sp macro="" textlink="">
      <xdr:nvSpPr>
        <xdr:cNvPr id="619" name="Shape 3">
          <a:extLst>
            <a:ext uri="{FF2B5EF4-FFF2-40B4-BE49-F238E27FC236}">
              <a16:creationId xmlns:a16="http://schemas.microsoft.com/office/drawing/2014/main" id="{DCD11B40-33B9-48ED-81CE-9F51FEA64519}"/>
            </a:ext>
          </a:extLst>
        </xdr:cNvPr>
        <xdr:cNvSpPr txBox="1"/>
      </xdr:nvSpPr>
      <xdr:spPr>
        <a:xfrm>
          <a:off x="11134725" y="1072705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478</xdr:row>
      <xdr:rowOff>0</xdr:rowOff>
    </xdr:from>
    <xdr:ext cx="114300" cy="200025"/>
    <xdr:sp macro="" textlink="">
      <xdr:nvSpPr>
        <xdr:cNvPr id="620" name="Shape 3">
          <a:extLst>
            <a:ext uri="{FF2B5EF4-FFF2-40B4-BE49-F238E27FC236}">
              <a16:creationId xmlns:a16="http://schemas.microsoft.com/office/drawing/2014/main" id="{52284009-7376-4B48-B6FE-D4ADBAF617D9}"/>
            </a:ext>
          </a:extLst>
        </xdr:cNvPr>
        <xdr:cNvSpPr txBox="1"/>
      </xdr:nvSpPr>
      <xdr:spPr>
        <a:xfrm>
          <a:off x="11134725" y="1072705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478</xdr:row>
      <xdr:rowOff>0</xdr:rowOff>
    </xdr:from>
    <xdr:ext cx="114300" cy="200025"/>
    <xdr:sp macro="" textlink="">
      <xdr:nvSpPr>
        <xdr:cNvPr id="621" name="Shape 3">
          <a:extLst>
            <a:ext uri="{FF2B5EF4-FFF2-40B4-BE49-F238E27FC236}">
              <a16:creationId xmlns:a16="http://schemas.microsoft.com/office/drawing/2014/main" id="{ABB6C530-7E61-42CA-8718-D8D0C6C0B173}"/>
            </a:ext>
          </a:extLst>
        </xdr:cNvPr>
        <xdr:cNvSpPr txBox="1"/>
      </xdr:nvSpPr>
      <xdr:spPr>
        <a:xfrm>
          <a:off x="11134725" y="1072705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506</xdr:row>
      <xdr:rowOff>0</xdr:rowOff>
    </xdr:from>
    <xdr:ext cx="114300" cy="200025"/>
    <xdr:sp macro="" textlink="">
      <xdr:nvSpPr>
        <xdr:cNvPr id="622" name="Shape 3">
          <a:extLst>
            <a:ext uri="{FF2B5EF4-FFF2-40B4-BE49-F238E27FC236}">
              <a16:creationId xmlns:a16="http://schemas.microsoft.com/office/drawing/2014/main" id="{8261364E-110A-45A9-A4D0-D7DE37056961}"/>
            </a:ext>
          </a:extLst>
        </xdr:cNvPr>
        <xdr:cNvSpPr txBox="1"/>
      </xdr:nvSpPr>
      <xdr:spPr>
        <a:xfrm>
          <a:off x="11134725" y="113061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506</xdr:row>
      <xdr:rowOff>0</xdr:rowOff>
    </xdr:from>
    <xdr:ext cx="114300" cy="200025"/>
    <xdr:sp macro="" textlink="">
      <xdr:nvSpPr>
        <xdr:cNvPr id="623" name="Shape 3">
          <a:extLst>
            <a:ext uri="{FF2B5EF4-FFF2-40B4-BE49-F238E27FC236}">
              <a16:creationId xmlns:a16="http://schemas.microsoft.com/office/drawing/2014/main" id="{9484B313-B2ED-4C92-B00C-3A4CD7F8E1AD}"/>
            </a:ext>
          </a:extLst>
        </xdr:cNvPr>
        <xdr:cNvSpPr txBox="1"/>
      </xdr:nvSpPr>
      <xdr:spPr>
        <a:xfrm>
          <a:off x="11134725" y="113061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506</xdr:row>
      <xdr:rowOff>0</xdr:rowOff>
    </xdr:from>
    <xdr:ext cx="114300" cy="200025"/>
    <xdr:sp macro="" textlink="">
      <xdr:nvSpPr>
        <xdr:cNvPr id="624" name="Shape 3">
          <a:extLst>
            <a:ext uri="{FF2B5EF4-FFF2-40B4-BE49-F238E27FC236}">
              <a16:creationId xmlns:a16="http://schemas.microsoft.com/office/drawing/2014/main" id="{270AD72A-C8E3-442C-B127-63CC5385ED5F}"/>
            </a:ext>
          </a:extLst>
        </xdr:cNvPr>
        <xdr:cNvSpPr txBox="1"/>
      </xdr:nvSpPr>
      <xdr:spPr>
        <a:xfrm>
          <a:off x="11134725" y="113061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506</xdr:row>
      <xdr:rowOff>0</xdr:rowOff>
    </xdr:from>
    <xdr:ext cx="114300" cy="200025"/>
    <xdr:sp macro="" textlink="">
      <xdr:nvSpPr>
        <xdr:cNvPr id="625" name="Shape 3">
          <a:extLst>
            <a:ext uri="{FF2B5EF4-FFF2-40B4-BE49-F238E27FC236}">
              <a16:creationId xmlns:a16="http://schemas.microsoft.com/office/drawing/2014/main" id="{E9CEF731-1421-495F-AC48-F26A2F846DDB}"/>
            </a:ext>
          </a:extLst>
        </xdr:cNvPr>
        <xdr:cNvSpPr txBox="1"/>
      </xdr:nvSpPr>
      <xdr:spPr>
        <a:xfrm>
          <a:off x="11134725" y="113061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506</xdr:row>
      <xdr:rowOff>0</xdr:rowOff>
    </xdr:from>
    <xdr:ext cx="114300" cy="200025"/>
    <xdr:sp macro="" textlink="">
      <xdr:nvSpPr>
        <xdr:cNvPr id="626" name="Shape 3">
          <a:extLst>
            <a:ext uri="{FF2B5EF4-FFF2-40B4-BE49-F238E27FC236}">
              <a16:creationId xmlns:a16="http://schemas.microsoft.com/office/drawing/2014/main" id="{4CB0757B-72F1-49CA-93E7-DD2009E2E52C}"/>
            </a:ext>
          </a:extLst>
        </xdr:cNvPr>
        <xdr:cNvSpPr txBox="1"/>
      </xdr:nvSpPr>
      <xdr:spPr>
        <a:xfrm>
          <a:off x="11134725" y="113061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492125</xdr:colOff>
      <xdr:row>500</xdr:row>
      <xdr:rowOff>142875</xdr:rowOff>
    </xdr:from>
    <xdr:ext cx="898071" cy="1079386"/>
    <xdr:pic>
      <xdr:nvPicPr>
        <xdr:cNvPr id="627" name="Imagen 626">
          <a:extLst>
            <a:ext uri="{FF2B5EF4-FFF2-40B4-BE49-F238E27FC236}">
              <a16:creationId xmlns:a16="http://schemas.microsoft.com/office/drawing/2014/main" id="{405ADD1D-72BF-4660-A9FE-2F13CC56D1B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25600" y="112042575"/>
          <a:ext cx="898071" cy="1079386"/>
        </a:xfrm>
        <a:prstGeom prst="rect">
          <a:avLst/>
        </a:prstGeom>
      </xdr:spPr>
    </xdr:pic>
    <xdr:clientData/>
  </xdr:oneCellAnchor>
  <xdr:oneCellAnchor>
    <xdr:from>
      <xdr:col>6</xdr:col>
      <xdr:colOff>0</xdr:colOff>
      <xdr:row>506</xdr:row>
      <xdr:rowOff>0</xdr:rowOff>
    </xdr:from>
    <xdr:ext cx="114300" cy="200025"/>
    <xdr:sp macro="" textlink="">
      <xdr:nvSpPr>
        <xdr:cNvPr id="628" name="Shape 3">
          <a:extLst>
            <a:ext uri="{FF2B5EF4-FFF2-40B4-BE49-F238E27FC236}">
              <a16:creationId xmlns:a16="http://schemas.microsoft.com/office/drawing/2014/main" id="{80B60390-7022-4E63-B2C0-BE0006DFDC8A}"/>
            </a:ext>
          </a:extLst>
        </xdr:cNvPr>
        <xdr:cNvSpPr txBox="1"/>
      </xdr:nvSpPr>
      <xdr:spPr>
        <a:xfrm>
          <a:off x="11134725" y="113061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506</xdr:row>
      <xdr:rowOff>0</xdr:rowOff>
    </xdr:from>
    <xdr:ext cx="114300" cy="200025"/>
    <xdr:sp macro="" textlink="">
      <xdr:nvSpPr>
        <xdr:cNvPr id="629" name="Shape 3">
          <a:extLst>
            <a:ext uri="{FF2B5EF4-FFF2-40B4-BE49-F238E27FC236}">
              <a16:creationId xmlns:a16="http://schemas.microsoft.com/office/drawing/2014/main" id="{53A42ED7-03A3-40DA-A9E5-4672567327B1}"/>
            </a:ext>
          </a:extLst>
        </xdr:cNvPr>
        <xdr:cNvSpPr txBox="1"/>
      </xdr:nvSpPr>
      <xdr:spPr>
        <a:xfrm>
          <a:off x="11134725" y="113061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506</xdr:row>
      <xdr:rowOff>0</xdr:rowOff>
    </xdr:from>
    <xdr:ext cx="114300" cy="200025"/>
    <xdr:sp macro="" textlink="">
      <xdr:nvSpPr>
        <xdr:cNvPr id="630" name="Shape 3">
          <a:extLst>
            <a:ext uri="{FF2B5EF4-FFF2-40B4-BE49-F238E27FC236}">
              <a16:creationId xmlns:a16="http://schemas.microsoft.com/office/drawing/2014/main" id="{7A85DE05-422B-4026-B407-6FCA60D06C3C}"/>
            </a:ext>
          </a:extLst>
        </xdr:cNvPr>
        <xdr:cNvSpPr txBox="1"/>
      </xdr:nvSpPr>
      <xdr:spPr>
        <a:xfrm>
          <a:off x="11134725" y="113061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492125</xdr:colOff>
      <xdr:row>500</xdr:row>
      <xdr:rowOff>142875</xdr:rowOff>
    </xdr:from>
    <xdr:ext cx="898071" cy="1079386"/>
    <xdr:pic>
      <xdr:nvPicPr>
        <xdr:cNvPr id="631" name="Imagen 630">
          <a:extLst>
            <a:ext uri="{FF2B5EF4-FFF2-40B4-BE49-F238E27FC236}">
              <a16:creationId xmlns:a16="http://schemas.microsoft.com/office/drawing/2014/main" id="{D77CFB2A-CCD2-4E21-A16A-45CB77554B2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25600" y="112042575"/>
          <a:ext cx="898071" cy="1079386"/>
        </a:xfrm>
        <a:prstGeom prst="rect">
          <a:avLst/>
        </a:prstGeom>
      </xdr:spPr>
    </xdr:pic>
    <xdr:clientData/>
  </xdr:oneCellAnchor>
  <xdr:oneCellAnchor>
    <xdr:from>
      <xdr:col>6</xdr:col>
      <xdr:colOff>0</xdr:colOff>
      <xdr:row>506</xdr:row>
      <xdr:rowOff>0</xdr:rowOff>
    </xdr:from>
    <xdr:ext cx="114300" cy="200025"/>
    <xdr:sp macro="" textlink="">
      <xdr:nvSpPr>
        <xdr:cNvPr id="632" name="Shape 3">
          <a:extLst>
            <a:ext uri="{FF2B5EF4-FFF2-40B4-BE49-F238E27FC236}">
              <a16:creationId xmlns:a16="http://schemas.microsoft.com/office/drawing/2014/main" id="{13908D00-7FF8-4622-BE28-2BBA65B9D5FF}"/>
            </a:ext>
          </a:extLst>
        </xdr:cNvPr>
        <xdr:cNvSpPr txBox="1"/>
      </xdr:nvSpPr>
      <xdr:spPr>
        <a:xfrm>
          <a:off x="11134725" y="113061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506</xdr:row>
      <xdr:rowOff>0</xdr:rowOff>
    </xdr:from>
    <xdr:ext cx="114300" cy="200025"/>
    <xdr:sp macro="" textlink="">
      <xdr:nvSpPr>
        <xdr:cNvPr id="633" name="Shape 3">
          <a:extLst>
            <a:ext uri="{FF2B5EF4-FFF2-40B4-BE49-F238E27FC236}">
              <a16:creationId xmlns:a16="http://schemas.microsoft.com/office/drawing/2014/main" id="{529E7F94-A367-47B4-9A11-2EF64A4CB2F7}"/>
            </a:ext>
          </a:extLst>
        </xdr:cNvPr>
        <xdr:cNvSpPr txBox="1"/>
      </xdr:nvSpPr>
      <xdr:spPr>
        <a:xfrm>
          <a:off x="11134725" y="113061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506</xdr:row>
      <xdr:rowOff>0</xdr:rowOff>
    </xdr:from>
    <xdr:ext cx="114300" cy="200025"/>
    <xdr:sp macro="" textlink="">
      <xdr:nvSpPr>
        <xdr:cNvPr id="634" name="Shape 3">
          <a:extLst>
            <a:ext uri="{FF2B5EF4-FFF2-40B4-BE49-F238E27FC236}">
              <a16:creationId xmlns:a16="http://schemas.microsoft.com/office/drawing/2014/main" id="{EA52C970-45E1-49E2-A72A-9056393776FF}"/>
            </a:ext>
          </a:extLst>
        </xdr:cNvPr>
        <xdr:cNvSpPr txBox="1"/>
      </xdr:nvSpPr>
      <xdr:spPr>
        <a:xfrm>
          <a:off x="11134725" y="113061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506</xdr:row>
      <xdr:rowOff>0</xdr:rowOff>
    </xdr:from>
    <xdr:ext cx="114300" cy="200025"/>
    <xdr:sp macro="" textlink="">
      <xdr:nvSpPr>
        <xdr:cNvPr id="635" name="Shape 3">
          <a:extLst>
            <a:ext uri="{FF2B5EF4-FFF2-40B4-BE49-F238E27FC236}">
              <a16:creationId xmlns:a16="http://schemas.microsoft.com/office/drawing/2014/main" id="{45E70548-2B8F-4AEA-80C6-142911F98934}"/>
            </a:ext>
          </a:extLst>
        </xdr:cNvPr>
        <xdr:cNvSpPr txBox="1"/>
      </xdr:nvSpPr>
      <xdr:spPr>
        <a:xfrm>
          <a:off x="11134725" y="113061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506</xdr:row>
      <xdr:rowOff>0</xdr:rowOff>
    </xdr:from>
    <xdr:ext cx="114300" cy="200025"/>
    <xdr:sp macro="" textlink="">
      <xdr:nvSpPr>
        <xdr:cNvPr id="636" name="Shape 3">
          <a:extLst>
            <a:ext uri="{FF2B5EF4-FFF2-40B4-BE49-F238E27FC236}">
              <a16:creationId xmlns:a16="http://schemas.microsoft.com/office/drawing/2014/main" id="{10F1E0CE-C2CE-4407-9304-FC1FF203C2D9}"/>
            </a:ext>
          </a:extLst>
        </xdr:cNvPr>
        <xdr:cNvSpPr txBox="1"/>
      </xdr:nvSpPr>
      <xdr:spPr>
        <a:xfrm>
          <a:off x="11134725" y="113061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506</xdr:row>
      <xdr:rowOff>0</xdr:rowOff>
    </xdr:from>
    <xdr:ext cx="114300" cy="200025"/>
    <xdr:sp macro="" textlink="">
      <xdr:nvSpPr>
        <xdr:cNvPr id="637" name="Shape 3">
          <a:extLst>
            <a:ext uri="{FF2B5EF4-FFF2-40B4-BE49-F238E27FC236}">
              <a16:creationId xmlns:a16="http://schemas.microsoft.com/office/drawing/2014/main" id="{692EFC9A-9EA8-4510-A9E6-A54669A1F04C}"/>
            </a:ext>
          </a:extLst>
        </xdr:cNvPr>
        <xdr:cNvSpPr txBox="1"/>
      </xdr:nvSpPr>
      <xdr:spPr>
        <a:xfrm>
          <a:off x="11134725" y="113061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506</xdr:row>
      <xdr:rowOff>0</xdr:rowOff>
    </xdr:from>
    <xdr:ext cx="114300" cy="200025"/>
    <xdr:sp macro="" textlink="">
      <xdr:nvSpPr>
        <xdr:cNvPr id="638" name="Shape 3">
          <a:extLst>
            <a:ext uri="{FF2B5EF4-FFF2-40B4-BE49-F238E27FC236}">
              <a16:creationId xmlns:a16="http://schemas.microsoft.com/office/drawing/2014/main" id="{2108D076-5239-4CE9-9BD6-FF1A35ACF9C3}"/>
            </a:ext>
          </a:extLst>
        </xdr:cNvPr>
        <xdr:cNvSpPr txBox="1"/>
      </xdr:nvSpPr>
      <xdr:spPr>
        <a:xfrm>
          <a:off x="11134725" y="113061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506</xdr:row>
      <xdr:rowOff>0</xdr:rowOff>
    </xdr:from>
    <xdr:ext cx="114300" cy="200025"/>
    <xdr:sp macro="" textlink="">
      <xdr:nvSpPr>
        <xdr:cNvPr id="639" name="Shape 3">
          <a:extLst>
            <a:ext uri="{FF2B5EF4-FFF2-40B4-BE49-F238E27FC236}">
              <a16:creationId xmlns:a16="http://schemas.microsoft.com/office/drawing/2014/main" id="{6B40D2BA-64E6-45B8-B3BC-7B165FAFCF6D}"/>
            </a:ext>
          </a:extLst>
        </xdr:cNvPr>
        <xdr:cNvSpPr txBox="1"/>
      </xdr:nvSpPr>
      <xdr:spPr>
        <a:xfrm>
          <a:off x="11134725" y="11306175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534</xdr:row>
      <xdr:rowOff>0</xdr:rowOff>
    </xdr:from>
    <xdr:ext cx="114300" cy="200025"/>
    <xdr:sp macro="" textlink="">
      <xdr:nvSpPr>
        <xdr:cNvPr id="647" name="Shape 3">
          <a:extLst>
            <a:ext uri="{FF2B5EF4-FFF2-40B4-BE49-F238E27FC236}">
              <a16:creationId xmlns:a16="http://schemas.microsoft.com/office/drawing/2014/main" id="{A2B12A4D-A727-4B74-9B91-92882B614F80}"/>
            </a:ext>
          </a:extLst>
        </xdr:cNvPr>
        <xdr:cNvSpPr txBox="1"/>
      </xdr:nvSpPr>
      <xdr:spPr>
        <a:xfrm>
          <a:off x="11144250" y="11544300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534</xdr:row>
      <xdr:rowOff>0</xdr:rowOff>
    </xdr:from>
    <xdr:ext cx="114300" cy="200025"/>
    <xdr:sp macro="" textlink="">
      <xdr:nvSpPr>
        <xdr:cNvPr id="648" name="Shape 3">
          <a:extLst>
            <a:ext uri="{FF2B5EF4-FFF2-40B4-BE49-F238E27FC236}">
              <a16:creationId xmlns:a16="http://schemas.microsoft.com/office/drawing/2014/main" id="{23829E29-8DA8-418C-9216-A9427FFB5DB3}"/>
            </a:ext>
          </a:extLst>
        </xdr:cNvPr>
        <xdr:cNvSpPr txBox="1"/>
      </xdr:nvSpPr>
      <xdr:spPr>
        <a:xfrm>
          <a:off x="11144250" y="11544300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534</xdr:row>
      <xdr:rowOff>0</xdr:rowOff>
    </xdr:from>
    <xdr:ext cx="114300" cy="200025"/>
    <xdr:sp macro="" textlink="">
      <xdr:nvSpPr>
        <xdr:cNvPr id="649" name="Shape 3">
          <a:extLst>
            <a:ext uri="{FF2B5EF4-FFF2-40B4-BE49-F238E27FC236}">
              <a16:creationId xmlns:a16="http://schemas.microsoft.com/office/drawing/2014/main" id="{DDE6B711-3D9A-4EED-B27E-148D8DB46D19}"/>
            </a:ext>
          </a:extLst>
        </xdr:cNvPr>
        <xdr:cNvSpPr txBox="1"/>
      </xdr:nvSpPr>
      <xdr:spPr>
        <a:xfrm>
          <a:off x="11144250" y="11544300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534</xdr:row>
      <xdr:rowOff>0</xdr:rowOff>
    </xdr:from>
    <xdr:ext cx="114300" cy="200025"/>
    <xdr:sp macro="" textlink="">
      <xdr:nvSpPr>
        <xdr:cNvPr id="650" name="Shape 3">
          <a:extLst>
            <a:ext uri="{FF2B5EF4-FFF2-40B4-BE49-F238E27FC236}">
              <a16:creationId xmlns:a16="http://schemas.microsoft.com/office/drawing/2014/main" id="{5AEB923B-7987-451D-8240-D6154DD1D1EA}"/>
            </a:ext>
          </a:extLst>
        </xdr:cNvPr>
        <xdr:cNvSpPr txBox="1"/>
      </xdr:nvSpPr>
      <xdr:spPr>
        <a:xfrm>
          <a:off x="11144250" y="11544300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534</xdr:row>
      <xdr:rowOff>0</xdr:rowOff>
    </xdr:from>
    <xdr:ext cx="114300" cy="200025"/>
    <xdr:sp macro="" textlink="">
      <xdr:nvSpPr>
        <xdr:cNvPr id="651" name="Shape 3">
          <a:extLst>
            <a:ext uri="{FF2B5EF4-FFF2-40B4-BE49-F238E27FC236}">
              <a16:creationId xmlns:a16="http://schemas.microsoft.com/office/drawing/2014/main" id="{CAA84DDD-23AE-46BB-B79B-F3FAFFE4668F}"/>
            </a:ext>
          </a:extLst>
        </xdr:cNvPr>
        <xdr:cNvSpPr txBox="1"/>
      </xdr:nvSpPr>
      <xdr:spPr>
        <a:xfrm>
          <a:off x="11144250" y="11544300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492125</xdr:colOff>
      <xdr:row>528</xdr:row>
      <xdr:rowOff>142875</xdr:rowOff>
    </xdr:from>
    <xdr:ext cx="898071" cy="1079386"/>
    <xdr:pic>
      <xdr:nvPicPr>
        <xdr:cNvPr id="652" name="Imagen 651">
          <a:extLst>
            <a:ext uri="{FF2B5EF4-FFF2-40B4-BE49-F238E27FC236}">
              <a16:creationId xmlns:a16="http://schemas.microsoft.com/office/drawing/2014/main" id="{461B98BE-0245-4EE5-8FEC-1CE8F7905FC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35125" y="114411125"/>
          <a:ext cx="898071" cy="1079386"/>
        </a:xfrm>
        <a:prstGeom prst="rect">
          <a:avLst/>
        </a:prstGeom>
      </xdr:spPr>
    </xdr:pic>
    <xdr:clientData/>
  </xdr:oneCellAnchor>
  <xdr:oneCellAnchor>
    <xdr:from>
      <xdr:col>6</xdr:col>
      <xdr:colOff>0</xdr:colOff>
      <xdr:row>534</xdr:row>
      <xdr:rowOff>0</xdr:rowOff>
    </xdr:from>
    <xdr:ext cx="114300" cy="200025"/>
    <xdr:sp macro="" textlink="">
      <xdr:nvSpPr>
        <xdr:cNvPr id="653" name="Shape 3">
          <a:extLst>
            <a:ext uri="{FF2B5EF4-FFF2-40B4-BE49-F238E27FC236}">
              <a16:creationId xmlns:a16="http://schemas.microsoft.com/office/drawing/2014/main" id="{B486564B-8926-4543-8CB2-74292DCE975C}"/>
            </a:ext>
          </a:extLst>
        </xdr:cNvPr>
        <xdr:cNvSpPr txBox="1"/>
      </xdr:nvSpPr>
      <xdr:spPr>
        <a:xfrm>
          <a:off x="11144250" y="11544300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534</xdr:row>
      <xdr:rowOff>0</xdr:rowOff>
    </xdr:from>
    <xdr:ext cx="114300" cy="200025"/>
    <xdr:sp macro="" textlink="">
      <xdr:nvSpPr>
        <xdr:cNvPr id="654" name="Shape 3">
          <a:extLst>
            <a:ext uri="{FF2B5EF4-FFF2-40B4-BE49-F238E27FC236}">
              <a16:creationId xmlns:a16="http://schemas.microsoft.com/office/drawing/2014/main" id="{2908A684-4569-47E5-B12E-BBDECBBB4502}"/>
            </a:ext>
          </a:extLst>
        </xdr:cNvPr>
        <xdr:cNvSpPr txBox="1"/>
      </xdr:nvSpPr>
      <xdr:spPr>
        <a:xfrm>
          <a:off x="11144250" y="11544300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534</xdr:row>
      <xdr:rowOff>0</xdr:rowOff>
    </xdr:from>
    <xdr:ext cx="114300" cy="200025"/>
    <xdr:sp macro="" textlink="">
      <xdr:nvSpPr>
        <xdr:cNvPr id="655" name="Shape 3">
          <a:extLst>
            <a:ext uri="{FF2B5EF4-FFF2-40B4-BE49-F238E27FC236}">
              <a16:creationId xmlns:a16="http://schemas.microsoft.com/office/drawing/2014/main" id="{38C913B9-6F48-489C-8826-A69F57CD7FC9}"/>
            </a:ext>
          </a:extLst>
        </xdr:cNvPr>
        <xdr:cNvSpPr txBox="1"/>
      </xdr:nvSpPr>
      <xdr:spPr>
        <a:xfrm>
          <a:off x="11144250" y="11544300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492125</xdr:colOff>
      <xdr:row>528</xdr:row>
      <xdr:rowOff>142875</xdr:rowOff>
    </xdr:from>
    <xdr:ext cx="898071" cy="1079386"/>
    <xdr:pic>
      <xdr:nvPicPr>
        <xdr:cNvPr id="656" name="Imagen 655">
          <a:extLst>
            <a:ext uri="{FF2B5EF4-FFF2-40B4-BE49-F238E27FC236}">
              <a16:creationId xmlns:a16="http://schemas.microsoft.com/office/drawing/2014/main" id="{0D25BAA0-1691-4258-BB27-1AC1728B25A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35125" y="114411125"/>
          <a:ext cx="898071" cy="1079386"/>
        </a:xfrm>
        <a:prstGeom prst="rect">
          <a:avLst/>
        </a:prstGeom>
      </xdr:spPr>
    </xdr:pic>
    <xdr:clientData/>
  </xdr:oneCellAnchor>
  <xdr:oneCellAnchor>
    <xdr:from>
      <xdr:col>6</xdr:col>
      <xdr:colOff>0</xdr:colOff>
      <xdr:row>534</xdr:row>
      <xdr:rowOff>0</xdr:rowOff>
    </xdr:from>
    <xdr:ext cx="114300" cy="200025"/>
    <xdr:sp macro="" textlink="">
      <xdr:nvSpPr>
        <xdr:cNvPr id="657" name="Shape 3">
          <a:extLst>
            <a:ext uri="{FF2B5EF4-FFF2-40B4-BE49-F238E27FC236}">
              <a16:creationId xmlns:a16="http://schemas.microsoft.com/office/drawing/2014/main" id="{DFF598E9-0F24-4DB9-A97F-5C6A1DC2DC30}"/>
            </a:ext>
          </a:extLst>
        </xdr:cNvPr>
        <xdr:cNvSpPr txBox="1"/>
      </xdr:nvSpPr>
      <xdr:spPr>
        <a:xfrm>
          <a:off x="11144250" y="11544300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534</xdr:row>
      <xdr:rowOff>0</xdr:rowOff>
    </xdr:from>
    <xdr:ext cx="114300" cy="200025"/>
    <xdr:sp macro="" textlink="">
      <xdr:nvSpPr>
        <xdr:cNvPr id="658" name="Shape 3">
          <a:extLst>
            <a:ext uri="{FF2B5EF4-FFF2-40B4-BE49-F238E27FC236}">
              <a16:creationId xmlns:a16="http://schemas.microsoft.com/office/drawing/2014/main" id="{A753C4C1-0418-4988-BBCF-A1A711071EF3}"/>
            </a:ext>
          </a:extLst>
        </xdr:cNvPr>
        <xdr:cNvSpPr txBox="1"/>
      </xdr:nvSpPr>
      <xdr:spPr>
        <a:xfrm>
          <a:off x="11144250" y="11544300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534</xdr:row>
      <xdr:rowOff>0</xdr:rowOff>
    </xdr:from>
    <xdr:ext cx="114300" cy="200025"/>
    <xdr:sp macro="" textlink="">
      <xdr:nvSpPr>
        <xdr:cNvPr id="659" name="Shape 3">
          <a:extLst>
            <a:ext uri="{FF2B5EF4-FFF2-40B4-BE49-F238E27FC236}">
              <a16:creationId xmlns:a16="http://schemas.microsoft.com/office/drawing/2014/main" id="{951DCBA0-9404-4FDD-B09C-817808CAB7BD}"/>
            </a:ext>
          </a:extLst>
        </xdr:cNvPr>
        <xdr:cNvSpPr txBox="1"/>
      </xdr:nvSpPr>
      <xdr:spPr>
        <a:xfrm>
          <a:off x="11144250" y="11544300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534</xdr:row>
      <xdr:rowOff>0</xdr:rowOff>
    </xdr:from>
    <xdr:ext cx="114300" cy="200025"/>
    <xdr:sp macro="" textlink="">
      <xdr:nvSpPr>
        <xdr:cNvPr id="660" name="Shape 3">
          <a:extLst>
            <a:ext uri="{FF2B5EF4-FFF2-40B4-BE49-F238E27FC236}">
              <a16:creationId xmlns:a16="http://schemas.microsoft.com/office/drawing/2014/main" id="{E0367AC4-C557-40A3-ACFF-E165DC4887AD}"/>
            </a:ext>
          </a:extLst>
        </xdr:cNvPr>
        <xdr:cNvSpPr txBox="1"/>
      </xdr:nvSpPr>
      <xdr:spPr>
        <a:xfrm>
          <a:off x="11144250" y="11544300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534</xdr:row>
      <xdr:rowOff>0</xdr:rowOff>
    </xdr:from>
    <xdr:ext cx="114300" cy="200025"/>
    <xdr:sp macro="" textlink="">
      <xdr:nvSpPr>
        <xdr:cNvPr id="661" name="Shape 3">
          <a:extLst>
            <a:ext uri="{FF2B5EF4-FFF2-40B4-BE49-F238E27FC236}">
              <a16:creationId xmlns:a16="http://schemas.microsoft.com/office/drawing/2014/main" id="{F966DBF5-707A-4764-87E0-3428CD06633F}"/>
            </a:ext>
          </a:extLst>
        </xdr:cNvPr>
        <xdr:cNvSpPr txBox="1"/>
      </xdr:nvSpPr>
      <xdr:spPr>
        <a:xfrm>
          <a:off x="11144250" y="11544300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534</xdr:row>
      <xdr:rowOff>0</xdr:rowOff>
    </xdr:from>
    <xdr:ext cx="114300" cy="200025"/>
    <xdr:sp macro="" textlink="">
      <xdr:nvSpPr>
        <xdr:cNvPr id="662" name="Shape 3">
          <a:extLst>
            <a:ext uri="{FF2B5EF4-FFF2-40B4-BE49-F238E27FC236}">
              <a16:creationId xmlns:a16="http://schemas.microsoft.com/office/drawing/2014/main" id="{D20B0EB2-4496-4B4B-A966-12E8E3598CBC}"/>
            </a:ext>
          </a:extLst>
        </xdr:cNvPr>
        <xdr:cNvSpPr txBox="1"/>
      </xdr:nvSpPr>
      <xdr:spPr>
        <a:xfrm>
          <a:off x="11144250" y="11544300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534</xdr:row>
      <xdr:rowOff>0</xdr:rowOff>
    </xdr:from>
    <xdr:ext cx="114300" cy="200025"/>
    <xdr:sp macro="" textlink="">
      <xdr:nvSpPr>
        <xdr:cNvPr id="663" name="Shape 3">
          <a:extLst>
            <a:ext uri="{FF2B5EF4-FFF2-40B4-BE49-F238E27FC236}">
              <a16:creationId xmlns:a16="http://schemas.microsoft.com/office/drawing/2014/main" id="{B330F4FA-999F-484F-BD7A-FB18007E3BFA}"/>
            </a:ext>
          </a:extLst>
        </xdr:cNvPr>
        <xdr:cNvSpPr txBox="1"/>
      </xdr:nvSpPr>
      <xdr:spPr>
        <a:xfrm>
          <a:off x="11144250" y="11544300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534</xdr:row>
      <xdr:rowOff>0</xdr:rowOff>
    </xdr:from>
    <xdr:ext cx="114300" cy="200025"/>
    <xdr:sp macro="" textlink="">
      <xdr:nvSpPr>
        <xdr:cNvPr id="664" name="Shape 3">
          <a:extLst>
            <a:ext uri="{FF2B5EF4-FFF2-40B4-BE49-F238E27FC236}">
              <a16:creationId xmlns:a16="http://schemas.microsoft.com/office/drawing/2014/main" id="{9CAE6C1E-3B66-49A6-B13A-E62578F11DC5}"/>
            </a:ext>
          </a:extLst>
        </xdr:cNvPr>
        <xdr:cNvSpPr txBox="1"/>
      </xdr:nvSpPr>
      <xdr:spPr>
        <a:xfrm>
          <a:off x="11144250" y="115443000"/>
          <a:ext cx="114300" cy="2000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wsDr>
</file>

<file path=xl/drawings/drawing17.xml><?xml version="1.0" encoding="utf-8"?>
<xdr:wsDr xmlns:xdr="http://schemas.openxmlformats.org/drawingml/2006/spreadsheetDrawing" xmlns:a="http://schemas.openxmlformats.org/drawingml/2006/main">
  <xdr:twoCellAnchor>
    <xdr:from>
      <xdr:col>2</xdr:col>
      <xdr:colOff>758190</xdr:colOff>
      <xdr:row>2</xdr:row>
      <xdr:rowOff>0</xdr:rowOff>
    </xdr:from>
    <xdr:to>
      <xdr:col>3</xdr:col>
      <xdr:colOff>581797</xdr:colOff>
      <xdr:row>2</xdr:row>
      <xdr:rowOff>1267</xdr:rowOff>
    </xdr:to>
    <xdr:grpSp>
      <xdr:nvGrpSpPr>
        <xdr:cNvPr id="5" name="Grupo 4">
          <a:extLst>
            <a:ext uri="{FF2B5EF4-FFF2-40B4-BE49-F238E27FC236}">
              <a16:creationId xmlns:a16="http://schemas.microsoft.com/office/drawing/2014/main" id="{DD855908-6C56-4D10-A15C-3CD17AD484C6}"/>
            </a:ext>
          </a:extLst>
        </xdr:cNvPr>
        <xdr:cNvGrpSpPr/>
      </xdr:nvGrpSpPr>
      <xdr:grpSpPr>
        <a:xfrm>
          <a:off x="1399540" y="311150"/>
          <a:ext cx="4884557" cy="1267"/>
          <a:chOff x="1571625" y="857250"/>
          <a:chExt cx="4408942" cy="582292"/>
        </a:xfrm>
      </xdr:grpSpPr>
      <xdr:pic>
        <xdr:nvPicPr>
          <xdr:cNvPr id="6" name="Imagen 5">
            <a:extLst>
              <a:ext uri="{FF2B5EF4-FFF2-40B4-BE49-F238E27FC236}">
                <a16:creationId xmlns:a16="http://schemas.microsoft.com/office/drawing/2014/main" id="{1FD9806C-37B2-11A5-CC4E-CCB66A564D1C}"/>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35562"/>
          <a:stretch/>
        </xdr:blipFill>
        <xdr:spPr>
          <a:xfrm>
            <a:off x="1571625" y="857250"/>
            <a:ext cx="1171575" cy="572767"/>
          </a:xfrm>
          <a:prstGeom prst="rect">
            <a:avLst/>
          </a:prstGeom>
        </xdr:spPr>
      </xdr:pic>
      <xdr:pic>
        <xdr:nvPicPr>
          <xdr:cNvPr id="7" name="Imagen 6">
            <a:extLst>
              <a:ext uri="{FF2B5EF4-FFF2-40B4-BE49-F238E27FC236}">
                <a16:creationId xmlns:a16="http://schemas.microsoft.com/office/drawing/2014/main" id="{7F221A65-7BDB-4E1F-760A-5A4A32398C8A}"/>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9153"/>
          <a:stretch/>
        </xdr:blipFill>
        <xdr:spPr>
          <a:xfrm>
            <a:off x="5419725" y="866775"/>
            <a:ext cx="560842" cy="572767"/>
          </a:xfrm>
          <a:prstGeom prst="rect">
            <a:avLst/>
          </a:prstGeom>
        </xdr:spPr>
      </xdr:pic>
      <xdr:pic>
        <xdr:nvPicPr>
          <xdr:cNvPr id="8" name="Imagen 7">
            <a:extLst>
              <a:ext uri="{FF2B5EF4-FFF2-40B4-BE49-F238E27FC236}">
                <a16:creationId xmlns:a16="http://schemas.microsoft.com/office/drawing/2014/main" id="{B25234FF-4368-7D8C-B85B-B7F335D740A7}"/>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64438" r="30323"/>
          <a:stretch/>
        </xdr:blipFill>
        <xdr:spPr>
          <a:xfrm>
            <a:off x="3857624" y="866775"/>
            <a:ext cx="95251" cy="572767"/>
          </a:xfrm>
          <a:prstGeom prst="rect">
            <a:avLst/>
          </a:prstGeom>
        </xdr:spPr>
      </xdr:pic>
    </xdr:grpSp>
    <xdr:clientData/>
  </xdr:twoCellAnchor>
  <xdr:twoCellAnchor>
    <xdr:from>
      <xdr:col>2</xdr:col>
      <xdr:colOff>758190</xdr:colOff>
      <xdr:row>2</xdr:row>
      <xdr:rowOff>0</xdr:rowOff>
    </xdr:from>
    <xdr:to>
      <xdr:col>3</xdr:col>
      <xdr:colOff>581797</xdr:colOff>
      <xdr:row>2</xdr:row>
      <xdr:rowOff>1267</xdr:rowOff>
    </xdr:to>
    <xdr:grpSp>
      <xdr:nvGrpSpPr>
        <xdr:cNvPr id="12" name="Grupo 11">
          <a:extLst>
            <a:ext uri="{FF2B5EF4-FFF2-40B4-BE49-F238E27FC236}">
              <a16:creationId xmlns:a16="http://schemas.microsoft.com/office/drawing/2014/main" id="{AF1225FE-451A-4E3E-A367-FD27F4A9D19D}"/>
            </a:ext>
          </a:extLst>
        </xdr:cNvPr>
        <xdr:cNvGrpSpPr/>
      </xdr:nvGrpSpPr>
      <xdr:grpSpPr>
        <a:xfrm>
          <a:off x="1399540" y="311150"/>
          <a:ext cx="4884557" cy="1267"/>
          <a:chOff x="1571625" y="857250"/>
          <a:chExt cx="4408942" cy="582292"/>
        </a:xfrm>
      </xdr:grpSpPr>
      <xdr:pic>
        <xdr:nvPicPr>
          <xdr:cNvPr id="13" name="Imagen 12">
            <a:extLst>
              <a:ext uri="{FF2B5EF4-FFF2-40B4-BE49-F238E27FC236}">
                <a16:creationId xmlns:a16="http://schemas.microsoft.com/office/drawing/2014/main" id="{C7119A2C-8B10-5E19-5B2A-DA082132332C}"/>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35562"/>
          <a:stretch/>
        </xdr:blipFill>
        <xdr:spPr>
          <a:xfrm>
            <a:off x="1571625" y="857250"/>
            <a:ext cx="1171575" cy="572767"/>
          </a:xfrm>
          <a:prstGeom prst="rect">
            <a:avLst/>
          </a:prstGeom>
        </xdr:spPr>
      </xdr:pic>
      <xdr:pic>
        <xdr:nvPicPr>
          <xdr:cNvPr id="14" name="Imagen 13">
            <a:extLst>
              <a:ext uri="{FF2B5EF4-FFF2-40B4-BE49-F238E27FC236}">
                <a16:creationId xmlns:a16="http://schemas.microsoft.com/office/drawing/2014/main" id="{8B8B30EA-B7AD-9497-CB28-99A9265D3B04}"/>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9153"/>
          <a:stretch/>
        </xdr:blipFill>
        <xdr:spPr>
          <a:xfrm>
            <a:off x="5419725" y="866775"/>
            <a:ext cx="560842" cy="572767"/>
          </a:xfrm>
          <a:prstGeom prst="rect">
            <a:avLst/>
          </a:prstGeom>
        </xdr:spPr>
      </xdr:pic>
      <xdr:pic>
        <xdr:nvPicPr>
          <xdr:cNvPr id="15" name="Imagen 14">
            <a:extLst>
              <a:ext uri="{FF2B5EF4-FFF2-40B4-BE49-F238E27FC236}">
                <a16:creationId xmlns:a16="http://schemas.microsoft.com/office/drawing/2014/main" id="{17397922-D1AA-A95B-0DE8-736FF30F422A}"/>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64438" r="30323"/>
          <a:stretch/>
        </xdr:blipFill>
        <xdr:spPr>
          <a:xfrm>
            <a:off x="3857624" y="866775"/>
            <a:ext cx="95251" cy="572767"/>
          </a:xfrm>
          <a:prstGeom prst="rect">
            <a:avLst/>
          </a:prstGeom>
        </xdr:spPr>
      </xdr:pic>
    </xdr:grpSp>
    <xdr:clientData/>
  </xdr:twoCellAnchor>
</xdr:wsDr>
</file>

<file path=xl/drawings/drawing18.xml><?xml version="1.0" encoding="utf-8"?>
<xdr:wsDr xmlns:xdr="http://schemas.openxmlformats.org/drawingml/2006/spreadsheetDrawing" xmlns:a="http://schemas.openxmlformats.org/drawingml/2006/main">
  <xdr:twoCellAnchor editAs="oneCell">
    <xdr:from>
      <xdr:col>1</xdr:col>
      <xdr:colOff>938893</xdr:colOff>
      <xdr:row>1</xdr:row>
      <xdr:rowOff>108857</xdr:rowOff>
    </xdr:from>
    <xdr:to>
      <xdr:col>1</xdr:col>
      <xdr:colOff>1836964</xdr:colOff>
      <xdr:row>5</xdr:row>
      <xdr:rowOff>342899</xdr:rowOff>
    </xdr:to>
    <xdr:pic>
      <xdr:nvPicPr>
        <xdr:cNvPr id="2" name="Imagen 1">
          <a:extLst>
            <a:ext uri="{FF2B5EF4-FFF2-40B4-BE49-F238E27FC236}">
              <a16:creationId xmlns:a16="http://schemas.microsoft.com/office/drawing/2014/main" id="{1531526D-B721-4AB9-8476-550E048BC72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81768" y="308882"/>
          <a:ext cx="898071" cy="1081767"/>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1</xdr:col>
      <xdr:colOff>938893</xdr:colOff>
      <xdr:row>1</xdr:row>
      <xdr:rowOff>108857</xdr:rowOff>
    </xdr:from>
    <xdr:to>
      <xdr:col>1</xdr:col>
      <xdr:colOff>1836964</xdr:colOff>
      <xdr:row>5</xdr:row>
      <xdr:rowOff>342899</xdr:rowOff>
    </xdr:to>
    <xdr:pic>
      <xdr:nvPicPr>
        <xdr:cNvPr id="2" name="Imagen 1">
          <a:extLst>
            <a:ext uri="{FF2B5EF4-FFF2-40B4-BE49-F238E27FC236}">
              <a16:creationId xmlns:a16="http://schemas.microsoft.com/office/drawing/2014/main" id="{D3B0B782-6251-4D6F-B500-F1E2922761F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81768" y="308882"/>
          <a:ext cx="898071" cy="1081767"/>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1</xdr:col>
      <xdr:colOff>938893</xdr:colOff>
      <xdr:row>1</xdr:row>
      <xdr:rowOff>108857</xdr:rowOff>
    </xdr:from>
    <xdr:to>
      <xdr:col>1</xdr:col>
      <xdr:colOff>1836964</xdr:colOff>
      <xdr:row>5</xdr:row>
      <xdr:rowOff>342899</xdr:rowOff>
    </xdr:to>
    <xdr:pic>
      <xdr:nvPicPr>
        <xdr:cNvPr id="2" name="Imagen 1">
          <a:extLst>
            <a:ext uri="{FF2B5EF4-FFF2-40B4-BE49-F238E27FC236}">
              <a16:creationId xmlns:a16="http://schemas.microsoft.com/office/drawing/2014/main" id="{24786CFD-2A7E-4072-A671-3AAD6CC0794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81768" y="308882"/>
          <a:ext cx="898071" cy="1081767"/>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oneCellAnchor>
    <xdr:from>
      <xdr:col>1</xdr:col>
      <xdr:colOff>869042</xdr:colOff>
      <xdr:row>1</xdr:row>
      <xdr:rowOff>135616</xdr:rowOff>
    </xdr:from>
    <xdr:ext cx="1057730" cy="1128114"/>
    <xdr:pic>
      <xdr:nvPicPr>
        <xdr:cNvPr id="2" name="Imagen 1">
          <a:extLst>
            <a:ext uri="{FF2B5EF4-FFF2-40B4-BE49-F238E27FC236}">
              <a16:creationId xmlns:a16="http://schemas.microsoft.com/office/drawing/2014/main" id="{B4C54195-3D61-4029-845B-3AFCEC47FA1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11917" y="335641"/>
          <a:ext cx="1057730" cy="1128114"/>
        </a:xfrm>
        <a:prstGeom prst="rect">
          <a:avLst/>
        </a:prstGeom>
      </xdr:spPr>
    </xdr:pic>
    <xdr:clientData/>
  </xdr:oneCellAnchor>
  <xdr:oneCellAnchor>
    <xdr:from>
      <xdr:col>1</xdr:col>
      <xdr:colOff>869042</xdr:colOff>
      <xdr:row>39</xdr:row>
      <xdr:rowOff>135616</xdr:rowOff>
    </xdr:from>
    <xdr:ext cx="1057730" cy="1128114"/>
    <xdr:pic>
      <xdr:nvPicPr>
        <xdr:cNvPr id="3" name="Imagen 2">
          <a:extLst>
            <a:ext uri="{FF2B5EF4-FFF2-40B4-BE49-F238E27FC236}">
              <a16:creationId xmlns:a16="http://schemas.microsoft.com/office/drawing/2014/main" id="{605C019C-8D8C-4E72-AC5B-ED61DC21F2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11917" y="11317966"/>
          <a:ext cx="1057730" cy="1128114"/>
        </a:xfrm>
        <a:prstGeom prst="rect">
          <a:avLst/>
        </a:prstGeom>
      </xdr:spPr>
    </xdr:pic>
    <xdr:clientData/>
  </xdr:oneCellAnchor>
  <xdr:oneCellAnchor>
    <xdr:from>
      <xdr:col>1</xdr:col>
      <xdr:colOff>869042</xdr:colOff>
      <xdr:row>73</xdr:row>
      <xdr:rowOff>135616</xdr:rowOff>
    </xdr:from>
    <xdr:ext cx="1057730" cy="1128114"/>
    <xdr:pic>
      <xdr:nvPicPr>
        <xdr:cNvPr id="4" name="Imagen 3">
          <a:extLst>
            <a:ext uri="{FF2B5EF4-FFF2-40B4-BE49-F238E27FC236}">
              <a16:creationId xmlns:a16="http://schemas.microsoft.com/office/drawing/2014/main" id="{237AA26F-5414-4EA3-9778-44ACDEEB11B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11917" y="20185741"/>
          <a:ext cx="1057730" cy="1128114"/>
        </a:xfrm>
        <a:prstGeom prst="rect">
          <a:avLst/>
        </a:prstGeom>
      </xdr:spPr>
    </xdr:pic>
    <xdr:clientData/>
  </xdr:oneCellAnchor>
  <xdr:oneCellAnchor>
    <xdr:from>
      <xdr:col>1</xdr:col>
      <xdr:colOff>869042</xdr:colOff>
      <xdr:row>108</xdr:row>
      <xdr:rowOff>135616</xdr:rowOff>
    </xdr:from>
    <xdr:ext cx="1057730" cy="1128114"/>
    <xdr:pic>
      <xdr:nvPicPr>
        <xdr:cNvPr id="5" name="Imagen 4">
          <a:extLst>
            <a:ext uri="{FF2B5EF4-FFF2-40B4-BE49-F238E27FC236}">
              <a16:creationId xmlns:a16="http://schemas.microsoft.com/office/drawing/2014/main" id="{129D6B38-48DB-4EE4-B523-D3ECE20512B0}"/>
            </a:ext>
          </a:extLst>
        </xdr:cNvPr>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1011917" y="28482016"/>
          <a:ext cx="1057730" cy="1128114"/>
        </a:xfrm>
        <a:prstGeom prst="rect">
          <a:avLst/>
        </a:prstGeom>
      </xdr:spPr>
    </xdr:pic>
    <xdr:clientData/>
  </xdr:oneCellAnchor>
  <xdr:oneCellAnchor>
    <xdr:from>
      <xdr:col>1</xdr:col>
      <xdr:colOff>847271</xdr:colOff>
      <xdr:row>141</xdr:row>
      <xdr:rowOff>135616</xdr:rowOff>
    </xdr:from>
    <xdr:ext cx="1057730" cy="1128114"/>
    <xdr:pic>
      <xdr:nvPicPr>
        <xdr:cNvPr id="6" name="Imagen 5">
          <a:extLst>
            <a:ext uri="{FF2B5EF4-FFF2-40B4-BE49-F238E27FC236}">
              <a16:creationId xmlns:a16="http://schemas.microsoft.com/office/drawing/2014/main" id="{74081C1D-F3AD-471B-A6D5-0861683FD6A8}"/>
            </a:ext>
          </a:extLst>
        </xdr:cNvPr>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990146" y="36321091"/>
          <a:ext cx="1057730" cy="1128114"/>
        </a:xfrm>
        <a:prstGeom prst="rect">
          <a:avLst/>
        </a:prstGeom>
      </xdr:spPr>
    </xdr:pic>
    <xdr:clientData/>
  </xdr:oneCellAnchor>
  <xdr:oneCellAnchor>
    <xdr:from>
      <xdr:col>1</xdr:col>
      <xdr:colOff>847271</xdr:colOff>
      <xdr:row>172</xdr:row>
      <xdr:rowOff>135616</xdr:rowOff>
    </xdr:from>
    <xdr:ext cx="1057730" cy="1128114"/>
    <xdr:pic>
      <xdr:nvPicPr>
        <xdr:cNvPr id="7" name="Imagen 6">
          <a:extLst>
            <a:ext uri="{FF2B5EF4-FFF2-40B4-BE49-F238E27FC236}">
              <a16:creationId xmlns:a16="http://schemas.microsoft.com/office/drawing/2014/main" id="{3B30DE68-3AE2-4118-A0F8-6741CD067F75}"/>
            </a:ext>
          </a:extLst>
        </xdr:cNvPr>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990146" y="43236241"/>
          <a:ext cx="1057730" cy="1128114"/>
        </a:xfrm>
        <a:prstGeom prst="rect">
          <a:avLst/>
        </a:prstGeom>
      </xdr:spPr>
    </xdr:pic>
    <xdr:clientData/>
  </xdr:oneCellAnchor>
  <xdr:oneCellAnchor>
    <xdr:from>
      <xdr:col>1</xdr:col>
      <xdr:colOff>847271</xdr:colOff>
      <xdr:row>203</xdr:row>
      <xdr:rowOff>135616</xdr:rowOff>
    </xdr:from>
    <xdr:ext cx="1057730" cy="1128114"/>
    <xdr:pic>
      <xdr:nvPicPr>
        <xdr:cNvPr id="8" name="Imagen 7">
          <a:extLst>
            <a:ext uri="{FF2B5EF4-FFF2-40B4-BE49-F238E27FC236}">
              <a16:creationId xmlns:a16="http://schemas.microsoft.com/office/drawing/2014/main" id="{23676246-686F-427F-8BC6-07B9A449CAE3}"/>
            </a:ext>
          </a:extLst>
        </xdr:cNvPr>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990146" y="50637166"/>
          <a:ext cx="1057730" cy="1128114"/>
        </a:xfrm>
        <a:prstGeom prst="rect">
          <a:avLst/>
        </a:prstGeom>
      </xdr:spPr>
    </xdr:pic>
    <xdr:clientData/>
  </xdr:oneCellAnchor>
  <xdr:oneCellAnchor>
    <xdr:from>
      <xdr:col>1</xdr:col>
      <xdr:colOff>934356</xdr:colOff>
      <xdr:row>238</xdr:row>
      <xdr:rowOff>92073</xdr:rowOff>
    </xdr:from>
    <xdr:ext cx="1057730" cy="1128114"/>
    <xdr:pic>
      <xdr:nvPicPr>
        <xdr:cNvPr id="9" name="Imagen 8">
          <a:extLst>
            <a:ext uri="{FF2B5EF4-FFF2-40B4-BE49-F238E27FC236}">
              <a16:creationId xmlns:a16="http://schemas.microsoft.com/office/drawing/2014/main" id="{A5797825-EF04-4A0B-9D7C-1A3278B251AC}"/>
            </a:ext>
          </a:extLst>
        </xdr:cNvPr>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1077231" y="59251848"/>
          <a:ext cx="1057730" cy="1128114"/>
        </a:xfrm>
        <a:prstGeom prst="rect">
          <a:avLst/>
        </a:prstGeom>
      </xdr:spPr>
    </xdr:pic>
    <xdr:clientData/>
  </xdr:oneCellAnchor>
  <xdr:oneCellAnchor>
    <xdr:from>
      <xdr:col>1</xdr:col>
      <xdr:colOff>934356</xdr:colOff>
      <xdr:row>272</xdr:row>
      <xdr:rowOff>92073</xdr:rowOff>
    </xdr:from>
    <xdr:ext cx="1057730" cy="1128114"/>
    <xdr:pic>
      <xdr:nvPicPr>
        <xdr:cNvPr id="10" name="Imagen 9">
          <a:extLst>
            <a:ext uri="{FF2B5EF4-FFF2-40B4-BE49-F238E27FC236}">
              <a16:creationId xmlns:a16="http://schemas.microsoft.com/office/drawing/2014/main" id="{D7D2E036-18CD-499A-B35B-CBECC3D0755A}"/>
            </a:ext>
          </a:extLst>
        </xdr:cNvPr>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1077231" y="67767198"/>
          <a:ext cx="1057730" cy="1128114"/>
        </a:xfrm>
        <a:prstGeom prst="rect">
          <a:avLst/>
        </a:prstGeom>
      </xdr:spPr>
    </xdr:pic>
    <xdr:clientData/>
  </xdr:oneCellAnchor>
  <xdr:oneCellAnchor>
    <xdr:from>
      <xdr:col>1</xdr:col>
      <xdr:colOff>934356</xdr:colOff>
      <xdr:row>307</xdr:row>
      <xdr:rowOff>92073</xdr:rowOff>
    </xdr:from>
    <xdr:ext cx="1057730" cy="1128114"/>
    <xdr:pic>
      <xdr:nvPicPr>
        <xdr:cNvPr id="11" name="Imagen 10">
          <a:extLst>
            <a:ext uri="{FF2B5EF4-FFF2-40B4-BE49-F238E27FC236}">
              <a16:creationId xmlns:a16="http://schemas.microsoft.com/office/drawing/2014/main" id="{B136D37D-9EE7-4E5A-83BA-6F82E1D03970}"/>
            </a:ext>
          </a:extLst>
        </xdr:cNvPr>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1077231" y="76492098"/>
          <a:ext cx="1057730" cy="1128114"/>
        </a:xfrm>
        <a:prstGeom prst="rect">
          <a:avLst/>
        </a:prstGeom>
      </xdr:spPr>
    </xdr:pic>
    <xdr:clientData/>
  </xdr:oneCellAnchor>
  <xdr:oneCellAnchor>
    <xdr:from>
      <xdr:col>1</xdr:col>
      <xdr:colOff>934356</xdr:colOff>
      <xdr:row>339</xdr:row>
      <xdr:rowOff>92073</xdr:rowOff>
    </xdr:from>
    <xdr:ext cx="1057730" cy="1128114"/>
    <xdr:pic>
      <xdr:nvPicPr>
        <xdr:cNvPr id="12" name="Imagen 11">
          <a:extLst>
            <a:ext uri="{FF2B5EF4-FFF2-40B4-BE49-F238E27FC236}">
              <a16:creationId xmlns:a16="http://schemas.microsoft.com/office/drawing/2014/main" id="{B2F0AC6F-799A-438D-8401-F5987B9FCF27}"/>
            </a:ext>
          </a:extLst>
        </xdr:cNvPr>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1077231" y="83721573"/>
          <a:ext cx="1057730" cy="1128114"/>
        </a:xfrm>
        <a:prstGeom prst="rect">
          <a:avLst/>
        </a:prstGeom>
      </xdr:spPr>
    </xdr:pic>
    <xdr:clientData/>
  </xdr:oneCellAnchor>
  <xdr:oneCellAnchor>
    <xdr:from>
      <xdr:col>1</xdr:col>
      <xdr:colOff>934356</xdr:colOff>
      <xdr:row>375</xdr:row>
      <xdr:rowOff>92073</xdr:rowOff>
    </xdr:from>
    <xdr:ext cx="1057730" cy="1128114"/>
    <xdr:pic>
      <xdr:nvPicPr>
        <xdr:cNvPr id="13" name="Imagen 12">
          <a:extLst>
            <a:ext uri="{FF2B5EF4-FFF2-40B4-BE49-F238E27FC236}">
              <a16:creationId xmlns:a16="http://schemas.microsoft.com/office/drawing/2014/main" id="{CAFAC3FA-B1FD-44A7-8A08-E28678D791BF}"/>
            </a:ext>
          </a:extLst>
        </xdr:cNvPr>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1077231" y="93208473"/>
          <a:ext cx="1057730" cy="1128114"/>
        </a:xfrm>
        <a:prstGeom prst="rect">
          <a:avLst/>
        </a:prstGeom>
      </xdr:spPr>
    </xdr:pic>
    <xdr:clientData/>
  </xdr:oneCellAnchor>
  <xdr:oneCellAnchor>
    <xdr:from>
      <xdr:col>1</xdr:col>
      <xdr:colOff>934356</xdr:colOff>
      <xdr:row>410</xdr:row>
      <xdr:rowOff>92073</xdr:rowOff>
    </xdr:from>
    <xdr:ext cx="1057730" cy="1128114"/>
    <xdr:pic>
      <xdr:nvPicPr>
        <xdr:cNvPr id="14" name="Imagen 13">
          <a:extLst>
            <a:ext uri="{FF2B5EF4-FFF2-40B4-BE49-F238E27FC236}">
              <a16:creationId xmlns:a16="http://schemas.microsoft.com/office/drawing/2014/main" id="{A162B76D-7762-4D88-856E-99478761C1A7}"/>
            </a:ext>
          </a:extLst>
        </xdr:cNvPr>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1077231" y="102152448"/>
          <a:ext cx="1057730" cy="1128114"/>
        </a:xfrm>
        <a:prstGeom prst="rect">
          <a:avLst/>
        </a:prstGeom>
      </xdr:spPr>
    </xdr:pic>
    <xdr:clientData/>
  </xdr:oneCellAnchor>
  <xdr:oneCellAnchor>
    <xdr:from>
      <xdr:col>1</xdr:col>
      <xdr:colOff>934356</xdr:colOff>
      <xdr:row>448</xdr:row>
      <xdr:rowOff>92073</xdr:rowOff>
    </xdr:from>
    <xdr:ext cx="1057730" cy="1128114"/>
    <xdr:pic>
      <xdr:nvPicPr>
        <xdr:cNvPr id="15" name="Imagen 14">
          <a:extLst>
            <a:ext uri="{FF2B5EF4-FFF2-40B4-BE49-F238E27FC236}">
              <a16:creationId xmlns:a16="http://schemas.microsoft.com/office/drawing/2014/main" id="{A5645ED2-F276-430C-8EB0-D931D365C291}"/>
            </a:ext>
          </a:extLst>
        </xdr:cNvPr>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1077231" y="111801273"/>
          <a:ext cx="1057730" cy="1128114"/>
        </a:xfrm>
        <a:prstGeom prst="rect">
          <a:avLst/>
        </a:prstGeom>
      </xdr:spPr>
    </xdr:pic>
    <xdr:clientData/>
  </xdr:oneCellAnchor>
  <xdr:oneCellAnchor>
    <xdr:from>
      <xdr:col>1</xdr:col>
      <xdr:colOff>934356</xdr:colOff>
      <xdr:row>479</xdr:row>
      <xdr:rowOff>92073</xdr:rowOff>
    </xdr:from>
    <xdr:ext cx="1057730" cy="1128114"/>
    <xdr:pic>
      <xdr:nvPicPr>
        <xdr:cNvPr id="16" name="Imagen 15">
          <a:extLst>
            <a:ext uri="{FF2B5EF4-FFF2-40B4-BE49-F238E27FC236}">
              <a16:creationId xmlns:a16="http://schemas.microsoft.com/office/drawing/2014/main" id="{50A1AD32-7AED-45CD-8F3C-85FF4D9F39B3}"/>
            </a:ext>
          </a:extLst>
        </xdr:cNvPr>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1077231" y="118954548"/>
          <a:ext cx="1057730" cy="1128114"/>
        </a:xfrm>
        <a:prstGeom prst="rect">
          <a:avLst/>
        </a:prstGeom>
      </xdr:spPr>
    </xdr:pic>
    <xdr:clientData/>
  </xdr:oneCellAnchor>
  <xdr:oneCellAnchor>
    <xdr:from>
      <xdr:col>1</xdr:col>
      <xdr:colOff>934356</xdr:colOff>
      <xdr:row>516</xdr:row>
      <xdr:rowOff>92073</xdr:rowOff>
    </xdr:from>
    <xdr:ext cx="1057730" cy="1128114"/>
    <xdr:pic>
      <xdr:nvPicPr>
        <xdr:cNvPr id="17" name="Imagen 16">
          <a:extLst>
            <a:ext uri="{FF2B5EF4-FFF2-40B4-BE49-F238E27FC236}">
              <a16:creationId xmlns:a16="http://schemas.microsoft.com/office/drawing/2014/main" id="{FBAB5523-35C0-4727-8BB0-9E36A74012A1}"/>
            </a:ext>
          </a:extLst>
        </xdr:cNvPr>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1077231" y="127927098"/>
          <a:ext cx="1057730" cy="1128114"/>
        </a:xfrm>
        <a:prstGeom prst="rect">
          <a:avLst/>
        </a:prstGeom>
      </xdr:spPr>
    </xdr:pic>
    <xdr:clientData/>
  </xdr:oneCellAnchor>
  <xdr:oneCellAnchor>
    <xdr:from>
      <xdr:col>1</xdr:col>
      <xdr:colOff>934356</xdr:colOff>
      <xdr:row>559</xdr:row>
      <xdr:rowOff>92073</xdr:rowOff>
    </xdr:from>
    <xdr:ext cx="1057730" cy="1128114"/>
    <xdr:pic>
      <xdr:nvPicPr>
        <xdr:cNvPr id="18" name="Imagen 17">
          <a:extLst>
            <a:ext uri="{FF2B5EF4-FFF2-40B4-BE49-F238E27FC236}">
              <a16:creationId xmlns:a16="http://schemas.microsoft.com/office/drawing/2014/main" id="{6CAE204A-40F6-4CAA-BD2D-994666C91570}"/>
            </a:ext>
          </a:extLst>
        </xdr:cNvPr>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1077231" y="138623673"/>
          <a:ext cx="1057730" cy="1128114"/>
        </a:xfrm>
        <a:prstGeom prst="rect">
          <a:avLst/>
        </a:prstGeom>
      </xdr:spPr>
    </xdr:pic>
    <xdr:clientData/>
  </xdr:oneCellAnchor>
  <xdr:oneCellAnchor>
    <xdr:from>
      <xdr:col>1</xdr:col>
      <xdr:colOff>934356</xdr:colOff>
      <xdr:row>601</xdr:row>
      <xdr:rowOff>92073</xdr:rowOff>
    </xdr:from>
    <xdr:ext cx="1057730" cy="1128114"/>
    <xdr:pic>
      <xdr:nvPicPr>
        <xdr:cNvPr id="19" name="Imagen 18">
          <a:extLst>
            <a:ext uri="{FF2B5EF4-FFF2-40B4-BE49-F238E27FC236}">
              <a16:creationId xmlns:a16="http://schemas.microsoft.com/office/drawing/2014/main" id="{00146F78-3619-4F67-8532-B61657EAFC53}"/>
            </a:ext>
          </a:extLst>
        </xdr:cNvPr>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1077231" y="149682198"/>
          <a:ext cx="1057730" cy="1128114"/>
        </a:xfrm>
        <a:prstGeom prst="rect">
          <a:avLst/>
        </a:prstGeom>
      </xdr:spPr>
    </xdr:pic>
    <xdr:clientData/>
  </xdr:oneCellAnchor>
  <xdr:oneCellAnchor>
    <xdr:from>
      <xdr:col>1</xdr:col>
      <xdr:colOff>934356</xdr:colOff>
      <xdr:row>652</xdr:row>
      <xdr:rowOff>92073</xdr:rowOff>
    </xdr:from>
    <xdr:ext cx="1057730" cy="1128114"/>
    <xdr:pic>
      <xdr:nvPicPr>
        <xdr:cNvPr id="20" name="Imagen 19">
          <a:extLst>
            <a:ext uri="{FF2B5EF4-FFF2-40B4-BE49-F238E27FC236}">
              <a16:creationId xmlns:a16="http://schemas.microsoft.com/office/drawing/2014/main" id="{619CE2E6-24BB-4E78-9418-2AEC39F34F8E}"/>
            </a:ext>
          </a:extLst>
        </xdr:cNvPr>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1077231" y="162760023"/>
          <a:ext cx="1057730" cy="1128114"/>
        </a:xfrm>
        <a:prstGeom prst="rect">
          <a:avLst/>
        </a:prstGeom>
      </xdr:spPr>
    </xdr:pic>
    <xdr:clientData/>
  </xdr:oneCellAnchor>
  <xdr:oneCellAnchor>
    <xdr:from>
      <xdr:col>1</xdr:col>
      <xdr:colOff>934356</xdr:colOff>
      <xdr:row>687</xdr:row>
      <xdr:rowOff>92073</xdr:rowOff>
    </xdr:from>
    <xdr:ext cx="1057730" cy="1128114"/>
    <xdr:pic>
      <xdr:nvPicPr>
        <xdr:cNvPr id="21" name="Imagen 20">
          <a:extLst>
            <a:ext uri="{FF2B5EF4-FFF2-40B4-BE49-F238E27FC236}">
              <a16:creationId xmlns:a16="http://schemas.microsoft.com/office/drawing/2014/main" id="{3A246BB5-8322-4C12-8D30-F24061D2D076}"/>
            </a:ext>
          </a:extLst>
        </xdr:cNvPr>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1077231" y="170713398"/>
          <a:ext cx="1057730" cy="1128114"/>
        </a:xfrm>
        <a:prstGeom prst="rect">
          <a:avLst/>
        </a:prstGeom>
      </xdr:spPr>
    </xdr:pic>
    <xdr:clientData/>
  </xdr:oneCellAnchor>
  <xdr:oneCellAnchor>
    <xdr:from>
      <xdr:col>1</xdr:col>
      <xdr:colOff>934356</xdr:colOff>
      <xdr:row>721</xdr:row>
      <xdr:rowOff>92073</xdr:rowOff>
    </xdr:from>
    <xdr:ext cx="1057730" cy="1128114"/>
    <xdr:pic>
      <xdr:nvPicPr>
        <xdr:cNvPr id="22" name="Imagen 21">
          <a:extLst>
            <a:ext uri="{FF2B5EF4-FFF2-40B4-BE49-F238E27FC236}">
              <a16:creationId xmlns:a16="http://schemas.microsoft.com/office/drawing/2014/main" id="{6A0D5ECA-185A-4F42-ACCE-D20BE62D0FDB}"/>
            </a:ext>
          </a:extLst>
        </xdr:cNvPr>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1077231" y="178028598"/>
          <a:ext cx="1057730" cy="1128114"/>
        </a:xfrm>
        <a:prstGeom prst="rect">
          <a:avLst/>
        </a:prstGeom>
      </xdr:spPr>
    </xdr:pic>
    <xdr:clientData/>
  </xdr:oneCellAnchor>
  <xdr:oneCellAnchor>
    <xdr:from>
      <xdr:col>1</xdr:col>
      <xdr:colOff>934356</xdr:colOff>
      <xdr:row>758</xdr:row>
      <xdr:rowOff>92073</xdr:rowOff>
    </xdr:from>
    <xdr:ext cx="1057730" cy="1128114"/>
    <xdr:pic>
      <xdr:nvPicPr>
        <xdr:cNvPr id="23" name="Imagen 22">
          <a:extLst>
            <a:ext uri="{FF2B5EF4-FFF2-40B4-BE49-F238E27FC236}">
              <a16:creationId xmlns:a16="http://schemas.microsoft.com/office/drawing/2014/main" id="{B7A4FD46-0430-4D5F-ACDA-5CCF88A70989}"/>
            </a:ext>
          </a:extLst>
        </xdr:cNvPr>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1077231" y="186763023"/>
          <a:ext cx="1057730" cy="1128114"/>
        </a:xfrm>
        <a:prstGeom prst="rect">
          <a:avLst/>
        </a:prstGeom>
      </xdr:spPr>
    </xdr:pic>
    <xdr:clientData/>
  </xdr:oneCellAnchor>
  <xdr:oneCellAnchor>
    <xdr:from>
      <xdr:col>1</xdr:col>
      <xdr:colOff>934356</xdr:colOff>
      <xdr:row>796</xdr:row>
      <xdr:rowOff>92073</xdr:rowOff>
    </xdr:from>
    <xdr:ext cx="1057730" cy="1128114"/>
    <xdr:pic>
      <xdr:nvPicPr>
        <xdr:cNvPr id="24" name="Imagen 23">
          <a:extLst>
            <a:ext uri="{FF2B5EF4-FFF2-40B4-BE49-F238E27FC236}">
              <a16:creationId xmlns:a16="http://schemas.microsoft.com/office/drawing/2014/main" id="{89849BE0-4740-4F34-8E64-210F31A48FFB}"/>
            </a:ext>
          </a:extLst>
        </xdr:cNvPr>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1077231" y="195440298"/>
          <a:ext cx="1057730" cy="1128114"/>
        </a:xfrm>
        <a:prstGeom prst="rect">
          <a:avLst/>
        </a:prstGeom>
      </xdr:spPr>
    </xdr:pic>
    <xdr:clientData/>
  </xdr:oneCellAnchor>
  <xdr:oneCellAnchor>
    <xdr:from>
      <xdr:col>1</xdr:col>
      <xdr:colOff>934356</xdr:colOff>
      <xdr:row>833</xdr:row>
      <xdr:rowOff>92073</xdr:rowOff>
    </xdr:from>
    <xdr:ext cx="1057730" cy="1128114"/>
    <xdr:pic>
      <xdr:nvPicPr>
        <xdr:cNvPr id="25" name="Imagen 24">
          <a:extLst>
            <a:ext uri="{FF2B5EF4-FFF2-40B4-BE49-F238E27FC236}">
              <a16:creationId xmlns:a16="http://schemas.microsoft.com/office/drawing/2014/main" id="{40C9C695-245A-4941-B41B-4540F5DB6326}"/>
            </a:ext>
          </a:extLst>
        </xdr:cNvPr>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1077231" y="203612748"/>
          <a:ext cx="1057730" cy="1128114"/>
        </a:xfrm>
        <a:prstGeom prst="rect">
          <a:avLst/>
        </a:prstGeom>
      </xdr:spPr>
    </xdr:pic>
    <xdr:clientData/>
  </xdr:oneCellAnchor>
  <xdr:oneCellAnchor>
    <xdr:from>
      <xdr:col>1</xdr:col>
      <xdr:colOff>934356</xdr:colOff>
      <xdr:row>870</xdr:row>
      <xdr:rowOff>92073</xdr:rowOff>
    </xdr:from>
    <xdr:ext cx="1057730" cy="1128114"/>
    <xdr:pic>
      <xdr:nvPicPr>
        <xdr:cNvPr id="26" name="Imagen 25">
          <a:extLst>
            <a:ext uri="{FF2B5EF4-FFF2-40B4-BE49-F238E27FC236}">
              <a16:creationId xmlns:a16="http://schemas.microsoft.com/office/drawing/2014/main" id="{36BF0F6F-2A94-49C0-8536-61739D6C6760}"/>
            </a:ext>
          </a:extLst>
        </xdr:cNvPr>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1077231" y="211327998"/>
          <a:ext cx="1057730" cy="1128114"/>
        </a:xfrm>
        <a:prstGeom prst="rect">
          <a:avLst/>
        </a:prstGeom>
      </xdr:spPr>
    </xdr:pic>
    <xdr:clientData/>
  </xdr:oneCellAnchor>
  <xdr:oneCellAnchor>
    <xdr:from>
      <xdr:col>1</xdr:col>
      <xdr:colOff>934356</xdr:colOff>
      <xdr:row>915</xdr:row>
      <xdr:rowOff>92073</xdr:rowOff>
    </xdr:from>
    <xdr:ext cx="1057730" cy="1128114"/>
    <xdr:pic>
      <xdr:nvPicPr>
        <xdr:cNvPr id="27" name="Imagen 26">
          <a:extLst>
            <a:ext uri="{FF2B5EF4-FFF2-40B4-BE49-F238E27FC236}">
              <a16:creationId xmlns:a16="http://schemas.microsoft.com/office/drawing/2014/main" id="{14B48132-3ED6-42A2-9766-A6DCB2B1DD2D}"/>
            </a:ext>
          </a:extLst>
        </xdr:cNvPr>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1077231" y="222157923"/>
          <a:ext cx="1057730" cy="1128114"/>
        </a:xfrm>
        <a:prstGeom prst="rect">
          <a:avLst/>
        </a:prstGeom>
      </xdr:spPr>
    </xdr:pic>
    <xdr:clientData/>
  </xdr:oneCellAnchor>
  <xdr:oneCellAnchor>
    <xdr:from>
      <xdr:col>1</xdr:col>
      <xdr:colOff>934356</xdr:colOff>
      <xdr:row>958</xdr:row>
      <xdr:rowOff>92073</xdr:rowOff>
    </xdr:from>
    <xdr:ext cx="1057730" cy="1128114"/>
    <xdr:pic>
      <xdr:nvPicPr>
        <xdr:cNvPr id="28" name="Imagen 27">
          <a:extLst>
            <a:ext uri="{FF2B5EF4-FFF2-40B4-BE49-F238E27FC236}">
              <a16:creationId xmlns:a16="http://schemas.microsoft.com/office/drawing/2014/main" id="{E8AB037B-C0B1-437D-BE3F-66B232503EF8}"/>
            </a:ext>
          </a:extLst>
        </xdr:cNvPr>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1077231" y="232102023"/>
          <a:ext cx="1057730" cy="1128114"/>
        </a:xfrm>
        <a:prstGeom prst="rect">
          <a:avLst/>
        </a:prstGeom>
      </xdr:spPr>
    </xdr:pic>
    <xdr:clientData/>
  </xdr:oneCellAnchor>
  <xdr:oneCellAnchor>
    <xdr:from>
      <xdr:col>1</xdr:col>
      <xdr:colOff>934356</xdr:colOff>
      <xdr:row>995</xdr:row>
      <xdr:rowOff>92073</xdr:rowOff>
    </xdr:from>
    <xdr:ext cx="1057730" cy="1128114"/>
    <xdr:pic>
      <xdr:nvPicPr>
        <xdr:cNvPr id="29" name="Imagen 28">
          <a:extLst>
            <a:ext uri="{FF2B5EF4-FFF2-40B4-BE49-F238E27FC236}">
              <a16:creationId xmlns:a16="http://schemas.microsoft.com/office/drawing/2014/main" id="{D5F006F2-B6EC-4A0F-A406-CB4416C91951}"/>
            </a:ext>
          </a:extLst>
        </xdr:cNvPr>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1077231" y="240274473"/>
          <a:ext cx="1057730" cy="1128114"/>
        </a:xfrm>
        <a:prstGeom prst="rect">
          <a:avLst/>
        </a:prstGeom>
      </xdr:spPr>
    </xdr:pic>
    <xdr:clientData/>
  </xdr:oneCellAnchor>
  <xdr:oneCellAnchor>
    <xdr:from>
      <xdr:col>1</xdr:col>
      <xdr:colOff>934356</xdr:colOff>
      <xdr:row>1032</xdr:row>
      <xdr:rowOff>92073</xdr:rowOff>
    </xdr:from>
    <xdr:ext cx="1057730" cy="1128114"/>
    <xdr:pic>
      <xdr:nvPicPr>
        <xdr:cNvPr id="30" name="Imagen 29">
          <a:extLst>
            <a:ext uri="{FF2B5EF4-FFF2-40B4-BE49-F238E27FC236}">
              <a16:creationId xmlns:a16="http://schemas.microsoft.com/office/drawing/2014/main" id="{894241EF-31FF-43B8-AE10-2C63B96B32CE}"/>
            </a:ext>
          </a:extLst>
        </xdr:cNvPr>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1077231" y="248408823"/>
          <a:ext cx="1057730" cy="1128114"/>
        </a:xfrm>
        <a:prstGeom prst="rect">
          <a:avLst/>
        </a:prstGeom>
      </xdr:spPr>
    </xdr:pic>
    <xdr:clientData/>
  </xdr:oneCellAnchor>
  <xdr:oneCellAnchor>
    <xdr:from>
      <xdr:col>1</xdr:col>
      <xdr:colOff>934356</xdr:colOff>
      <xdr:row>1070</xdr:row>
      <xdr:rowOff>92073</xdr:rowOff>
    </xdr:from>
    <xdr:ext cx="1057730" cy="1128114"/>
    <xdr:pic>
      <xdr:nvPicPr>
        <xdr:cNvPr id="31" name="Imagen 30">
          <a:extLst>
            <a:ext uri="{FF2B5EF4-FFF2-40B4-BE49-F238E27FC236}">
              <a16:creationId xmlns:a16="http://schemas.microsoft.com/office/drawing/2014/main" id="{CF4CF135-A234-4EE3-AA55-74C6F219E5FC}"/>
            </a:ext>
          </a:extLst>
        </xdr:cNvPr>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1077231" y="256867023"/>
          <a:ext cx="1057730" cy="1128114"/>
        </a:xfrm>
        <a:prstGeom prst="rect">
          <a:avLst/>
        </a:prstGeom>
      </xdr:spPr>
    </xdr:pic>
    <xdr:clientData/>
  </xdr:oneCellAnchor>
  <xdr:oneCellAnchor>
    <xdr:from>
      <xdr:col>1</xdr:col>
      <xdr:colOff>934356</xdr:colOff>
      <xdr:row>1111</xdr:row>
      <xdr:rowOff>92073</xdr:rowOff>
    </xdr:from>
    <xdr:ext cx="1057730" cy="1128114"/>
    <xdr:pic>
      <xdr:nvPicPr>
        <xdr:cNvPr id="32" name="Imagen 31">
          <a:extLst>
            <a:ext uri="{FF2B5EF4-FFF2-40B4-BE49-F238E27FC236}">
              <a16:creationId xmlns:a16="http://schemas.microsoft.com/office/drawing/2014/main" id="{48A56109-DBFD-4375-A09D-1418DC1B82A2}"/>
            </a:ext>
          </a:extLst>
        </xdr:cNvPr>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1077231" y="266372973"/>
          <a:ext cx="1057730" cy="1128114"/>
        </a:xfrm>
        <a:prstGeom prst="rect">
          <a:avLst/>
        </a:prstGeom>
      </xdr:spPr>
    </xdr:pic>
    <xdr:clientData/>
  </xdr:oneCellAnchor>
  <xdr:oneCellAnchor>
    <xdr:from>
      <xdr:col>1</xdr:col>
      <xdr:colOff>934356</xdr:colOff>
      <xdr:row>1148</xdr:row>
      <xdr:rowOff>92073</xdr:rowOff>
    </xdr:from>
    <xdr:ext cx="1057730" cy="1128114"/>
    <xdr:pic>
      <xdr:nvPicPr>
        <xdr:cNvPr id="33" name="Imagen 32">
          <a:extLst>
            <a:ext uri="{FF2B5EF4-FFF2-40B4-BE49-F238E27FC236}">
              <a16:creationId xmlns:a16="http://schemas.microsoft.com/office/drawing/2014/main" id="{9C53635B-B963-4F8E-B7BF-B2C42B6F00BA}"/>
            </a:ext>
          </a:extLst>
        </xdr:cNvPr>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1077231" y="274478748"/>
          <a:ext cx="1057730" cy="1128114"/>
        </a:xfrm>
        <a:prstGeom prst="rect">
          <a:avLst/>
        </a:prstGeom>
      </xdr:spPr>
    </xdr:pic>
    <xdr:clientData/>
  </xdr:oneCellAnchor>
  <xdr:oneCellAnchor>
    <xdr:from>
      <xdr:col>1</xdr:col>
      <xdr:colOff>934356</xdr:colOff>
      <xdr:row>1181</xdr:row>
      <xdr:rowOff>92073</xdr:rowOff>
    </xdr:from>
    <xdr:ext cx="1057730" cy="1128114"/>
    <xdr:pic>
      <xdr:nvPicPr>
        <xdr:cNvPr id="34" name="Imagen 33">
          <a:extLst>
            <a:ext uri="{FF2B5EF4-FFF2-40B4-BE49-F238E27FC236}">
              <a16:creationId xmlns:a16="http://schemas.microsoft.com/office/drawing/2014/main" id="{C5337FB6-17D8-4392-81BF-CE5C27D5FA6C}"/>
            </a:ext>
          </a:extLst>
        </xdr:cNvPr>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1077231" y="281851098"/>
          <a:ext cx="1057730" cy="1128114"/>
        </a:xfrm>
        <a:prstGeom prst="rect">
          <a:avLst/>
        </a:prstGeom>
      </xdr:spPr>
    </xdr:pic>
    <xdr:clientData/>
  </xdr:oneCellAnchor>
  <xdr:oneCellAnchor>
    <xdr:from>
      <xdr:col>1</xdr:col>
      <xdr:colOff>956127</xdr:colOff>
      <xdr:row>1217</xdr:row>
      <xdr:rowOff>37645</xdr:rowOff>
    </xdr:from>
    <xdr:ext cx="1057730" cy="1128114"/>
    <xdr:pic>
      <xdr:nvPicPr>
        <xdr:cNvPr id="35" name="Imagen 34">
          <a:extLst>
            <a:ext uri="{FF2B5EF4-FFF2-40B4-BE49-F238E27FC236}">
              <a16:creationId xmlns:a16="http://schemas.microsoft.com/office/drawing/2014/main" id="{54DE7148-F0A3-4723-86CF-B9363778F586}"/>
            </a:ext>
          </a:extLst>
        </xdr:cNvPr>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1099002" y="290102470"/>
          <a:ext cx="1057730" cy="1128114"/>
        </a:xfrm>
        <a:prstGeom prst="rect">
          <a:avLst/>
        </a:prstGeom>
      </xdr:spPr>
    </xdr:pic>
    <xdr:clientData/>
  </xdr:oneCellAnchor>
  <xdr:oneCellAnchor>
    <xdr:from>
      <xdr:col>1</xdr:col>
      <xdr:colOff>956127</xdr:colOff>
      <xdr:row>1252</xdr:row>
      <xdr:rowOff>37645</xdr:rowOff>
    </xdr:from>
    <xdr:ext cx="1057730" cy="1128114"/>
    <xdr:pic>
      <xdr:nvPicPr>
        <xdr:cNvPr id="36" name="Imagen 35">
          <a:extLst>
            <a:ext uri="{FF2B5EF4-FFF2-40B4-BE49-F238E27FC236}">
              <a16:creationId xmlns:a16="http://schemas.microsoft.com/office/drawing/2014/main" id="{66120A8F-B351-4C6A-921A-9C8F99F233D6}"/>
            </a:ext>
          </a:extLst>
        </xdr:cNvPr>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1099002" y="297922495"/>
          <a:ext cx="1057730" cy="1128114"/>
        </a:xfrm>
        <a:prstGeom prst="rect">
          <a:avLst/>
        </a:prstGeom>
      </xdr:spPr>
    </xdr:pic>
    <xdr:clientData/>
  </xdr:oneCellAnchor>
  <xdr:oneCellAnchor>
    <xdr:from>
      <xdr:col>1</xdr:col>
      <xdr:colOff>956127</xdr:colOff>
      <xdr:row>1287</xdr:row>
      <xdr:rowOff>37645</xdr:rowOff>
    </xdr:from>
    <xdr:ext cx="1057730" cy="1128114"/>
    <xdr:pic>
      <xdr:nvPicPr>
        <xdr:cNvPr id="37" name="Imagen 36">
          <a:extLst>
            <a:ext uri="{FF2B5EF4-FFF2-40B4-BE49-F238E27FC236}">
              <a16:creationId xmlns:a16="http://schemas.microsoft.com/office/drawing/2014/main" id="{C1B5907A-BE73-4AD4-98EA-E0C04C59A9DF}"/>
            </a:ext>
          </a:extLst>
        </xdr:cNvPr>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1099002" y="305866345"/>
          <a:ext cx="1057730" cy="1128114"/>
        </a:xfrm>
        <a:prstGeom prst="rect">
          <a:avLst/>
        </a:prstGeom>
      </xdr:spPr>
    </xdr:pic>
    <xdr:clientData/>
  </xdr:oneCellAnchor>
  <xdr:oneCellAnchor>
    <xdr:from>
      <xdr:col>1</xdr:col>
      <xdr:colOff>956127</xdr:colOff>
      <xdr:row>1324</xdr:row>
      <xdr:rowOff>37645</xdr:rowOff>
    </xdr:from>
    <xdr:ext cx="1057730" cy="1128114"/>
    <xdr:pic>
      <xdr:nvPicPr>
        <xdr:cNvPr id="38" name="Imagen 37">
          <a:extLst>
            <a:ext uri="{FF2B5EF4-FFF2-40B4-BE49-F238E27FC236}">
              <a16:creationId xmlns:a16="http://schemas.microsoft.com/office/drawing/2014/main" id="{54BCBA78-C146-4EC7-A168-5228482F0D18}"/>
            </a:ext>
          </a:extLst>
        </xdr:cNvPr>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1099002" y="314705545"/>
          <a:ext cx="1057730" cy="1128114"/>
        </a:xfrm>
        <a:prstGeom prst="rect">
          <a:avLst/>
        </a:prstGeom>
      </xdr:spPr>
    </xdr:pic>
    <xdr:clientData/>
  </xdr:oneCellAnchor>
  <xdr:oneCellAnchor>
    <xdr:from>
      <xdr:col>1</xdr:col>
      <xdr:colOff>956127</xdr:colOff>
      <xdr:row>1364</xdr:row>
      <xdr:rowOff>37645</xdr:rowOff>
    </xdr:from>
    <xdr:ext cx="1057730" cy="1128114"/>
    <xdr:pic>
      <xdr:nvPicPr>
        <xdr:cNvPr id="39" name="Imagen 38">
          <a:extLst>
            <a:ext uri="{FF2B5EF4-FFF2-40B4-BE49-F238E27FC236}">
              <a16:creationId xmlns:a16="http://schemas.microsoft.com/office/drawing/2014/main" id="{643C99AC-75C8-400C-AB52-911321DE2241}"/>
            </a:ext>
          </a:extLst>
        </xdr:cNvPr>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1099002" y="323278045"/>
          <a:ext cx="1057730" cy="1128114"/>
        </a:xfrm>
        <a:prstGeom prst="rect">
          <a:avLst/>
        </a:prstGeom>
      </xdr:spPr>
    </xdr:pic>
    <xdr:clientData/>
  </xdr:oneCellAnchor>
  <xdr:oneCellAnchor>
    <xdr:from>
      <xdr:col>1</xdr:col>
      <xdr:colOff>956127</xdr:colOff>
      <xdr:row>1404</xdr:row>
      <xdr:rowOff>37645</xdr:rowOff>
    </xdr:from>
    <xdr:ext cx="1057730" cy="1128114"/>
    <xdr:pic>
      <xdr:nvPicPr>
        <xdr:cNvPr id="40" name="Imagen 39">
          <a:extLst>
            <a:ext uri="{FF2B5EF4-FFF2-40B4-BE49-F238E27FC236}">
              <a16:creationId xmlns:a16="http://schemas.microsoft.com/office/drawing/2014/main" id="{A4C29CE3-D2DD-4D03-AFEA-7B62080EFA50}"/>
            </a:ext>
          </a:extLst>
        </xdr:cNvPr>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1099002" y="331660045"/>
          <a:ext cx="1057730" cy="1128114"/>
        </a:xfrm>
        <a:prstGeom prst="rect">
          <a:avLst/>
        </a:prstGeom>
      </xdr:spPr>
    </xdr:pic>
    <xdr:clientData/>
  </xdr:oneCellAnchor>
  <xdr:oneCellAnchor>
    <xdr:from>
      <xdr:col>1</xdr:col>
      <xdr:colOff>956127</xdr:colOff>
      <xdr:row>1447</xdr:row>
      <xdr:rowOff>37645</xdr:rowOff>
    </xdr:from>
    <xdr:ext cx="1057730" cy="1128114"/>
    <xdr:pic>
      <xdr:nvPicPr>
        <xdr:cNvPr id="41" name="Imagen 40">
          <a:extLst>
            <a:ext uri="{FF2B5EF4-FFF2-40B4-BE49-F238E27FC236}">
              <a16:creationId xmlns:a16="http://schemas.microsoft.com/office/drawing/2014/main" id="{DA00148A-4770-4631-8579-6BB966E30C58}"/>
            </a:ext>
          </a:extLst>
        </xdr:cNvPr>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1099002" y="341327920"/>
          <a:ext cx="1057730" cy="1128114"/>
        </a:xfrm>
        <a:prstGeom prst="rect">
          <a:avLst/>
        </a:prstGeom>
      </xdr:spPr>
    </xdr:pic>
    <xdr:clientData/>
  </xdr:oneCellAnchor>
  <xdr:oneCellAnchor>
    <xdr:from>
      <xdr:col>1</xdr:col>
      <xdr:colOff>956127</xdr:colOff>
      <xdr:row>1490</xdr:row>
      <xdr:rowOff>37645</xdr:rowOff>
    </xdr:from>
    <xdr:ext cx="1057730" cy="1128114"/>
    <xdr:pic>
      <xdr:nvPicPr>
        <xdr:cNvPr id="42" name="Imagen 41">
          <a:extLst>
            <a:ext uri="{FF2B5EF4-FFF2-40B4-BE49-F238E27FC236}">
              <a16:creationId xmlns:a16="http://schemas.microsoft.com/office/drawing/2014/main" id="{029E5519-8C12-4555-9A01-4F54A574667C}"/>
            </a:ext>
          </a:extLst>
        </xdr:cNvPr>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1099002" y="350805295"/>
          <a:ext cx="1057730" cy="1128114"/>
        </a:xfrm>
        <a:prstGeom prst="rect">
          <a:avLst/>
        </a:prstGeom>
      </xdr:spPr>
    </xdr:pic>
    <xdr:clientData/>
  </xdr:oneCellAnchor>
  <xdr:oneCellAnchor>
    <xdr:from>
      <xdr:col>1</xdr:col>
      <xdr:colOff>956127</xdr:colOff>
      <xdr:row>1526</xdr:row>
      <xdr:rowOff>37645</xdr:rowOff>
    </xdr:from>
    <xdr:ext cx="1057730" cy="1128114"/>
    <xdr:pic>
      <xdr:nvPicPr>
        <xdr:cNvPr id="43" name="Imagen 42">
          <a:extLst>
            <a:ext uri="{FF2B5EF4-FFF2-40B4-BE49-F238E27FC236}">
              <a16:creationId xmlns:a16="http://schemas.microsoft.com/office/drawing/2014/main" id="{1BF5960F-B3E6-4193-8E3D-B18E87D3ECD9}"/>
            </a:ext>
          </a:extLst>
        </xdr:cNvPr>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1099002" y="358425295"/>
          <a:ext cx="1057730" cy="1128114"/>
        </a:xfrm>
        <a:prstGeom prst="rect">
          <a:avLst/>
        </a:prstGeom>
      </xdr:spPr>
    </xdr:pic>
    <xdr:clientData/>
  </xdr:oneCellAnchor>
  <xdr:oneCellAnchor>
    <xdr:from>
      <xdr:col>1</xdr:col>
      <xdr:colOff>956127</xdr:colOff>
      <xdr:row>1562</xdr:row>
      <xdr:rowOff>37645</xdr:rowOff>
    </xdr:from>
    <xdr:ext cx="1057730" cy="1128114"/>
    <xdr:pic>
      <xdr:nvPicPr>
        <xdr:cNvPr id="44" name="Imagen 43">
          <a:extLst>
            <a:ext uri="{FF2B5EF4-FFF2-40B4-BE49-F238E27FC236}">
              <a16:creationId xmlns:a16="http://schemas.microsoft.com/office/drawing/2014/main" id="{79D1504A-C155-44D5-BBDF-3CA3192DCD5E}"/>
            </a:ext>
          </a:extLst>
        </xdr:cNvPr>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1099002" y="366150070"/>
          <a:ext cx="1057730" cy="1128114"/>
        </a:xfrm>
        <a:prstGeom prst="rect">
          <a:avLst/>
        </a:prstGeom>
      </xdr:spPr>
    </xdr:pic>
    <xdr:clientData/>
  </xdr:oneCellAnchor>
  <xdr:oneCellAnchor>
    <xdr:from>
      <xdr:col>1</xdr:col>
      <xdr:colOff>956127</xdr:colOff>
      <xdr:row>1598</xdr:row>
      <xdr:rowOff>37645</xdr:rowOff>
    </xdr:from>
    <xdr:ext cx="1057730" cy="1128114"/>
    <xdr:pic>
      <xdr:nvPicPr>
        <xdr:cNvPr id="45" name="Imagen 44">
          <a:extLst>
            <a:ext uri="{FF2B5EF4-FFF2-40B4-BE49-F238E27FC236}">
              <a16:creationId xmlns:a16="http://schemas.microsoft.com/office/drawing/2014/main" id="{A6EDDC3C-8B51-43AE-B94D-4FD560170577}"/>
            </a:ext>
          </a:extLst>
        </xdr:cNvPr>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1099002" y="373751020"/>
          <a:ext cx="1057730" cy="1128114"/>
        </a:xfrm>
        <a:prstGeom prst="rect">
          <a:avLst/>
        </a:prstGeom>
      </xdr:spPr>
    </xdr:pic>
    <xdr:clientData/>
  </xdr:oneCellAnchor>
  <xdr:oneCellAnchor>
    <xdr:from>
      <xdr:col>1</xdr:col>
      <xdr:colOff>956127</xdr:colOff>
      <xdr:row>1635</xdr:row>
      <xdr:rowOff>37645</xdr:rowOff>
    </xdr:from>
    <xdr:ext cx="1057730" cy="1128114"/>
    <xdr:pic>
      <xdr:nvPicPr>
        <xdr:cNvPr id="46" name="Imagen 45">
          <a:extLst>
            <a:ext uri="{FF2B5EF4-FFF2-40B4-BE49-F238E27FC236}">
              <a16:creationId xmlns:a16="http://schemas.microsoft.com/office/drawing/2014/main" id="{7D8D782B-4F32-4609-9012-4BB98CD70F99}"/>
            </a:ext>
          </a:extLst>
        </xdr:cNvPr>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1099002" y="381628195"/>
          <a:ext cx="1057730" cy="1128114"/>
        </a:xfrm>
        <a:prstGeom prst="rect">
          <a:avLst/>
        </a:prstGeom>
      </xdr:spPr>
    </xdr:pic>
    <xdr:clientData/>
  </xdr:oneCellAnchor>
  <xdr:oneCellAnchor>
    <xdr:from>
      <xdr:col>1</xdr:col>
      <xdr:colOff>956127</xdr:colOff>
      <xdr:row>1674</xdr:row>
      <xdr:rowOff>37645</xdr:rowOff>
    </xdr:from>
    <xdr:ext cx="1057730" cy="1128114"/>
    <xdr:pic>
      <xdr:nvPicPr>
        <xdr:cNvPr id="47" name="Imagen 46">
          <a:extLst>
            <a:ext uri="{FF2B5EF4-FFF2-40B4-BE49-F238E27FC236}">
              <a16:creationId xmlns:a16="http://schemas.microsoft.com/office/drawing/2014/main" id="{2D57F072-2664-4F53-8BD4-7C8585F864FE}"/>
            </a:ext>
          </a:extLst>
        </xdr:cNvPr>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1099002" y="390781720"/>
          <a:ext cx="1057730" cy="1128114"/>
        </a:xfrm>
        <a:prstGeom prst="rect">
          <a:avLst/>
        </a:prstGeom>
      </xdr:spPr>
    </xdr:pic>
    <xdr:clientData/>
  </xdr:oneCellAnchor>
  <xdr:oneCellAnchor>
    <xdr:from>
      <xdr:col>1</xdr:col>
      <xdr:colOff>956127</xdr:colOff>
      <xdr:row>1723</xdr:row>
      <xdr:rowOff>37645</xdr:rowOff>
    </xdr:from>
    <xdr:ext cx="1057730" cy="1128114"/>
    <xdr:pic>
      <xdr:nvPicPr>
        <xdr:cNvPr id="48" name="Imagen 47">
          <a:extLst>
            <a:ext uri="{FF2B5EF4-FFF2-40B4-BE49-F238E27FC236}">
              <a16:creationId xmlns:a16="http://schemas.microsoft.com/office/drawing/2014/main" id="{0A6EF27A-B7B5-474C-8729-A43A1A5C65E9}"/>
            </a:ext>
          </a:extLst>
        </xdr:cNvPr>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1099002" y="401554495"/>
          <a:ext cx="1057730" cy="1128114"/>
        </a:xfrm>
        <a:prstGeom prst="rect">
          <a:avLst/>
        </a:prstGeom>
      </xdr:spPr>
    </xdr:pic>
    <xdr:clientData/>
  </xdr:oneCellAnchor>
  <xdr:oneCellAnchor>
    <xdr:from>
      <xdr:col>1</xdr:col>
      <xdr:colOff>956127</xdr:colOff>
      <xdr:row>1766</xdr:row>
      <xdr:rowOff>37645</xdr:rowOff>
    </xdr:from>
    <xdr:ext cx="1057730" cy="1128114"/>
    <xdr:pic>
      <xdr:nvPicPr>
        <xdr:cNvPr id="49" name="Imagen 48">
          <a:extLst>
            <a:ext uri="{FF2B5EF4-FFF2-40B4-BE49-F238E27FC236}">
              <a16:creationId xmlns:a16="http://schemas.microsoft.com/office/drawing/2014/main" id="{00E555D0-B0EE-4B78-855A-63FB4884D051}"/>
            </a:ext>
          </a:extLst>
        </xdr:cNvPr>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1099002" y="411460495"/>
          <a:ext cx="1057730" cy="1128114"/>
        </a:xfrm>
        <a:prstGeom prst="rect">
          <a:avLst/>
        </a:prstGeom>
      </xdr:spPr>
    </xdr:pic>
    <xdr:clientData/>
  </xdr:oneCellAnchor>
  <xdr:oneCellAnchor>
    <xdr:from>
      <xdr:col>1</xdr:col>
      <xdr:colOff>956127</xdr:colOff>
      <xdr:row>1809</xdr:row>
      <xdr:rowOff>37645</xdr:rowOff>
    </xdr:from>
    <xdr:ext cx="1057730" cy="1128114"/>
    <xdr:pic>
      <xdr:nvPicPr>
        <xdr:cNvPr id="50" name="Imagen 49">
          <a:extLst>
            <a:ext uri="{FF2B5EF4-FFF2-40B4-BE49-F238E27FC236}">
              <a16:creationId xmlns:a16="http://schemas.microsoft.com/office/drawing/2014/main" id="{FFD75525-CE85-4EDF-A5AD-D276F5C7D7C6}"/>
            </a:ext>
          </a:extLst>
        </xdr:cNvPr>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1099002" y="421185520"/>
          <a:ext cx="1057730" cy="1128114"/>
        </a:xfrm>
        <a:prstGeom prst="rect">
          <a:avLst/>
        </a:prstGeom>
      </xdr:spPr>
    </xdr:pic>
    <xdr:clientData/>
  </xdr:oneCellAnchor>
  <xdr:oneCellAnchor>
    <xdr:from>
      <xdr:col>1</xdr:col>
      <xdr:colOff>956127</xdr:colOff>
      <xdr:row>1847</xdr:row>
      <xdr:rowOff>37645</xdr:rowOff>
    </xdr:from>
    <xdr:ext cx="1057730" cy="1128114"/>
    <xdr:pic>
      <xdr:nvPicPr>
        <xdr:cNvPr id="51" name="Imagen 50">
          <a:extLst>
            <a:ext uri="{FF2B5EF4-FFF2-40B4-BE49-F238E27FC236}">
              <a16:creationId xmlns:a16="http://schemas.microsoft.com/office/drawing/2014/main" id="{97E6CC24-DBB1-487B-B2FE-F91679D7F1F0}"/>
            </a:ext>
          </a:extLst>
        </xdr:cNvPr>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1099002" y="430339045"/>
          <a:ext cx="1057730" cy="1128114"/>
        </a:xfrm>
        <a:prstGeom prst="rect">
          <a:avLst/>
        </a:prstGeom>
      </xdr:spPr>
    </xdr:pic>
    <xdr:clientData/>
  </xdr:oneCellAnchor>
  <xdr:oneCellAnchor>
    <xdr:from>
      <xdr:col>1</xdr:col>
      <xdr:colOff>956127</xdr:colOff>
      <xdr:row>1893</xdr:row>
      <xdr:rowOff>37645</xdr:rowOff>
    </xdr:from>
    <xdr:ext cx="1057730" cy="1128114"/>
    <xdr:pic>
      <xdr:nvPicPr>
        <xdr:cNvPr id="52" name="Imagen 51">
          <a:extLst>
            <a:ext uri="{FF2B5EF4-FFF2-40B4-BE49-F238E27FC236}">
              <a16:creationId xmlns:a16="http://schemas.microsoft.com/office/drawing/2014/main" id="{173AEFB8-25AB-4A98-A568-BFC32036DFC2}"/>
            </a:ext>
          </a:extLst>
        </xdr:cNvPr>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1099002" y="441692845"/>
          <a:ext cx="1057730" cy="1128114"/>
        </a:xfrm>
        <a:prstGeom prst="rect">
          <a:avLst/>
        </a:prstGeom>
      </xdr:spPr>
    </xdr:pic>
    <xdr:clientData/>
  </xdr:oneCellAnchor>
  <xdr:oneCellAnchor>
    <xdr:from>
      <xdr:col>1</xdr:col>
      <xdr:colOff>956127</xdr:colOff>
      <xdr:row>1940</xdr:row>
      <xdr:rowOff>37645</xdr:rowOff>
    </xdr:from>
    <xdr:ext cx="1057730" cy="1128114"/>
    <xdr:pic>
      <xdr:nvPicPr>
        <xdr:cNvPr id="53" name="Imagen 52">
          <a:extLst>
            <a:ext uri="{FF2B5EF4-FFF2-40B4-BE49-F238E27FC236}">
              <a16:creationId xmlns:a16="http://schemas.microsoft.com/office/drawing/2014/main" id="{1C3D5B43-A413-4161-B699-DB58ED84779A}"/>
            </a:ext>
          </a:extLst>
        </xdr:cNvPr>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1099002" y="452751370"/>
          <a:ext cx="1057730" cy="1128114"/>
        </a:xfrm>
        <a:prstGeom prst="rect">
          <a:avLst/>
        </a:prstGeom>
      </xdr:spPr>
    </xdr:pic>
    <xdr:clientData/>
  </xdr:oneCellAnchor>
  <xdr:oneCellAnchor>
    <xdr:from>
      <xdr:col>1</xdr:col>
      <xdr:colOff>956127</xdr:colOff>
      <xdr:row>1981</xdr:row>
      <xdr:rowOff>37645</xdr:rowOff>
    </xdr:from>
    <xdr:ext cx="1057730" cy="1128114"/>
    <xdr:pic>
      <xdr:nvPicPr>
        <xdr:cNvPr id="54" name="Imagen 53">
          <a:extLst>
            <a:ext uri="{FF2B5EF4-FFF2-40B4-BE49-F238E27FC236}">
              <a16:creationId xmlns:a16="http://schemas.microsoft.com/office/drawing/2014/main" id="{A5776868-0D92-4C9A-AD83-7F8C70D47F4E}"/>
            </a:ext>
          </a:extLst>
        </xdr:cNvPr>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1099002" y="461714395"/>
          <a:ext cx="1057730" cy="1128114"/>
        </a:xfrm>
        <a:prstGeom prst="rect">
          <a:avLst/>
        </a:prstGeom>
      </xdr:spPr>
    </xdr:pic>
    <xdr:clientData/>
  </xdr:oneCellAnchor>
  <xdr:oneCellAnchor>
    <xdr:from>
      <xdr:col>1</xdr:col>
      <xdr:colOff>956127</xdr:colOff>
      <xdr:row>2023</xdr:row>
      <xdr:rowOff>37645</xdr:rowOff>
    </xdr:from>
    <xdr:ext cx="1057730" cy="1128114"/>
    <xdr:pic>
      <xdr:nvPicPr>
        <xdr:cNvPr id="55" name="Imagen 54">
          <a:extLst>
            <a:ext uri="{FF2B5EF4-FFF2-40B4-BE49-F238E27FC236}">
              <a16:creationId xmlns:a16="http://schemas.microsoft.com/office/drawing/2014/main" id="{C2DDDB0C-6E23-4CDA-BA22-B17B52E8C0EB}"/>
            </a:ext>
          </a:extLst>
        </xdr:cNvPr>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1099002" y="470725045"/>
          <a:ext cx="1057730" cy="1128114"/>
        </a:xfrm>
        <a:prstGeom prst="rect">
          <a:avLst/>
        </a:prstGeom>
      </xdr:spPr>
    </xdr:pic>
    <xdr:clientData/>
  </xdr:oneCellAnchor>
  <xdr:oneCellAnchor>
    <xdr:from>
      <xdr:col>1</xdr:col>
      <xdr:colOff>956127</xdr:colOff>
      <xdr:row>2057</xdr:row>
      <xdr:rowOff>37645</xdr:rowOff>
    </xdr:from>
    <xdr:ext cx="1057730" cy="1128114"/>
    <xdr:pic>
      <xdr:nvPicPr>
        <xdr:cNvPr id="56" name="Imagen 55">
          <a:extLst>
            <a:ext uri="{FF2B5EF4-FFF2-40B4-BE49-F238E27FC236}">
              <a16:creationId xmlns:a16="http://schemas.microsoft.com/office/drawing/2014/main" id="{BB4B91BB-F9EE-4B0C-8FA4-BAC7E80857F0}"/>
            </a:ext>
          </a:extLst>
        </xdr:cNvPr>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1099002" y="477792595"/>
          <a:ext cx="1057730" cy="1128114"/>
        </a:xfrm>
        <a:prstGeom prst="rect">
          <a:avLst/>
        </a:prstGeom>
      </xdr:spPr>
    </xdr:pic>
    <xdr:clientData/>
  </xdr:oneCellAnchor>
  <xdr:oneCellAnchor>
    <xdr:from>
      <xdr:col>1</xdr:col>
      <xdr:colOff>956127</xdr:colOff>
      <xdr:row>2088</xdr:row>
      <xdr:rowOff>37645</xdr:rowOff>
    </xdr:from>
    <xdr:ext cx="1057730" cy="1128114"/>
    <xdr:pic>
      <xdr:nvPicPr>
        <xdr:cNvPr id="57" name="Imagen 56">
          <a:extLst>
            <a:ext uri="{FF2B5EF4-FFF2-40B4-BE49-F238E27FC236}">
              <a16:creationId xmlns:a16="http://schemas.microsoft.com/office/drawing/2014/main" id="{65EFD9CF-275C-4B74-862A-CD543ED5C10C}"/>
            </a:ext>
          </a:extLst>
        </xdr:cNvPr>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1099002" y="484783945"/>
          <a:ext cx="1057730" cy="1128114"/>
        </a:xfrm>
        <a:prstGeom prst="rect">
          <a:avLst/>
        </a:prstGeom>
      </xdr:spPr>
    </xdr:pic>
    <xdr:clientData/>
  </xdr:oneCellAnchor>
  <xdr:oneCellAnchor>
    <xdr:from>
      <xdr:col>1</xdr:col>
      <xdr:colOff>956127</xdr:colOff>
      <xdr:row>2127</xdr:row>
      <xdr:rowOff>37645</xdr:rowOff>
    </xdr:from>
    <xdr:ext cx="1057730" cy="1128114"/>
    <xdr:pic>
      <xdr:nvPicPr>
        <xdr:cNvPr id="58" name="Imagen 57">
          <a:extLst>
            <a:ext uri="{FF2B5EF4-FFF2-40B4-BE49-F238E27FC236}">
              <a16:creationId xmlns:a16="http://schemas.microsoft.com/office/drawing/2014/main" id="{87B9799E-295D-4463-ADC9-C852E1868CF4}"/>
            </a:ext>
          </a:extLst>
        </xdr:cNvPr>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1099002" y="493165945"/>
          <a:ext cx="1057730" cy="1128114"/>
        </a:xfrm>
        <a:prstGeom prst="rect">
          <a:avLst/>
        </a:prstGeom>
      </xdr:spPr>
    </xdr:pic>
    <xdr:clientData/>
  </xdr:oneCellAnchor>
  <xdr:oneCellAnchor>
    <xdr:from>
      <xdr:col>1</xdr:col>
      <xdr:colOff>956127</xdr:colOff>
      <xdr:row>2171</xdr:row>
      <xdr:rowOff>37645</xdr:rowOff>
    </xdr:from>
    <xdr:ext cx="1057730" cy="1128114"/>
    <xdr:pic>
      <xdr:nvPicPr>
        <xdr:cNvPr id="59" name="Imagen 58">
          <a:extLst>
            <a:ext uri="{FF2B5EF4-FFF2-40B4-BE49-F238E27FC236}">
              <a16:creationId xmlns:a16="http://schemas.microsoft.com/office/drawing/2014/main" id="{236DEB45-911A-4713-B80F-785B5BE5B252}"/>
            </a:ext>
          </a:extLst>
        </xdr:cNvPr>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1099002" y="503205295"/>
          <a:ext cx="1057730" cy="1128114"/>
        </a:xfrm>
        <a:prstGeom prst="rect">
          <a:avLst/>
        </a:prstGeom>
      </xdr:spPr>
    </xdr:pic>
    <xdr:clientData/>
  </xdr:oneCellAnchor>
  <xdr:oneCellAnchor>
    <xdr:from>
      <xdr:col>1</xdr:col>
      <xdr:colOff>956127</xdr:colOff>
      <xdr:row>2208</xdr:row>
      <xdr:rowOff>37645</xdr:rowOff>
    </xdr:from>
    <xdr:ext cx="1057730" cy="1128114"/>
    <xdr:pic>
      <xdr:nvPicPr>
        <xdr:cNvPr id="60" name="Imagen 59">
          <a:extLst>
            <a:ext uri="{FF2B5EF4-FFF2-40B4-BE49-F238E27FC236}">
              <a16:creationId xmlns:a16="http://schemas.microsoft.com/office/drawing/2014/main" id="{CE12AC66-DA98-4A3D-89E8-7A6FECACCBE3}"/>
            </a:ext>
          </a:extLst>
        </xdr:cNvPr>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1099002" y="511082470"/>
          <a:ext cx="1057730" cy="1128114"/>
        </a:xfrm>
        <a:prstGeom prst="rect">
          <a:avLst/>
        </a:prstGeom>
      </xdr:spPr>
    </xdr:pic>
    <xdr:clientData/>
  </xdr:oneCellAnchor>
  <xdr:oneCellAnchor>
    <xdr:from>
      <xdr:col>1</xdr:col>
      <xdr:colOff>956127</xdr:colOff>
      <xdr:row>2249</xdr:row>
      <xdr:rowOff>37645</xdr:rowOff>
    </xdr:from>
    <xdr:ext cx="1057730" cy="1128114"/>
    <xdr:pic>
      <xdr:nvPicPr>
        <xdr:cNvPr id="61" name="Imagen 60">
          <a:extLst>
            <a:ext uri="{FF2B5EF4-FFF2-40B4-BE49-F238E27FC236}">
              <a16:creationId xmlns:a16="http://schemas.microsoft.com/office/drawing/2014/main" id="{633BDBB7-B7EE-4E03-89C2-B55B04D0C4C7}"/>
            </a:ext>
          </a:extLst>
        </xdr:cNvPr>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1099002" y="520264570"/>
          <a:ext cx="1057730" cy="1128114"/>
        </a:xfrm>
        <a:prstGeom prst="rect">
          <a:avLst/>
        </a:prstGeom>
      </xdr:spPr>
    </xdr:pic>
    <xdr:clientData/>
  </xdr:oneCellAnchor>
  <xdr:oneCellAnchor>
    <xdr:from>
      <xdr:col>1</xdr:col>
      <xdr:colOff>956127</xdr:colOff>
      <xdr:row>2292</xdr:row>
      <xdr:rowOff>37645</xdr:rowOff>
    </xdr:from>
    <xdr:ext cx="1057730" cy="1128114"/>
    <xdr:pic>
      <xdr:nvPicPr>
        <xdr:cNvPr id="62" name="Imagen 61">
          <a:extLst>
            <a:ext uri="{FF2B5EF4-FFF2-40B4-BE49-F238E27FC236}">
              <a16:creationId xmlns:a16="http://schemas.microsoft.com/office/drawing/2014/main" id="{564A0EFF-23B8-4695-B097-F22ED94B1A94}"/>
            </a:ext>
          </a:extLst>
        </xdr:cNvPr>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1099002" y="529884820"/>
          <a:ext cx="1057730" cy="1128114"/>
        </a:xfrm>
        <a:prstGeom prst="rect">
          <a:avLst/>
        </a:prstGeom>
      </xdr:spPr>
    </xdr:pic>
    <xdr:clientData/>
  </xdr:oneCellAnchor>
  <xdr:oneCellAnchor>
    <xdr:from>
      <xdr:col>1</xdr:col>
      <xdr:colOff>956127</xdr:colOff>
      <xdr:row>2328</xdr:row>
      <xdr:rowOff>37645</xdr:rowOff>
    </xdr:from>
    <xdr:ext cx="1057730" cy="1128114"/>
    <xdr:pic>
      <xdr:nvPicPr>
        <xdr:cNvPr id="63" name="Imagen 62">
          <a:extLst>
            <a:ext uri="{FF2B5EF4-FFF2-40B4-BE49-F238E27FC236}">
              <a16:creationId xmlns:a16="http://schemas.microsoft.com/office/drawing/2014/main" id="{7F5BF857-0A18-478B-8D8E-C4990282AE70}"/>
            </a:ext>
          </a:extLst>
        </xdr:cNvPr>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1099002" y="538466845"/>
          <a:ext cx="1057730" cy="1128114"/>
        </a:xfrm>
        <a:prstGeom prst="rect">
          <a:avLst/>
        </a:prstGeom>
      </xdr:spPr>
    </xdr:pic>
    <xdr:clientData/>
  </xdr:oneCellAnchor>
  <xdr:oneCellAnchor>
    <xdr:from>
      <xdr:col>1</xdr:col>
      <xdr:colOff>956127</xdr:colOff>
      <xdr:row>2369</xdr:row>
      <xdr:rowOff>37645</xdr:rowOff>
    </xdr:from>
    <xdr:ext cx="1057730" cy="1128114"/>
    <xdr:pic>
      <xdr:nvPicPr>
        <xdr:cNvPr id="64" name="Imagen 63">
          <a:extLst>
            <a:ext uri="{FF2B5EF4-FFF2-40B4-BE49-F238E27FC236}">
              <a16:creationId xmlns:a16="http://schemas.microsoft.com/office/drawing/2014/main" id="{0768AA3F-F8D2-4F78-A53B-F161AD5D90FF}"/>
            </a:ext>
          </a:extLst>
        </xdr:cNvPr>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1099002" y="548172820"/>
          <a:ext cx="1057730" cy="1128114"/>
        </a:xfrm>
        <a:prstGeom prst="rect">
          <a:avLst/>
        </a:prstGeom>
      </xdr:spPr>
    </xdr:pic>
    <xdr:clientData/>
  </xdr:oneCellAnchor>
</xdr:wsDr>
</file>

<file path=xl/drawings/drawing22.xml><?xml version="1.0" encoding="utf-8"?>
<xdr:wsDr xmlns:xdr="http://schemas.openxmlformats.org/drawingml/2006/spreadsheetDrawing" xmlns:a="http://schemas.openxmlformats.org/drawingml/2006/main">
  <xdr:twoCellAnchor editAs="oneCell">
    <xdr:from>
      <xdr:col>1</xdr:col>
      <xdr:colOff>938893</xdr:colOff>
      <xdr:row>1</xdr:row>
      <xdr:rowOff>108857</xdr:rowOff>
    </xdr:from>
    <xdr:to>
      <xdr:col>1</xdr:col>
      <xdr:colOff>1836964</xdr:colOff>
      <xdr:row>5</xdr:row>
      <xdr:rowOff>342899</xdr:rowOff>
    </xdr:to>
    <xdr:pic>
      <xdr:nvPicPr>
        <xdr:cNvPr id="2" name="Imagen 1">
          <a:extLst>
            <a:ext uri="{FF2B5EF4-FFF2-40B4-BE49-F238E27FC236}">
              <a16:creationId xmlns:a16="http://schemas.microsoft.com/office/drawing/2014/main" id="{F0B4E8FC-DDA5-45DB-AF47-298E3E6A9F8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81768" y="308882"/>
          <a:ext cx="898071" cy="1081767"/>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Users/Usuario/Downloads/Presupuesto%205%20k%20(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d.docs.live.net/Users/Usuario/Downloads/6_1_2_PPTO%20Obra%20e%20Interventoria%202023%20Sopetran-%20Belmira%20K0-k3.%20V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
      <sheetName val="PRESUPUESTO"/>
      <sheetName val="MEMORIA DE CALCULO"/>
      <sheetName val="M.O."/>
      <sheetName val="1,1"/>
      <sheetName val="1,2"/>
      <sheetName val="2,1"/>
      <sheetName val="2,2"/>
      <sheetName val="2,3"/>
      <sheetName val="2,4"/>
      <sheetName val="2,5"/>
      <sheetName val="2,6"/>
      <sheetName val="2,7"/>
      <sheetName val="3,1"/>
      <sheetName val="3,2"/>
      <sheetName val="3,3"/>
      <sheetName val="3,4"/>
      <sheetName val="4,1"/>
      <sheetName val="4,2"/>
      <sheetName val="4,3"/>
      <sheetName val="5,1"/>
      <sheetName val="5,2"/>
      <sheetName val="6,1"/>
      <sheetName val="6,2"/>
      <sheetName val="MATERIALES"/>
      <sheetName val="EQUIPOS"/>
      <sheetName val="TRANSPORTES"/>
      <sheetName val="APU (3)"/>
      <sheetName val="1"/>
      <sheetName val="M_POLEAL"/>
      <sheetName val="M_RINCON"/>
      <sheetName val="PASAO"/>
      <sheetName val="DISCRIMINACION AU"/>
      <sheetName val="CONCRETOS Y MORTERO"/>
      <sheetName val="M"/>
      <sheetName val="FP ADMDO"/>
      <sheetName val="DISC_AU_AGUIRRE"/>
      <sheetName val="P_Poleal"/>
      <sheetName val="P_AGUIRRE"/>
      <sheetName val="DISC_AU_POLEAL"/>
      <sheetName val="P_A_Colorado"/>
      <sheetName val="DISC_AU_A_COLORADO"/>
      <sheetName val="M_A_Colorado"/>
      <sheetName val="ACERO CUNETA"/>
      <sheetName val="ACERO LOSA"/>
      <sheetName val="P_RINCON"/>
      <sheetName val="DISC_AU_RINCON"/>
    </sheetNames>
    <sheetDataSet>
      <sheetData sheetId="0" refreshError="1"/>
      <sheetData sheetId="1">
        <row r="2">
          <cell r="A2" t="str">
            <v>OBJETO: MEJORAMIENTO Y ADECUACIÓN DE LAS VIAS URBANAS DEL MUNICIPIO DE SANTA FE DE ANTIOQUIA</v>
          </cell>
        </row>
        <row r="5">
          <cell r="A5">
            <v>1</v>
          </cell>
          <cell r="B5" t="str">
            <v>PRELIMINARES</v>
          </cell>
        </row>
        <row r="6">
          <cell r="A6">
            <v>1.1000000000000001</v>
          </cell>
          <cell r="B6" t="str">
            <v>Localización, trazado y replanteo del proyecto. Se utilizará equipo de precisión, personal experto. Se hará con la frecuencia que lo indique la interventoria. incluye demarcación con pintura, línea de trazado, corte de piso, libretas, planos.</v>
          </cell>
          <cell r="C6" t="str">
            <v>día</v>
          </cell>
        </row>
        <row r="7">
          <cell r="A7">
            <v>1.2</v>
          </cell>
          <cell r="B7" t="str">
            <v>Instalación de CERRAMIENTO PROVISIONAL en tela naranja con una altura de 2,1 m, y estructura en larguero común, concreto de 17.5 Mpa para fijación de estructura en madera común. Incluye suministro, transporte, instalación y desmonte de la tela, excavación manual en cualquier material, cargue, transporte y botada de material y todos los demás elementos necesarios para su correcta instalación.</v>
          </cell>
          <cell r="C7" t="str">
            <v>m</v>
          </cell>
        </row>
        <row r="8">
          <cell r="A8">
            <v>2</v>
          </cell>
          <cell r="B8" t="str">
            <v>MOVIMIENTOS DE TIERRA</v>
          </cell>
        </row>
        <row r="9">
          <cell r="A9">
            <v>2.1</v>
          </cell>
          <cell r="B9" t="str">
            <v>Excavación mecanica en material heterogéneo, bajo cualquier grado de humedad, medido in situ, no incluye botada.</v>
          </cell>
          <cell r="C9" t="str">
            <v>m³</v>
          </cell>
        </row>
        <row r="10">
          <cell r="A10">
            <v>2.2000000000000002</v>
          </cell>
          <cell r="B10" t="str">
            <v>DEMOLICIÓN DE PAVIMENTO Y/O CONCRETO de cualquier resistencia con espesor hasta de 10 cm, manual o mecánicamente. Incluye  retiro de refuerzo e instalaciones embebidas, compresor neumático con martillo, además recuperación de los materiales aprovechables.</v>
          </cell>
          <cell r="C10" t="str">
            <v>m2</v>
          </cell>
        </row>
        <row r="11">
          <cell r="A11">
            <v>2.2999999999999998</v>
          </cell>
          <cell r="B11" t="str">
            <v>DEMOLICIÓN DE PAVIMENTO de cualquier resistencia con espesor hasta de 20 cm, manual o mecánicamente. Incluye  retiro de refuerzo e instalaciones embebidas, compresor neumático con martillo, además recuperación de los materiales aprovechables.</v>
          </cell>
          <cell r="C11" t="str">
            <v>m2</v>
          </cell>
        </row>
        <row r="12">
          <cell r="A12">
            <v>2.4</v>
          </cell>
          <cell r="B12" t="str">
            <v>Cargue,   transporte  y   botada   de   material proveniente de las excavaciones y demoliciones. Hasta el sitio que indique la interventoria.</v>
          </cell>
          <cell r="C12" t="str">
            <v>m³</v>
          </cell>
        </row>
        <row r="13">
          <cell r="A13">
            <v>2.5</v>
          </cell>
          <cell r="B13" t="str">
            <v>Confomacion de calzada existente despues de cajeo y al final de instalacio estructura pavimento</v>
          </cell>
          <cell r="C13" t="str">
            <v>m2</v>
          </cell>
        </row>
        <row r="14">
          <cell r="A14">
            <v>2.6</v>
          </cell>
          <cell r="B14" t="str">
            <v xml:space="preserve">Suministro, transporte y colocación de subbase granular de máximo Ø 2 1/2", reacomodado con medios mecánicos y compactado al 98% mínimo del ensayo del proctor modificado, según normas INVIAS para la construcción de pavimentos </v>
          </cell>
          <cell r="C14" t="str">
            <v>m³</v>
          </cell>
        </row>
        <row r="15">
          <cell r="A15">
            <v>2.7</v>
          </cell>
          <cell r="B15" t="str">
            <v>Suministro, transporte y colocación de base granular de máximo Ø 1½", reacomodado con medios mecánicos y compactado al  100% mínimo del ensayo del proctor modificado, según normas para la construcción de pavimentos, y todo lo necesario para su correcta construcción y funcionamiento Su medida sera tomada en sitio ya compactado, debe cumplir con los requisitos de invias 301</v>
          </cell>
          <cell r="C15" t="str">
            <v>m³</v>
          </cell>
        </row>
        <row r="16">
          <cell r="A16">
            <v>3</v>
          </cell>
          <cell r="B16" t="str">
            <v>ESTRUCTURA DE PAVIMENTO</v>
          </cell>
        </row>
        <row r="17">
          <cell r="A17" t="str">
            <v>3,1</v>
          </cell>
          <cell r="B17" t="str">
            <v>Fresado de Pavimento Asfaltico en espesor de 10 cm.  Incluye fresadora de pavimento y cargue, no incluye transporte.</v>
          </cell>
          <cell r="C17" t="str">
            <v>m2</v>
          </cell>
        </row>
        <row r="18">
          <cell r="A18" t="str">
            <v>3,2</v>
          </cell>
          <cell r="B18" t="str">
            <v>Suministro, transporte y colocación de mezcla asfáltica en caliente MDC - 19. Compactada con medios mecánicos. Según normas para la construcción de pavimentos. Según Normas INVIAS.</v>
          </cell>
          <cell r="C18" t="str">
            <v>m3</v>
          </cell>
        </row>
        <row r="19">
          <cell r="A19" t="str">
            <v>3,3</v>
          </cell>
          <cell r="B19" t="str">
            <v>Suministro, transporte y colocación de emulsión asfáltica catiónica de rompimiento lento C.R.L. para imprimación de superficie a pavimentar. Incluye todo lo necesario para su correcta construcción y funcionamiento.</v>
          </cell>
          <cell r="C19" t="str">
            <v>m2</v>
          </cell>
        </row>
        <row r="20">
          <cell r="A20" t="str">
            <v>3,4</v>
          </cell>
          <cell r="B20" t="str">
            <v>Suministro, transporte y colocación de cordón prefabricado de 0.15 x 0.45 x 0.80 m de concreto de 21 Mpa, tres caras, juntas ranuradas, referencia Bordillo Barrera Recto Tipo U10 (según M.E.P). Incluye excavación, conformación del terreno, ajustes de concreto o pavimento donde sea necesario, mortero 1:4 de asiento y pega en las longitudes más adecuadas para el desarrollo de la obra, y todo lo necesario para su correcta construcción y funcionamiento. Según diseño.</v>
          </cell>
          <cell r="C20" t="str">
            <v>ml</v>
          </cell>
        </row>
        <row r="21">
          <cell r="A21" t="str">
            <v>4.0</v>
          </cell>
          <cell r="B21" t="str">
            <v>CONCRETOS</v>
          </cell>
        </row>
        <row r="22">
          <cell r="A22" t="str">
            <v>4,1</v>
          </cell>
          <cell r="B22" t="str">
            <v>Concreto clase D (210 kg/cm2 ó 3000 PSI) - para anden</v>
          </cell>
          <cell r="C22" t="str">
            <v>m3</v>
          </cell>
        </row>
        <row r="23">
          <cell r="A23" t="str">
            <v>4,2</v>
          </cell>
          <cell r="B23" t="str">
            <v>Concreto clase D (210 kg/cm2 ó 3000 PSI) - para cuneta</v>
          </cell>
          <cell r="C23" t="str">
            <v>m3</v>
          </cell>
        </row>
        <row r="24">
          <cell r="A24" t="str">
            <v>4,3</v>
          </cell>
          <cell r="B24" t="str">
            <v>Concreto de 21 Mpa para construcción de muros y losas  de poceta , cabezote, canal escalonado.  Según diseño  y/o Manual . No incluye refuerzo</v>
          </cell>
          <cell r="C24" t="str">
            <v>m3</v>
          </cell>
        </row>
        <row r="25">
          <cell r="A25" t="str">
            <v>5.0</v>
          </cell>
          <cell r="B25" t="str">
            <v>ACEROS</v>
          </cell>
        </row>
        <row r="26">
          <cell r="A26" t="str">
            <v>5,1</v>
          </cell>
          <cell r="B26" t="str">
            <v>Acero de refuerzo de FY = 4.200 Kg/cm 2 (60.000 PSI).</v>
          </cell>
          <cell r="C26" t="str">
            <v>kg</v>
          </cell>
        </row>
        <row r="27">
          <cell r="A27" t="str">
            <v>5,2</v>
          </cell>
          <cell r="B27" t="str">
            <v>Colocación de MALLA ELECTROSOLDADA TIPO D 84. Incluye el suministro y el transporte del material y todos los elementos necesarios para su correcta colocación.</v>
          </cell>
          <cell r="C27" t="str">
            <v>m2</v>
          </cell>
        </row>
        <row r="28">
          <cell r="A28" t="str">
            <v>6,0</v>
          </cell>
          <cell r="B28" t="str">
            <v>OBRAS DE DRENAJE</v>
          </cell>
        </row>
        <row r="29">
          <cell r="A29" t="str">
            <v>6,1</v>
          </cell>
          <cell r="B29" t="str">
            <v>Construcción de SUMIDERO de aguas lluvias TIPO B (1.10m x 0.80m medidas externas y prof=0.90m e=0.20m), en concreto de 21 Mpa. Incluye suministro, transporte y colocación del concreto, reja metálica, formaleta, vibrado y todo lo necesario para su correcta construcción y funcionamiento.</v>
          </cell>
          <cell r="C29" t="str">
            <v>und</v>
          </cell>
        </row>
        <row r="30">
          <cell r="A30" t="str">
            <v>6,2</v>
          </cell>
          <cell r="B30" t="str">
            <v>Suministro, transporte e instalación de TUBERÍA PVC-NOVAFORT, con un DIÁMETRO DE 250 mm. Incluye suministro y transporte de los materiales, bocas, conexiones, accesorios, acondicionador de superficie y adhesivo Novafort  y todos los elementos necesarios para su correcta instalación y funcionamiento.</v>
          </cell>
          <cell r="C30" t="str">
            <v>m</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 Prestacional 2023"/>
      <sheetName val="Gastos administrativos"/>
      <sheetName val="Ppto TIPO"/>
      <sheetName val="Base_Referencia_SIF"/>
      <sheetName val="AIU"/>
      <sheetName val="Memoria de cantidades"/>
      <sheetName val="PMA-GS-SST"/>
      <sheetName val="Personal profesional - técnico"/>
      <sheetName val="PMT"/>
      <sheetName val="Licencias y permisos"/>
      <sheetName val="APU CARACTERIZACION VIAL"/>
      <sheetName val="APU GEORREFERENCIACION"/>
      <sheetName val="OBRA_PÓLIZAS"/>
      <sheetName val="OBRA_LEGALIZACIÓN"/>
      <sheetName val="AJUSTES A ESTUDIOS Y DISEÑOS"/>
      <sheetName val="Ensayos de laboratorio"/>
      <sheetName val="Análisis_Reajustes_OBRA"/>
      <sheetName val="FORMULARIO 1 - Pliego tipo"/>
      <sheetName val="INTERV FM"/>
      <sheetName val="INTERV_TASAS"/>
      <sheetName val="INTERV_POLIZAS"/>
      <sheetName val="Comisión de topografía"/>
      <sheetName val="Ensayos interv"/>
      <sheetName val="Auxilio_Alojamiento-Alimen."/>
      <sheetName val="Estimación_Dotación"/>
    </sheetNames>
    <sheetDataSet>
      <sheetData sheetId="0">
        <row r="37">
          <cell r="E37">
            <v>1.4837809997264022</v>
          </cell>
          <cell r="U37">
            <v>1.4637295218963291</v>
          </cell>
        </row>
      </sheetData>
      <sheetData sheetId="1">
        <row r="17">
          <cell r="E17">
            <v>1382326</v>
          </cell>
        </row>
        <row r="35">
          <cell r="E35">
            <v>504515</v>
          </cell>
        </row>
      </sheetData>
      <sheetData sheetId="2">
        <row r="267">
          <cell r="K267">
            <v>7136470891</v>
          </cell>
        </row>
        <row r="271">
          <cell r="K271">
            <v>151243965</v>
          </cell>
        </row>
        <row r="272">
          <cell r="K272">
            <v>76963363</v>
          </cell>
        </row>
        <row r="273">
          <cell r="G273" t="str">
            <v>LICENCIAS Y PERMISOS</v>
          </cell>
          <cell r="K273">
            <v>31929560</v>
          </cell>
        </row>
        <row r="274">
          <cell r="K274">
            <v>41632903</v>
          </cell>
        </row>
        <row r="275">
          <cell r="K275">
            <v>115269000</v>
          </cell>
        </row>
        <row r="276">
          <cell r="K276">
            <v>108510129</v>
          </cell>
        </row>
        <row r="280">
          <cell r="K280">
            <v>7716435711</v>
          </cell>
        </row>
        <row r="290">
          <cell r="K290">
            <v>0</v>
          </cell>
        </row>
      </sheetData>
      <sheetData sheetId="3" refreshError="1"/>
      <sheetData sheetId="4">
        <row r="6">
          <cell r="H6" t="str">
            <v>PLAZO - MESES</v>
          </cell>
        </row>
      </sheetData>
      <sheetData sheetId="5" refreshError="1"/>
      <sheetData sheetId="6"/>
      <sheetData sheetId="7">
        <row r="8">
          <cell r="D8">
            <v>11242000</v>
          </cell>
        </row>
        <row r="10">
          <cell r="D10">
            <v>7446000</v>
          </cell>
        </row>
        <row r="12">
          <cell r="D12">
            <v>5940000</v>
          </cell>
        </row>
        <row r="16">
          <cell r="D16">
            <v>3614000</v>
          </cell>
        </row>
        <row r="24">
          <cell r="D24">
            <v>1462000</v>
          </cell>
        </row>
      </sheetData>
      <sheetData sheetId="8" refreshError="1"/>
      <sheetData sheetId="9" refreshError="1"/>
      <sheetData sheetId="10">
        <row r="24">
          <cell r="I24">
            <v>1236725</v>
          </cell>
        </row>
      </sheetData>
      <sheetData sheetId="11" refreshError="1"/>
      <sheetData sheetId="12" refreshError="1"/>
      <sheetData sheetId="13"/>
      <sheetData sheetId="14" refreshError="1"/>
      <sheetData sheetId="15"/>
      <sheetData sheetId="16" refreshError="1"/>
      <sheetData sheetId="17">
        <row r="1">
          <cell r="D1" t="str">
            <v>Nota 1: El archivo contiene referencias circulares, por lo tanto se debe tener activo el calculo iterativo de las fórmulas</v>
          </cell>
        </row>
        <row r="36">
          <cell r="H36">
            <v>172471500</v>
          </cell>
        </row>
      </sheetData>
      <sheetData sheetId="18">
        <row r="34">
          <cell r="D34">
            <v>1.4796647562060979E-2</v>
          </cell>
        </row>
      </sheetData>
      <sheetData sheetId="19"/>
      <sheetData sheetId="20">
        <row r="15">
          <cell r="H15">
            <v>4031565</v>
          </cell>
        </row>
      </sheetData>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1.bin"/></Relationships>
</file>

<file path=xl/worksheets/_rels/sheet30.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2.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3.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4.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5.bin"/></Relationships>
</file>

<file path=xl/worksheets/_rels/sheet4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printerSettings" Target="../printerSettings/printerSettings26.bin"/><Relationship Id="rId1" Type="http://schemas.openxmlformats.org/officeDocument/2006/relationships/hyperlink" Target="https://support.microsoft.com/es-es/office/cambiar-la-precisi%c3%b3n-la-iteraci%c3%b3n-o-el-c%c3%a1lculo-de-f%c3%b3rmulas-en-excel-73fc7dac-91cf-4d36-86e8-67124f6bcce4?ui=es-es&amp;rs=es-es&amp;ad=es" TargetMode="External"/><Relationship Id="rId4" Type="http://schemas.openxmlformats.org/officeDocument/2006/relationships/comments" Target="../comments2.xml"/></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BD9504-9912-4435-851C-403DFE290844}">
  <sheetPr codeName="Hoja1">
    <tabColor theme="8"/>
  </sheetPr>
  <dimension ref="A1:K105"/>
  <sheetViews>
    <sheetView view="pageBreakPreview" zoomScale="60" zoomScaleNormal="90" workbookViewId="0">
      <selection activeCell="B4" sqref="B4"/>
    </sheetView>
  </sheetViews>
  <sheetFormatPr baseColWidth="10" defaultColWidth="11.453125" defaultRowHeight="14.5"/>
  <cols>
    <col min="1" max="1" width="9.08984375" style="34" customWidth="1"/>
    <col min="2" max="2" width="98.6328125" style="284" customWidth="1"/>
    <col min="3" max="3" width="22.6328125" style="1" customWidth="1"/>
    <col min="4" max="4" width="11.453125" style="1" bestFit="1" customWidth="1"/>
    <col min="5" max="5" width="20" style="1" customWidth="1"/>
    <col min="6" max="6" width="23.36328125" style="1" customWidth="1"/>
    <col min="7" max="7" width="11.453125" style="1"/>
    <col min="8" max="8" width="12.453125" style="1" bestFit="1" customWidth="1"/>
    <col min="9" max="9" width="15.36328125" style="1" bestFit="1" customWidth="1"/>
    <col min="10" max="10" width="11.453125" style="1"/>
    <col min="11" max="11" width="17.453125" style="1" bestFit="1" customWidth="1"/>
    <col min="12" max="16384" width="11.453125" style="1"/>
  </cols>
  <sheetData>
    <row r="1" spans="1:11">
      <c r="A1" s="1577" t="s">
        <v>0</v>
      </c>
      <c r="B1" s="1578"/>
      <c r="C1" s="1578"/>
      <c r="D1" s="1578"/>
      <c r="E1" s="1578"/>
      <c r="F1" s="1579"/>
    </row>
    <row r="2" spans="1:11" s="131" customFormat="1">
      <c r="A2" s="285" t="s">
        <v>1</v>
      </c>
      <c r="B2" s="286" t="s">
        <v>2</v>
      </c>
      <c r="C2" s="287" t="s">
        <v>3</v>
      </c>
      <c r="D2" s="287" t="s">
        <v>4</v>
      </c>
      <c r="E2" s="287" t="s">
        <v>5</v>
      </c>
      <c r="F2" s="288" t="s">
        <v>6</v>
      </c>
    </row>
    <row r="3" spans="1:11" s="131" customFormat="1">
      <c r="A3" s="278">
        <v>1</v>
      </c>
      <c r="B3" s="282" t="s">
        <v>7</v>
      </c>
      <c r="C3" s="136"/>
      <c r="D3" s="137"/>
      <c r="E3" s="138"/>
      <c r="F3" s="279"/>
    </row>
    <row r="4" spans="1:11" s="131" customFormat="1" ht="98" customHeight="1">
      <c r="A4" s="280" t="s">
        <v>8</v>
      </c>
      <c r="B4" s="283" t="s">
        <v>9</v>
      </c>
      <c r="C4" s="130" t="s">
        <v>10</v>
      </c>
      <c r="D4" s="132"/>
      <c r="E4" s="133" t="e">
        <f>+#REF!</f>
        <v>#REF!</v>
      </c>
      <c r="F4" s="281" t="e">
        <f>ROUND((E4*D4),0)</f>
        <v>#REF!</v>
      </c>
    </row>
    <row r="5" spans="1:11" s="131" customFormat="1">
      <c r="A5" s="278">
        <v>2</v>
      </c>
      <c r="B5" s="282" t="s">
        <v>11</v>
      </c>
      <c r="C5" s="136"/>
      <c r="D5" s="137"/>
      <c r="E5" s="138"/>
      <c r="F5" s="279"/>
    </row>
    <row r="6" spans="1:11" s="131" customFormat="1" ht="98" customHeight="1">
      <c r="A6" s="280" t="s">
        <v>12</v>
      </c>
      <c r="B6" s="283" t="s">
        <v>13</v>
      </c>
      <c r="C6" s="130" t="s">
        <v>14</v>
      </c>
      <c r="D6" s="132"/>
      <c r="E6" s="133" t="e">
        <f>+#REF!</f>
        <v>#REF!</v>
      </c>
      <c r="F6" s="281" t="e">
        <f>ROUND((E6*D6),0)</f>
        <v>#REF!</v>
      </c>
    </row>
    <row r="7" spans="1:11" s="131" customFormat="1">
      <c r="A7" s="278">
        <v>3</v>
      </c>
      <c r="B7" s="282" t="s">
        <v>15</v>
      </c>
      <c r="C7" s="136"/>
      <c r="D7" s="137"/>
      <c r="E7" s="138"/>
      <c r="F7" s="279"/>
    </row>
    <row r="8" spans="1:11" s="131" customFormat="1" ht="98" customHeight="1">
      <c r="A8" s="280" t="s">
        <v>16</v>
      </c>
      <c r="B8" s="283" t="s">
        <v>17</v>
      </c>
      <c r="C8" s="130" t="s">
        <v>14</v>
      </c>
      <c r="D8" s="132"/>
      <c r="E8" s="310" t="e">
        <f>+#REF!</f>
        <v>#REF!</v>
      </c>
      <c r="F8" s="281" t="e">
        <f>ROUND((E8*D8),0)</f>
        <v>#REF!</v>
      </c>
    </row>
    <row r="9" spans="1:11" s="131" customFormat="1" ht="98" customHeight="1">
      <c r="A9" s="280" t="s">
        <v>18</v>
      </c>
      <c r="B9" s="283" t="s">
        <v>19</v>
      </c>
      <c r="C9" s="130" t="s">
        <v>14</v>
      </c>
      <c r="D9" s="132"/>
      <c r="E9" s="310" t="e">
        <f>+#REF!</f>
        <v>#REF!</v>
      </c>
      <c r="F9" s="281" t="e">
        <f t="shared" ref="F9" si="0">ROUND((E9*D9),0)</f>
        <v>#REF!</v>
      </c>
    </row>
    <row r="10" spans="1:11" s="131" customFormat="1">
      <c r="A10" s="278">
        <v>4</v>
      </c>
      <c r="B10" s="282" t="s">
        <v>20</v>
      </c>
      <c r="C10" s="136"/>
      <c r="D10" s="137"/>
      <c r="E10" s="138"/>
      <c r="F10" s="279"/>
    </row>
    <row r="11" spans="1:11" s="131" customFormat="1" ht="98" customHeight="1">
      <c r="A11" s="280" t="s">
        <v>21</v>
      </c>
      <c r="B11" s="283" t="s">
        <v>22</v>
      </c>
      <c r="C11" s="130" t="s">
        <v>23</v>
      </c>
      <c r="D11" s="132"/>
      <c r="E11" s="133" t="e">
        <f>+#REF!</f>
        <v>#REF!</v>
      </c>
      <c r="F11" s="281" t="e">
        <f>ROUND((E11*D11),0)</f>
        <v>#REF!</v>
      </c>
    </row>
    <row r="12" spans="1:11" s="131" customFormat="1" ht="98" customHeight="1">
      <c r="A12" s="280" t="s">
        <v>24</v>
      </c>
      <c r="B12" s="283" t="s">
        <v>25</v>
      </c>
      <c r="C12" s="130" t="s">
        <v>23</v>
      </c>
      <c r="D12" s="132"/>
      <c r="E12" s="133" t="e">
        <f>+#REF!</f>
        <v>#REF!</v>
      </c>
      <c r="F12" s="281" t="e">
        <f>ROUND((E12*D12),0)</f>
        <v>#REF!</v>
      </c>
    </row>
    <row r="13" spans="1:11" s="131" customFormat="1" ht="98" customHeight="1">
      <c r="A13" s="280" t="s">
        <v>26</v>
      </c>
      <c r="B13" s="283" t="s">
        <v>27</v>
      </c>
      <c r="C13" s="130" t="s">
        <v>14</v>
      </c>
      <c r="D13" s="132"/>
      <c r="E13" s="133" t="e">
        <f>+#REF!</f>
        <v>#REF!</v>
      </c>
      <c r="F13" s="281" t="e">
        <f>ROUND((E13*D13),0)</f>
        <v>#REF!</v>
      </c>
      <c r="K13" s="134"/>
    </row>
    <row r="14" spans="1:11" s="131" customFormat="1" ht="98" customHeight="1">
      <c r="A14" s="280" t="s">
        <v>28</v>
      </c>
      <c r="B14" s="283" t="s">
        <v>29</v>
      </c>
      <c r="C14" s="130" t="s">
        <v>23</v>
      </c>
      <c r="D14" s="132"/>
      <c r="E14" s="133" t="e">
        <f>+#REF!</f>
        <v>#REF!</v>
      </c>
      <c r="F14" s="281" t="e">
        <f>ROUND((E14*D14),0)</f>
        <v>#REF!</v>
      </c>
      <c r="K14" s="135"/>
    </row>
    <row r="15" spans="1:11" s="131" customFormat="1" ht="98" customHeight="1">
      <c r="A15" s="280" t="s">
        <v>30</v>
      </c>
      <c r="B15" s="283" t="s">
        <v>31</v>
      </c>
      <c r="C15" s="130" t="s">
        <v>10</v>
      </c>
      <c r="D15" s="132"/>
      <c r="E15" s="133" t="e">
        <f>+#REF!</f>
        <v>#REF!</v>
      </c>
      <c r="F15" s="281" t="e">
        <f t="shared" ref="F15:F18" si="1">ROUND((E15*D15),0)</f>
        <v>#REF!</v>
      </c>
      <c r="K15" s="135"/>
    </row>
    <row r="16" spans="1:11" s="131" customFormat="1" ht="98" customHeight="1">
      <c r="A16" s="280" t="s">
        <v>32</v>
      </c>
      <c r="B16" s="283" t="s">
        <v>33</v>
      </c>
      <c r="C16" s="130" t="s">
        <v>34</v>
      </c>
      <c r="D16" s="132"/>
      <c r="E16" s="133" t="e">
        <f>+#REF!</f>
        <v>#REF!</v>
      </c>
      <c r="F16" s="281" t="e">
        <f t="shared" si="1"/>
        <v>#REF!</v>
      </c>
      <c r="K16" s="135"/>
    </row>
    <row r="17" spans="1:11" s="131" customFormat="1" ht="98" customHeight="1">
      <c r="A17" s="280" t="s">
        <v>35</v>
      </c>
      <c r="B17" s="283" t="s">
        <v>36</v>
      </c>
      <c r="C17" s="130" t="s">
        <v>34</v>
      </c>
      <c r="D17" s="132"/>
      <c r="E17" s="133" t="e">
        <f>+#REF!</f>
        <v>#REF!</v>
      </c>
      <c r="F17" s="281" t="e">
        <f t="shared" si="1"/>
        <v>#REF!</v>
      </c>
      <c r="K17" s="135"/>
    </row>
    <row r="18" spans="1:11" s="131" customFormat="1" ht="98" customHeight="1">
      <c r="A18" s="280" t="s">
        <v>37</v>
      </c>
      <c r="B18" s="283" t="s">
        <v>38</v>
      </c>
      <c r="C18" s="130" t="s">
        <v>34</v>
      </c>
      <c r="D18" s="132"/>
      <c r="E18" s="133" t="e">
        <f>+#REF!</f>
        <v>#REF!</v>
      </c>
      <c r="F18" s="281" t="e">
        <f t="shared" si="1"/>
        <v>#REF!</v>
      </c>
      <c r="K18" s="135"/>
    </row>
    <row r="19" spans="1:11" s="131" customFormat="1">
      <c r="A19" s="278">
        <v>5</v>
      </c>
      <c r="B19" s="282" t="s">
        <v>39</v>
      </c>
      <c r="C19" s="136"/>
      <c r="D19" s="137"/>
      <c r="E19" s="138"/>
      <c r="F19" s="279"/>
      <c r="K19" s="135"/>
    </row>
    <row r="20" spans="1:11" s="131" customFormat="1" ht="98" customHeight="1">
      <c r="A20" s="280" t="s">
        <v>40</v>
      </c>
      <c r="B20" s="283" t="s">
        <v>41</v>
      </c>
      <c r="C20" s="130" t="s">
        <v>34</v>
      </c>
      <c r="D20" s="132"/>
      <c r="E20" s="133" t="e">
        <f>+#REF!</f>
        <v>#REF!</v>
      </c>
      <c r="F20" s="281" t="e">
        <f>ROUND((E20*D20),0)</f>
        <v>#REF!</v>
      </c>
    </row>
    <row r="21" spans="1:11" s="131" customFormat="1" ht="98" customHeight="1">
      <c r="A21" s="280" t="s">
        <v>42</v>
      </c>
      <c r="B21" s="283" t="s">
        <v>43</v>
      </c>
      <c r="C21" s="130" t="s">
        <v>14</v>
      </c>
      <c r="D21" s="132"/>
      <c r="E21" s="310" t="e">
        <f>+#REF!</f>
        <v>#REF!</v>
      </c>
      <c r="F21" s="281" t="e">
        <f t="shared" ref="F21" si="2">ROUND((E21*D21),0)</f>
        <v>#REF!</v>
      </c>
    </row>
    <row r="22" spans="1:11" s="131" customFormat="1" ht="98" customHeight="1">
      <c r="A22" s="280" t="s">
        <v>44</v>
      </c>
      <c r="B22" s="283" t="s">
        <v>45</v>
      </c>
      <c r="C22" s="130" t="s">
        <v>34</v>
      </c>
      <c r="D22" s="132"/>
      <c r="E22" s="133" t="e">
        <f>+#REF!</f>
        <v>#REF!</v>
      </c>
      <c r="F22" s="281" t="e">
        <f>ROUND((E22*D22),0)</f>
        <v>#REF!</v>
      </c>
      <c r="K22" s="135"/>
    </row>
    <row r="23" spans="1:11" s="131" customFormat="1" ht="98" customHeight="1">
      <c r="A23" s="280" t="s">
        <v>46</v>
      </c>
      <c r="B23" s="283" t="s">
        <v>47</v>
      </c>
      <c r="C23" s="130" t="s">
        <v>10</v>
      </c>
      <c r="D23" s="132"/>
      <c r="E23" s="133" t="e">
        <f>+#REF!</f>
        <v>#REF!</v>
      </c>
      <c r="F23" s="281" t="e">
        <f>ROUND((E23*D23),0)</f>
        <v>#REF!</v>
      </c>
    </row>
    <row r="24" spans="1:11" s="131" customFormat="1" ht="98" customHeight="1">
      <c r="A24" s="280" t="s">
        <v>48</v>
      </c>
      <c r="B24" s="283" t="s">
        <v>49</v>
      </c>
      <c r="C24" s="130" t="s">
        <v>34</v>
      </c>
      <c r="D24" s="132"/>
      <c r="E24" s="133" t="e">
        <f>+#REF!</f>
        <v>#REF!</v>
      </c>
      <c r="F24" s="281" t="e">
        <f>ROUND((E24*D24),0)</f>
        <v>#REF!</v>
      </c>
    </row>
    <row r="25" spans="1:11" s="131" customFormat="1">
      <c r="A25" s="278">
        <v>6</v>
      </c>
      <c r="B25" s="282" t="s">
        <v>50</v>
      </c>
      <c r="C25" s="136"/>
      <c r="D25" s="137"/>
      <c r="E25" s="138"/>
      <c r="F25" s="279"/>
    </row>
    <row r="26" spans="1:11" s="131" customFormat="1" ht="98" customHeight="1">
      <c r="A26" s="280" t="s">
        <v>51</v>
      </c>
      <c r="B26" s="283" t="s">
        <v>52</v>
      </c>
      <c r="C26" s="130" t="s">
        <v>34</v>
      </c>
      <c r="D26" s="132"/>
      <c r="E26" s="310" t="e">
        <f>+#REF!</f>
        <v>#REF!</v>
      </c>
      <c r="F26" s="281" t="e">
        <f t="shared" ref="F26:F32" si="3">ROUND((E26*D26),0)</f>
        <v>#REF!</v>
      </c>
      <c r="I26" s="134"/>
      <c r="K26" s="135"/>
    </row>
    <row r="27" spans="1:11" s="131" customFormat="1" ht="98" customHeight="1">
      <c r="A27" s="280" t="s">
        <v>53</v>
      </c>
      <c r="B27" s="283" t="s">
        <v>54</v>
      </c>
      <c r="C27" s="130" t="s">
        <v>34</v>
      </c>
      <c r="D27" s="132"/>
      <c r="E27" s="133" t="e">
        <f>+#REF!</f>
        <v>#REF!</v>
      </c>
      <c r="F27" s="281" t="e">
        <f t="shared" si="3"/>
        <v>#REF!</v>
      </c>
      <c r="I27" s="134"/>
    </row>
    <row r="28" spans="1:11" s="131" customFormat="1" ht="98" customHeight="1">
      <c r="A28" s="280" t="s">
        <v>55</v>
      </c>
      <c r="B28" s="283" t="s">
        <v>56</v>
      </c>
      <c r="C28" s="130" t="s">
        <v>10</v>
      </c>
      <c r="D28" s="132"/>
      <c r="E28" s="133" t="e">
        <f>+#REF!</f>
        <v>#REF!</v>
      </c>
      <c r="F28" s="281" t="e">
        <f t="shared" si="3"/>
        <v>#REF!</v>
      </c>
      <c r="I28" s="134"/>
    </row>
    <row r="29" spans="1:11" s="131" customFormat="1" ht="98" customHeight="1">
      <c r="A29" s="280" t="s">
        <v>57</v>
      </c>
      <c r="B29" s="283" t="s">
        <v>58</v>
      </c>
      <c r="C29" s="130" t="s">
        <v>34</v>
      </c>
      <c r="D29" s="132"/>
      <c r="E29" s="133" t="e">
        <f>+#REF!</f>
        <v>#REF!</v>
      </c>
      <c r="F29" s="281" t="e">
        <f t="shared" si="3"/>
        <v>#REF!</v>
      </c>
      <c r="I29" s="134"/>
    </row>
    <row r="30" spans="1:11" s="131" customFormat="1" ht="98" customHeight="1">
      <c r="A30" s="280" t="s">
        <v>59</v>
      </c>
      <c r="B30" s="283" t="s">
        <v>60</v>
      </c>
      <c r="C30" s="130" t="s">
        <v>34</v>
      </c>
      <c r="D30" s="132"/>
      <c r="E30" s="133" t="e">
        <f>+#REF!</f>
        <v>#REF!</v>
      </c>
      <c r="F30" s="281" t="e">
        <f t="shared" si="3"/>
        <v>#REF!</v>
      </c>
      <c r="I30" s="134"/>
    </row>
    <row r="31" spans="1:11" s="131" customFormat="1" ht="98" customHeight="1">
      <c r="A31" s="280" t="s">
        <v>61</v>
      </c>
      <c r="B31" s="283" t="s">
        <v>62</v>
      </c>
      <c r="C31" s="130" t="s">
        <v>10</v>
      </c>
      <c r="D31" s="132"/>
      <c r="E31" s="133" t="e">
        <f>+#REF!</f>
        <v>#REF!</v>
      </c>
      <c r="F31" s="281" t="e">
        <f t="shared" si="3"/>
        <v>#REF!</v>
      </c>
      <c r="I31" s="134"/>
    </row>
    <row r="32" spans="1:11" s="131" customFormat="1" ht="98" customHeight="1">
      <c r="A32" s="280" t="s">
        <v>63</v>
      </c>
      <c r="B32" s="283" t="s">
        <v>64</v>
      </c>
      <c r="C32" s="130" t="s">
        <v>10</v>
      </c>
      <c r="D32" s="132"/>
      <c r="E32" s="133" t="e">
        <f>+#REF!</f>
        <v>#REF!</v>
      </c>
      <c r="F32" s="281" t="e">
        <f t="shared" si="3"/>
        <v>#REF!</v>
      </c>
      <c r="I32" s="134"/>
    </row>
    <row r="33" spans="1:9" s="131" customFormat="1">
      <c r="A33" s="278">
        <v>7</v>
      </c>
      <c r="B33" s="282" t="s">
        <v>65</v>
      </c>
      <c r="C33" s="136" t="s">
        <v>66</v>
      </c>
      <c r="D33" s="137"/>
      <c r="E33" s="138"/>
      <c r="F33" s="279"/>
    </row>
    <row r="34" spans="1:9" s="131" customFormat="1" ht="98" customHeight="1">
      <c r="A34" s="280" t="s">
        <v>67</v>
      </c>
      <c r="B34" s="283" t="s">
        <v>68</v>
      </c>
      <c r="C34" s="130" t="s">
        <v>69</v>
      </c>
      <c r="D34" s="132"/>
      <c r="E34" s="133" t="e">
        <f>+#REF!</f>
        <v>#REF!</v>
      </c>
      <c r="F34" s="281" t="e">
        <f>ROUND((E34*D34),0)</f>
        <v>#REF!</v>
      </c>
    </row>
    <row r="35" spans="1:9" s="131" customFormat="1">
      <c r="A35" s="278">
        <v>8</v>
      </c>
      <c r="B35" s="282" t="s">
        <v>70</v>
      </c>
      <c r="C35" s="136" t="s">
        <v>66</v>
      </c>
      <c r="D35" s="137"/>
      <c r="E35" s="138"/>
      <c r="F35" s="279"/>
    </row>
    <row r="36" spans="1:9" s="131" customFormat="1" ht="98" customHeight="1">
      <c r="A36" s="280" t="s">
        <v>71</v>
      </c>
      <c r="B36" s="283" t="s">
        <v>72</v>
      </c>
      <c r="C36" s="130" t="s">
        <v>34</v>
      </c>
      <c r="D36" s="132"/>
      <c r="E36" s="133" t="e">
        <f>+#REF!</f>
        <v>#REF!</v>
      </c>
      <c r="F36" s="281" t="e">
        <f t="shared" ref="F36" si="4">ROUND((E36*D36),0)</f>
        <v>#REF!</v>
      </c>
    </row>
    <row r="37" spans="1:9" s="131" customFormat="1">
      <c r="A37" s="278">
        <v>9</v>
      </c>
      <c r="B37" s="282" t="s">
        <v>73</v>
      </c>
      <c r="C37" s="136" t="s">
        <v>66</v>
      </c>
      <c r="D37" s="137"/>
      <c r="E37" s="138"/>
      <c r="F37" s="279"/>
    </row>
    <row r="38" spans="1:9" s="131" customFormat="1" ht="98" customHeight="1">
      <c r="A38" s="280" t="s">
        <v>74</v>
      </c>
      <c r="B38" s="283" t="s">
        <v>75</v>
      </c>
      <c r="C38" s="130" t="s">
        <v>34</v>
      </c>
      <c r="D38" s="132"/>
      <c r="E38" s="310" t="e">
        <f>+#REF!</f>
        <v>#REF!</v>
      </c>
      <c r="F38" s="281" t="e">
        <f t="shared" ref="F38:F42" si="5">ROUND((E38*D38),0)</f>
        <v>#REF!</v>
      </c>
      <c r="I38" s="152"/>
    </row>
    <row r="39" spans="1:9" s="131" customFormat="1" ht="98" customHeight="1">
      <c r="A39" s="280" t="s">
        <v>76</v>
      </c>
      <c r="B39" s="283" t="s">
        <v>77</v>
      </c>
      <c r="C39" s="130" t="s">
        <v>34</v>
      </c>
      <c r="D39" s="132"/>
      <c r="E39" s="310" t="e">
        <f>+#REF!</f>
        <v>#REF!</v>
      </c>
      <c r="F39" s="281" t="e">
        <f t="shared" si="5"/>
        <v>#REF!</v>
      </c>
    </row>
    <row r="40" spans="1:9" s="131" customFormat="1" ht="98" customHeight="1">
      <c r="A40" s="280" t="s">
        <v>78</v>
      </c>
      <c r="B40" s="283" t="s">
        <v>79</v>
      </c>
      <c r="C40" s="130" t="s">
        <v>80</v>
      </c>
      <c r="D40" s="132"/>
      <c r="E40" s="133" t="e">
        <f>+#REF!</f>
        <v>#REF!</v>
      </c>
      <c r="F40" s="281" t="e">
        <f t="shared" si="5"/>
        <v>#REF!</v>
      </c>
    </row>
    <row r="41" spans="1:9" s="131" customFormat="1" ht="98" customHeight="1">
      <c r="A41" s="280" t="s">
        <v>81</v>
      </c>
      <c r="B41" s="283" t="s">
        <v>82</v>
      </c>
      <c r="C41" s="130" t="s">
        <v>23</v>
      </c>
      <c r="D41" s="132"/>
      <c r="E41" s="133" t="e">
        <f>+#REF!</f>
        <v>#REF!</v>
      </c>
      <c r="F41" s="281" t="e">
        <f t="shared" si="5"/>
        <v>#REF!</v>
      </c>
    </row>
    <row r="42" spans="1:9" s="131" customFormat="1" ht="98" customHeight="1">
      <c r="A42" s="280" t="s">
        <v>83</v>
      </c>
      <c r="B42" s="283" t="s">
        <v>84</v>
      </c>
      <c r="C42" s="130" t="s">
        <v>34</v>
      </c>
      <c r="D42" s="132"/>
      <c r="E42" s="310" t="e">
        <f>+#REF!</f>
        <v>#REF!</v>
      </c>
      <c r="F42" s="281" t="e">
        <f t="shared" si="5"/>
        <v>#REF!</v>
      </c>
    </row>
    <row r="43" spans="1:9" s="131" customFormat="1">
      <c r="A43" s="278">
        <v>10</v>
      </c>
      <c r="B43" s="282" t="s">
        <v>85</v>
      </c>
      <c r="C43" s="136"/>
      <c r="D43" s="137"/>
      <c r="E43" s="138"/>
      <c r="F43" s="279"/>
    </row>
    <row r="44" spans="1:9" s="131" customFormat="1" ht="98" customHeight="1">
      <c r="A44" s="280" t="s">
        <v>86</v>
      </c>
      <c r="B44" s="283" t="s">
        <v>87</v>
      </c>
      <c r="C44" s="130" t="s">
        <v>23</v>
      </c>
      <c r="D44" s="132"/>
      <c r="E44" s="133" t="e">
        <f>+#REF!</f>
        <v>#REF!</v>
      </c>
      <c r="F44" s="281" t="e">
        <f t="shared" ref="F44:F46" si="6">ROUND((E44*D44),0)</f>
        <v>#REF!</v>
      </c>
    </row>
    <row r="45" spans="1:9" s="131" customFormat="1" ht="98" customHeight="1">
      <c r="A45" s="280" t="s">
        <v>88</v>
      </c>
      <c r="B45" s="283" t="s">
        <v>89</v>
      </c>
      <c r="C45" s="130" t="s">
        <v>23</v>
      </c>
      <c r="D45" s="132"/>
      <c r="E45" s="133" t="e">
        <f>+#REF!</f>
        <v>#REF!</v>
      </c>
      <c r="F45" s="281" t="e">
        <f t="shared" si="6"/>
        <v>#REF!</v>
      </c>
    </row>
    <row r="46" spans="1:9" s="131" customFormat="1" ht="98" customHeight="1">
      <c r="A46" s="280" t="s">
        <v>90</v>
      </c>
      <c r="B46" s="283" t="s">
        <v>91</v>
      </c>
      <c r="C46" s="130" t="s">
        <v>23</v>
      </c>
      <c r="D46" s="132"/>
      <c r="E46" s="133" t="e">
        <f>+#REF!</f>
        <v>#REF!</v>
      </c>
      <c r="F46" s="281" t="e">
        <f t="shared" si="6"/>
        <v>#REF!</v>
      </c>
    </row>
    <row r="47" spans="1:9" s="131" customFormat="1">
      <c r="A47" s="278">
        <v>11</v>
      </c>
      <c r="B47" s="282" t="s">
        <v>92</v>
      </c>
      <c r="C47" s="136" t="s">
        <v>66</v>
      </c>
      <c r="D47" s="137"/>
      <c r="E47" s="138"/>
      <c r="F47" s="279"/>
    </row>
    <row r="48" spans="1:9" s="131" customFormat="1" ht="98" customHeight="1">
      <c r="A48" s="280" t="s">
        <v>93</v>
      </c>
      <c r="B48" s="283" t="s">
        <v>94</v>
      </c>
      <c r="C48" s="130" t="s">
        <v>80</v>
      </c>
      <c r="D48" s="132"/>
      <c r="E48" s="310" t="e">
        <f>+#REF!</f>
        <v>#REF!</v>
      </c>
      <c r="F48" s="281" t="e">
        <f t="shared" ref="F48" si="7">ROUND((E48*D48),0)</f>
        <v>#REF!</v>
      </c>
      <c r="H48" s="152"/>
    </row>
    <row r="49" spans="1:8" s="131" customFormat="1">
      <c r="A49" s="278" t="s">
        <v>95</v>
      </c>
      <c r="B49" s="282" t="s">
        <v>96</v>
      </c>
      <c r="C49" s="136"/>
      <c r="D49" s="137"/>
      <c r="E49" s="138"/>
      <c r="F49" s="279"/>
      <c r="H49" s="152"/>
    </row>
    <row r="50" spans="1:8" s="131" customFormat="1">
      <c r="A50" s="278" t="s">
        <v>97</v>
      </c>
      <c r="B50" s="282" t="s">
        <v>98</v>
      </c>
      <c r="C50" s="136" t="s">
        <v>66</v>
      </c>
      <c r="D50" s="137"/>
      <c r="E50" s="138"/>
      <c r="F50" s="279"/>
    </row>
    <row r="51" spans="1:8" s="131" customFormat="1" ht="98" customHeight="1">
      <c r="A51" s="280" t="s">
        <v>99</v>
      </c>
      <c r="B51" s="283" t="s">
        <v>100</v>
      </c>
      <c r="C51" s="130" t="s">
        <v>23</v>
      </c>
      <c r="D51" s="132"/>
      <c r="E51" s="133" t="e">
        <f>+#REF!</f>
        <v>#REF!</v>
      </c>
      <c r="F51" s="281" t="e">
        <f t="shared" ref="F51:F54" si="8">ROUND((E51*D51),0)</f>
        <v>#REF!</v>
      </c>
    </row>
    <row r="52" spans="1:8" s="131" customFormat="1" ht="98" customHeight="1">
      <c r="A52" s="280" t="s">
        <v>101</v>
      </c>
      <c r="B52" s="283" t="s">
        <v>102</v>
      </c>
      <c r="C52" s="130" t="s">
        <v>23</v>
      </c>
      <c r="D52" s="132"/>
      <c r="E52" s="133" t="e">
        <f>+#REF!</f>
        <v>#REF!</v>
      </c>
      <c r="F52" s="281" t="e">
        <f t="shared" si="8"/>
        <v>#REF!</v>
      </c>
    </row>
    <row r="53" spans="1:8" s="131" customFormat="1">
      <c r="A53" s="278" t="s">
        <v>103</v>
      </c>
      <c r="B53" s="282" t="s">
        <v>104</v>
      </c>
      <c r="C53" s="136" t="s">
        <v>66</v>
      </c>
      <c r="D53" s="137"/>
      <c r="E53" s="138"/>
      <c r="F53" s="279"/>
    </row>
    <row r="54" spans="1:8" s="131" customFormat="1" ht="98" customHeight="1">
      <c r="A54" s="280" t="s">
        <v>105</v>
      </c>
      <c r="B54" s="283" t="s">
        <v>106</v>
      </c>
      <c r="C54" s="130" t="s">
        <v>23</v>
      </c>
      <c r="D54" s="132"/>
      <c r="E54" s="133" t="e">
        <f>+#REF!</f>
        <v>#REF!</v>
      </c>
      <c r="F54" s="281" t="e">
        <f t="shared" si="8"/>
        <v>#REF!</v>
      </c>
    </row>
    <row r="55" spans="1:8" s="131" customFormat="1">
      <c r="A55" s="278">
        <v>13</v>
      </c>
      <c r="B55" s="282" t="s">
        <v>107</v>
      </c>
      <c r="C55" s="136" t="s">
        <v>66</v>
      </c>
      <c r="D55" s="137"/>
      <c r="E55" s="138"/>
      <c r="F55" s="279"/>
    </row>
    <row r="56" spans="1:8" s="131" customFormat="1">
      <c r="A56" s="278" t="s">
        <v>108</v>
      </c>
      <c r="B56" s="282" t="s">
        <v>109</v>
      </c>
      <c r="C56" s="136" t="s">
        <v>66</v>
      </c>
      <c r="D56" s="137"/>
      <c r="E56" s="138"/>
      <c r="F56" s="279"/>
    </row>
    <row r="57" spans="1:8" s="131" customFormat="1" ht="98" customHeight="1">
      <c r="A57" s="280" t="s">
        <v>110</v>
      </c>
      <c r="B57" s="283" t="s">
        <v>111</v>
      </c>
      <c r="C57" s="130" t="s">
        <v>10</v>
      </c>
      <c r="D57" s="132"/>
      <c r="E57" s="133" t="e">
        <f>+#REF!</f>
        <v>#REF!</v>
      </c>
      <c r="F57" s="281" t="e">
        <f t="shared" ref="F57:F60" si="9">ROUND((E57*D57),0)</f>
        <v>#REF!</v>
      </c>
    </row>
    <row r="58" spans="1:8" s="131" customFormat="1" ht="98" customHeight="1">
      <c r="A58" s="280" t="s">
        <v>112</v>
      </c>
      <c r="B58" s="283" t="s">
        <v>113</v>
      </c>
      <c r="C58" s="130" t="s">
        <v>10</v>
      </c>
      <c r="D58" s="132"/>
      <c r="E58" s="133" t="e">
        <f>+#REF!</f>
        <v>#REF!</v>
      </c>
      <c r="F58" s="281" t="e">
        <f t="shared" si="9"/>
        <v>#REF!</v>
      </c>
    </row>
    <row r="59" spans="1:8" s="131" customFormat="1">
      <c r="A59" s="278" t="s">
        <v>114</v>
      </c>
      <c r="B59" s="282" t="s">
        <v>115</v>
      </c>
      <c r="C59" s="136" t="s">
        <v>66</v>
      </c>
      <c r="D59" s="137"/>
      <c r="E59" s="138"/>
      <c r="F59" s="279"/>
    </row>
    <row r="60" spans="1:8" s="131" customFormat="1" ht="98" customHeight="1">
      <c r="A60" s="280" t="s">
        <v>116</v>
      </c>
      <c r="B60" s="283" t="s">
        <v>117</v>
      </c>
      <c r="C60" s="130" t="s">
        <v>23</v>
      </c>
      <c r="D60" s="132"/>
      <c r="E60" s="133" t="e">
        <f>+#REF!</f>
        <v>#REF!</v>
      </c>
      <c r="F60" s="281" t="e">
        <f t="shared" si="9"/>
        <v>#REF!</v>
      </c>
    </row>
    <row r="61" spans="1:8" s="131" customFormat="1" ht="98" customHeight="1">
      <c r="A61" s="280" t="s">
        <v>118</v>
      </c>
      <c r="B61" s="283" t="s">
        <v>119</v>
      </c>
      <c r="C61" s="130" t="s">
        <v>23</v>
      </c>
      <c r="D61" s="132"/>
      <c r="E61" s="133" t="e">
        <f>+#REF!</f>
        <v>#REF!</v>
      </c>
      <c r="F61" s="281" t="e">
        <f t="shared" ref="F61:F63" si="10">ROUND((E61*D61),0)</f>
        <v>#REF!</v>
      </c>
    </row>
    <row r="62" spans="1:8" s="131" customFormat="1">
      <c r="A62" s="278" t="s">
        <v>120</v>
      </c>
      <c r="B62" s="282" t="s">
        <v>121</v>
      </c>
      <c r="C62" s="136" t="s">
        <v>66</v>
      </c>
      <c r="D62" s="137"/>
      <c r="E62" s="138"/>
      <c r="F62" s="279"/>
    </row>
    <row r="63" spans="1:8" s="131" customFormat="1" ht="98" customHeight="1">
      <c r="A63" s="280" t="s">
        <v>122</v>
      </c>
      <c r="B63" s="283" t="s">
        <v>123</v>
      </c>
      <c r="C63" s="130" t="s">
        <v>10</v>
      </c>
      <c r="D63" s="132"/>
      <c r="E63" s="133" t="e">
        <f>+#REF!</f>
        <v>#REF!</v>
      </c>
      <c r="F63" s="281" t="e">
        <f t="shared" si="10"/>
        <v>#REF!</v>
      </c>
    </row>
    <row r="64" spans="1:8" s="131" customFormat="1" ht="98" customHeight="1">
      <c r="A64" s="280" t="s">
        <v>124</v>
      </c>
      <c r="B64" s="283" t="s">
        <v>125</v>
      </c>
      <c r="C64" s="130" t="s">
        <v>10</v>
      </c>
      <c r="D64" s="132"/>
      <c r="E64" s="133" t="e">
        <f>+#REF!</f>
        <v>#REF!</v>
      </c>
      <c r="F64" s="281" t="e">
        <f t="shared" ref="F64:F65" si="11">ROUND((E64*D64),0)</f>
        <v>#REF!</v>
      </c>
    </row>
    <row r="65" spans="1:6" s="131" customFormat="1" ht="98" customHeight="1">
      <c r="A65" s="280" t="s">
        <v>126</v>
      </c>
      <c r="B65" s="283" t="s">
        <v>127</v>
      </c>
      <c r="C65" s="130" t="s">
        <v>10</v>
      </c>
      <c r="D65" s="132"/>
      <c r="E65" s="133" t="e">
        <f>+#REF!</f>
        <v>#REF!</v>
      </c>
      <c r="F65" s="281" t="e">
        <f t="shared" si="11"/>
        <v>#REF!</v>
      </c>
    </row>
    <row r="66" spans="1:6" s="131" customFormat="1" ht="98" customHeight="1">
      <c r="A66" s="280" t="s">
        <v>128</v>
      </c>
      <c r="B66" s="283" t="s">
        <v>129</v>
      </c>
      <c r="C66" s="130" t="s">
        <v>10</v>
      </c>
      <c r="D66" s="132"/>
      <c r="E66" s="133" t="e">
        <f>+#REF!</f>
        <v>#REF!</v>
      </c>
      <c r="F66" s="281" t="e">
        <f t="shared" ref="F66:F68" si="12">ROUND((E66*D66),0)</f>
        <v>#REF!</v>
      </c>
    </row>
    <row r="67" spans="1:6" s="131" customFormat="1">
      <c r="A67" s="278">
        <v>14</v>
      </c>
      <c r="B67" s="282" t="s">
        <v>130</v>
      </c>
      <c r="C67" s="136" t="s">
        <v>66</v>
      </c>
      <c r="D67" s="137"/>
      <c r="E67" s="138"/>
      <c r="F67" s="279"/>
    </row>
    <row r="68" spans="1:6" s="131" customFormat="1" ht="98" customHeight="1">
      <c r="A68" s="280" t="s">
        <v>131</v>
      </c>
      <c r="B68" s="283" t="s">
        <v>132</v>
      </c>
      <c r="C68" s="130" t="s">
        <v>23</v>
      </c>
      <c r="D68" s="132"/>
      <c r="E68" s="310" t="e">
        <f>+#REF!</f>
        <v>#REF!</v>
      </c>
      <c r="F68" s="281" t="e">
        <f t="shared" si="12"/>
        <v>#REF!</v>
      </c>
    </row>
    <row r="69" spans="1:6" s="131" customFormat="1">
      <c r="A69" s="278">
        <v>15</v>
      </c>
      <c r="B69" s="282" t="s">
        <v>133</v>
      </c>
      <c r="C69" s="136" t="s">
        <v>66</v>
      </c>
      <c r="D69" s="137"/>
      <c r="E69" s="138"/>
      <c r="F69" s="279"/>
    </row>
    <row r="70" spans="1:6" s="131" customFormat="1" ht="98" customHeight="1">
      <c r="A70" s="280" t="s">
        <v>134</v>
      </c>
      <c r="B70" s="283" t="s">
        <v>135</v>
      </c>
      <c r="C70" s="130" t="s">
        <v>34</v>
      </c>
      <c r="D70" s="132"/>
      <c r="E70" s="310" t="e">
        <f>+#REF!</f>
        <v>#REF!</v>
      </c>
      <c r="F70" s="281" t="e">
        <f>ROUND((E70*D70),0)</f>
        <v>#REF!</v>
      </c>
    </row>
    <row r="71" spans="1:6" s="131" customFormat="1">
      <c r="A71" s="278">
        <v>16</v>
      </c>
      <c r="B71" s="282" t="s">
        <v>136</v>
      </c>
      <c r="C71" s="136" t="s">
        <v>66</v>
      </c>
      <c r="D71" s="137"/>
      <c r="E71" s="138"/>
      <c r="F71" s="279"/>
    </row>
    <row r="72" spans="1:6" s="131" customFormat="1" ht="98" customHeight="1">
      <c r="A72" s="280" t="s">
        <v>137</v>
      </c>
      <c r="B72" s="283" t="e">
        <f>+PRESUPUESTO!#REF!</f>
        <v>#REF!</v>
      </c>
      <c r="C72" s="130" t="s">
        <v>34</v>
      </c>
      <c r="D72" s="132"/>
      <c r="E72" s="310" t="e">
        <f>+#REF!</f>
        <v>#REF!</v>
      </c>
      <c r="F72" s="281" t="e">
        <f t="shared" ref="F72:F94" si="13">ROUND((E72*D72),0)</f>
        <v>#REF!</v>
      </c>
    </row>
    <row r="73" spans="1:6" s="131" customFormat="1" ht="98" customHeight="1">
      <c r="A73" s="280" t="s">
        <v>138</v>
      </c>
      <c r="B73" s="283" t="e">
        <f>+PRESUPUESTO!#REF!</f>
        <v>#REF!</v>
      </c>
      <c r="C73" s="130" t="s">
        <v>34</v>
      </c>
      <c r="D73" s="132"/>
      <c r="E73" s="310" t="e">
        <f>+#REF!</f>
        <v>#REF!</v>
      </c>
      <c r="F73" s="281" t="e">
        <f t="shared" si="13"/>
        <v>#REF!</v>
      </c>
    </row>
    <row r="74" spans="1:6" s="131" customFormat="1" ht="98" customHeight="1">
      <c r="A74" s="280" t="s">
        <v>139</v>
      </c>
      <c r="B74" s="283" t="s">
        <v>140</v>
      </c>
      <c r="C74" s="130" t="s">
        <v>34</v>
      </c>
      <c r="D74" s="132"/>
      <c r="E74" s="310" t="e">
        <f>+#REF!</f>
        <v>#REF!</v>
      </c>
      <c r="F74" s="281" t="e">
        <f t="shared" si="13"/>
        <v>#REF!</v>
      </c>
    </row>
    <row r="75" spans="1:6" s="131" customFormat="1" ht="138.5" customHeight="1">
      <c r="A75" s="280" t="s">
        <v>141</v>
      </c>
      <c r="B75" s="283" t="s">
        <v>142</v>
      </c>
      <c r="C75" s="130" t="s">
        <v>34</v>
      </c>
      <c r="D75" s="132"/>
      <c r="E75" s="310" t="e">
        <f>+#REF!</f>
        <v>#REF!</v>
      </c>
      <c r="F75" s="281" t="e">
        <f t="shared" si="13"/>
        <v>#REF!</v>
      </c>
    </row>
    <row r="76" spans="1:6" s="131" customFormat="1">
      <c r="A76" s="278">
        <v>17</v>
      </c>
      <c r="B76" s="282" t="s">
        <v>143</v>
      </c>
      <c r="C76" s="136"/>
      <c r="D76" s="137"/>
      <c r="E76" s="138"/>
      <c r="F76" s="279"/>
    </row>
    <row r="77" spans="1:6" s="131" customFormat="1">
      <c r="A77" s="278" t="s">
        <v>144</v>
      </c>
      <c r="B77" s="282" t="s">
        <v>145</v>
      </c>
      <c r="C77" s="136" t="s">
        <v>66</v>
      </c>
      <c r="D77" s="137"/>
      <c r="E77" s="138"/>
      <c r="F77" s="279"/>
    </row>
    <row r="78" spans="1:6" s="131" customFormat="1" ht="98" customHeight="1">
      <c r="A78" s="280" t="s">
        <v>146</v>
      </c>
      <c r="B78" s="283" t="s">
        <v>147</v>
      </c>
      <c r="C78" s="130" t="s">
        <v>69</v>
      </c>
      <c r="D78" s="132"/>
      <c r="E78" s="133" t="e">
        <f>+#REF!</f>
        <v>#REF!</v>
      </c>
      <c r="F78" s="281" t="e">
        <f t="shared" si="13"/>
        <v>#REF!</v>
      </c>
    </row>
    <row r="79" spans="1:6" s="131" customFormat="1">
      <c r="A79" s="278" t="s">
        <v>148</v>
      </c>
      <c r="B79" s="282" t="s">
        <v>149</v>
      </c>
      <c r="C79" s="136" t="s">
        <v>66</v>
      </c>
      <c r="D79" s="137"/>
      <c r="E79" s="138"/>
      <c r="F79" s="279"/>
    </row>
    <row r="80" spans="1:6" s="131" customFormat="1" ht="98" customHeight="1">
      <c r="A80" s="280" t="s">
        <v>150</v>
      </c>
      <c r="B80" s="283" t="s">
        <v>151</v>
      </c>
      <c r="C80" s="130" t="s">
        <v>34</v>
      </c>
      <c r="D80" s="132"/>
      <c r="E80" s="133" t="e">
        <f>+#REF!</f>
        <v>#REF!</v>
      </c>
      <c r="F80" s="281" t="e">
        <f t="shared" si="13"/>
        <v>#REF!</v>
      </c>
    </row>
    <row r="81" spans="1:11" s="131" customFormat="1" ht="98" customHeight="1">
      <c r="A81" s="280" t="s">
        <v>152</v>
      </c>
      <c r="B81" s="283" t="s">
        <v>153</v>
      </c>
      <c r="C81" s="130" t="s">
        <v>34</v>
      </c>
      <c r="D81" s="132"/>
      <c r="E81" s="133" t="e">
        <f>+#REF!</f>
        <v>#REF!</v>
      </c>
      <c r="F81" s="281" t="e">
        <f t="shared" si="13"/>
        <v>#REF!</v>
      </c>
    </row>
    <row r="82" spans="1:11" s="131" customFormat="1">
      <c r="A82" s="278" t="s">
        <v>154</v>
      </c>
      <c r="B82" s="282" t="s">
        <v>155</v>
      </c>
      <c r="C82" s="136"/>
      <c r="D82" s="137"/>
      <c r="E82" s="138"/>
      <c r="F82" s="279"/>
    </row>
    <row r="83" spans="1:11" s="131" customFormat="1" ht="98" customHeight="1">
      <c r="A83" s="280" t="s">
        <v>156</v>
      </c>
      <c r="B83" s="283" t="s">
        <v>157</v>
      </c>
      <c r="C83" s="130" t="s">
        <v>10</v>
      </c>
      <c r="D83" s="132"/>
      <c r="E83" s="133" t="e">
        <f>+#REF!</f>
        <v>#REF!</v>
      </c>
      <c r="F83" s="281" t="e">
        <f t="shared" si="13"/>
        <v>#REF!</v>
      </c>
    </row>
    <row r="84" spans="1:11" s="131" customFormat="1" ht="98" customHeight="1">
      <c r="A84" s="280" t="s">
        <v>158</v>
      </c>
      <c r="B84" s="283" t="s">
        <v>159</v>
      </c>
      <c r="C84" s="130" t="s">
        <v>10</v>
      </c>
      <c r="D84" s="132"/>
      <c r="E84" s="133" t="e">
        <f>+#REF!</f>
        <v>#REF!</v>
      </c>
      <c r="F84" s="281" t="e">
        <f t="shared" si="13"/>
        <v>#REF!</v>
      </c>
    </row>
    <row r="85" spans="1:11" s="131" customFormat="1">
      <c r="A85" s="278" t="s">
        <v>160</v>
      </c>
      <c r="B85" s="282" t="s">
        <v>161</v>
      </c>
      <c r="C85" s="136"/>
      <c r="D85" s="137"/>
      <c r="E85" s="138"/>
      <c r="F85" s="279"/>
    </row>
    <row r="86" spans="1:11" s="131" customFormat="1" ht="98" customHeight="1">
      <c r="A86" s="280" t="s">
        <v>162</v>
      </c>
      <c r="B86" s="283" t="s">
        <v>163</v>
      </c>
      <c r="C86" s="130" t="s">
        <v>80</v>
      </c>
      <c r="D86" s="132"/>
      <c r="E86" s="133" t="e">
        <f>+#REF!</f>
        <v>#REF!</v>
      </c>
      <c r="F86" s="281" t="e">
        <f t="shared" si="13"/>
        <v>#REF!</v>
      </c>
    </row>
    <row r="87" spans="1:11" s="131" customFormat="1">
      <c r="A87" s="278" t="s">
        <v>164</v>
      </c>
      <c r="B87" s="282" t="s">
        <v>165</v>
      </c>
      <c r="C87" s="136"/>
      <c r="D87" s="137"/>
      <c r="E87" s="138"/>
      <c r="F87" s="279"/>
    </row>
    <row r="88" spans="1:11" s="131" customFormat="1" ht="98" customHeight="1">
      <c r="A88" s="280" t="s">
        <v>166</v>
      </c>
      <c r="B88" s="283" t="s">
        <v>167</v>
      </c>
      <c r="C88" s="130" t="s">
        <v>34</v>
      </c>
      <c r="D88" s="132"/>
      <c r="E88" s="133" t="e">
        <f>+#REF!</f>
        <v>#REF!</v>
      </c>
      <c r="F88" s="281" t="e">
        <f t="shared" si="13"/>
        <v>#REF!</v>
      </c>
    </row>
    <row r="89" spans="1:11" s="131" customFormat="1" ht="98" customHeight="1">
      <c r="A89" s="280" t="s">
        <v>168</v>
      </c>
      <c r="B89" s="283" t="s">
        <v>169</v>
      </c>
      <c r="C89" s="130" t="s">
        <v>34</v>
      </c>
      <c r="D89" s="132"/>
      <c r="E89" s="133" t="e">
        <f>+#REF!</f>
        <v>#REF!</v>
      </c>
      <c r="F89" s="281" t="e">
        <f t="shared" si="13"/>
        <v>#REF!</v>
      </c>
    </row>
    <row r="90" spans="1:11" s="131" customFormat="1">
      <c r="A90" s="278" t="s">
        <v>170</v>
      </c>
      <c r="B90" s="282" t="s">
        <v>171</v>
      </c>
      <c r="C90" s="136"/>
      <c r="D90" s="137"/>
      <c r="E90" s="138"/>
      <c r="F90" s="279"/>
    </row>
    <row r="91" spans="1:11" s="131" customFormat="1" ht="98" customHeight="1">
      <c r="A91" s="280" t="s">
        <v>172</v>
      </c>
      <c r="B91" s="283" t="s">
        <v>173</v>
      </c>
      <c r="C91" s="130" t="s">
        <v>23</v>
      </c>
      <c r="D91" s="132"/>
      <c r="E91" s="133" t="e">
        <f>+#REF!</f>
        <v>#REF!</v>
      </c>
      <c r="F91" s="281" t="e">
        <f t="shared" si="13"/>
        <v>#REF!</v>
      </c>
    </row>
    <row r="92" spans="1:11" s="131" customFormat="1" ht="98" customHeight="1">
      <c r="A92" s="280" t="s">
        <v>174</v>
      </c>
      <c r="B92" s="283" t="s">
        <v>175</v>
      </c>
      <c r="C92" s="130" t="s">
        <v>23</v>
      </c>
      <c r="D92" s="132"/>
      <c r="E92" s="133" t="e">
        <f>+#REF!</f>
        <v>#REF!</v>
      </c>
      <c r="F92" s="281" t="e">
        <f t="shared" si="13"/>
        <v>#REF!</v>
      </c>
    </row>
    <row r="93" spans="1:11" s="131" customFormat="1">
      <c r="A93" s="278">
        <v>20</v>
      </c>
      <c r="B93" s="282" t="s">
        <v>176</v>
      </c>
      <c r="C93" s="136"/>
      <c r="D93" s="137"/>
      <c r="E93" s="138"/>
      <c r="F93" s="279"/>
    </row>
    <row r="94" spans="1:11" s="131" customFormat="1" ht="98" customHeight="1">
      <c r="A94" s="280" t="s">
        <v>177</v>
      </c>
      <c r="B94" s="283" t="s">
        <v>178</v>
      </c>
      <c r="C94" s="130" t="s">
        <v>80</v>
      </c>
      <c r="D94" s="132"/>
      <c r="E94" s="133" t="e">
        <f>+#REF!</f>
        <v>#REF!</v>
      </c>
      <c r="F94" s="281" t="e">
        <f t="shared" si="13"/>
        <v>#REF!</v>
      </c>
    </row>
    <row r="95" spans="1:11" ht="15" thickBot="1">
      <c r="A95" s="1580" t="s">
        <v>179</v>
      </c>
      <c r="B95" s="1581"/>
      <c r="C95" s="1581"/>
      <c r="D95" s="1581"/>
      <c r="E95" s="1581"/>
      <c r="F95" s="300" t="e">
        <f>+SUM(F4:F94)</f>
        <v>#REF!</v>
      </c>
      <c r="K95" s="64"/>
    </row>
    <row r="96" spans="1:11">
      <c r="A96" s="289"/>
      <c r="B96" s="290"/>
      <c r="C96" s="64"/>
      <c r="D96" s="289"/>
      <c r="E96" s="64"/>
      <c r="F96" s="63"/>
    </row>
    <row r="97" spans="1:6">
      <c r="A97" s="1582" t="s">
        <v>180</v>
      </c>
      <c r="B97" s="1582"/>
      <c r="C97" s="1582"/>
      <c r="D97" s="1582"/>
      <c r="E97" s="291" t="s">
        <v>181</v>
      </c>
      <c r="F97" s="150" t="e">
        <f>+#REF!</f>
        <v>#REF!</v>
      </c>
    </row>
    <row r="98" spans="1:6">
      <c r="A98" s="1582"/>
      <c r="B98" s="1582"/>
      <c r="C98" s="1582"/>
      <c r="D98" s="1582"/>
      <c r="E98" s="291" t="s">
        <v>182</v>
      </c>
      <c r="F98" s="150" t="e">
        <f>+#REF!</f>
        <v>#REF!</v>
      </c>
    </row>
    <row r="99" spans="1:6">
      <c r="A99" s="1582"/>
      <c r="B99" s="1582"/>
      <c r="C99" s="1582"/>
      <c r="D99" s="1582"/>
      <c r="E99" s="292" t="s">
        <v>183</v>
      </c>
      <c r="F99" s="150" t="e">
        <f>+SUM(F97:F98)</f>
        <v>#REF!</v>
      </c>
    </row>
    <row r="100" spans="1:6">
      <c r="A100" s="293"/>
      <c r="B100" s="294"/>
      <c r="C100" s="295"/>
      <c r="D100" s="296"/>
      <c r="E100" s="297"/>
      <c r="F100" s="63"/>
    </row>
    <row r="101" spans="1:6">
      <c r="A101" s="1575" t="s">
        <v>184</v>
      </c>
      <c r="B101" s="1575"/>
      <c r="C101" s="1575"/>
      <c r="D101" s="1575"/>
      <c r="E101" s="1575"/>
      <c r="F101" s="298" t="e">
        <f>+F99+F95</f>
        <v>#REF!</v>
      </c>
    </row>
    <row r="102" spans="1:6">
      <c r="A102" s="1575" t="s">
        <v>185</v>
      </c>
      <c r="B102" s="1575"/>
      <c r="C102" s="1575"/>
      <c r="D102" s="1575"/>
      <c r="E102" s="1575"/>
      <c r="F102" s="298"/>
    </row>
    <row r="103" spans="1:6">
      <c r="A103" s="1575" t="s">
        <v>186</v>
      </c>
      <c r="B103" s="1575"/>
      <c r="C103" s="1575"/>
      <c r="D103" s="1575"/>
      <c r="E103" s="1575"/>
      <c r="F103" s="298"/>
    </row>
    <row r="104" spans="1:6">
      <c r="A104" s="1575" t="s">
        <v>187</v>
      </c>
      <c r="B104" s="1575"/>
      <c r="C104" s="1575"/>
      <c r="D104" s="1575"/>
      <c r="E104" s="1575"/>
      <c r="F104" s="298"/>
    </row>
    <row r="105" spans="1:6">
      <c r="A105" s="1576" t="s">
        <v>188</v>
      </c>
      <c r="B105" s="1576"/>
      <c r="C105" s="1576"/>
      <c r="D105" s="1576"/>
      <c r="E105" s="1576"/>
      <c r="F105" s="299" t="e">
        <f>+SUM(F101:F104)</f>
        <v>#REF!</v>
      </c>
    </row>
  </sheetData>
  <mergeCells count="8">
    <mergeCell ref="A103:E103"/>
    <mergeCell ref="A104:E104"/>
    <mergeCell ref="A105:E105"/>
    <mergeCell ref="A1:F1"/>
    <mergeCell ref="A95:E95"/>
    <mergeCell ref="A97:D99"/>
    <mergeCell ref="A101:E101"/>
    <mergeCell ref="A102:E102"/>
  </mergeCells>
  <phoneticPr fontId="6" type="noConversion"/>
  <pageMargins left="0.7" right="0.7" top="0.75" bottom="0.75" header="0.3" footer="0.3"/>
  <pageSetup scale="48"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003625-4A0C-427A-A7B7-0A0EF220CDC7}">
  <dimension ref="B1:L67"/>
  <sheetViews>
    <sheetView tabSelected="1" topLeftCell="B37" workbookViewId="0">
      <selection activeCell="C57" sqref="C57"/>
    </sheetView>
  </sheetViews>
  <sheetFormatPr baseColWidth="10" defaultRowHeight="14.5"/>
  <cols>
    <col min="1" max="2" width="10.90625" style="1413"/>
    <col min="3" max="3" width="77.90625" style="1413" customWidth="1"/>
    <col min="4" max="5" width="10.90625" style="1413"/>
    <col min="6" max="6" width="16.26953125" style="1413" customWidth="1"/>
    <col min="7" max="7" width="23.90625" style="1413" customWidth="1"/>
    <col min="8" max="8" width="11.81640625" style="1413" customWidth="1"/>
    <col min="9" max="9" width="10.90625" style="1413"/>
    <col min="10" max="10" width="16.7265625" style="1413" customWidth="1"/>
    <col min="11" max="11" width="11.81640625" style="1413" customWidth="1"/>
    <col min="12" max="12" width="18" style="1413" customWidth="1"/>
    <col min="13" max="16384" width="10.90625" style="1413"/>
  </cols>
  <sheetData>
    <row r="1" spans="2:12" ht="15" thickBot="1"/>
    <row r="2" spans="2:12">
      <c r="B2" s="1569"/>
      <c r="C2" s="1570"/>
      <c r="D2" s="1618" t="s">
        <v>1806</v>
      </c>
      <c r="E2" s="1618"/>
      <c r="F2" s="1618"/>
      <c r="G2" s="1618"/>
      <c r="H2" s="1618"/>
      <c r="I2" s="1618"/>
      <c r="J2" s="1618"/>
      <c r="K2" s="1618"/>
      <c r="L2" s="1619"/>
    </row>
    <row r="3" spans="2:12">
      <c r="B3" s="1571"/>
      <c r="C3" s="1572"/>
      <c r="D3" s="1620"/>
      <c r="E3" s="1620"/>
      <c r="F3" s="1620"/>
      <c r="G3" s="1620"/>
      <c r="H3" s="1620"/>
      <c r="I3" s="1620"/>
      <c r="J3" s="1620"/>
      <c r="K3" s="1620"/>
      <c r="L3" s="1621"/>
    </row>
    <row r="4" spans="2:12">
      <c r="B4" s="1571"/>
      <c r="C4" s="1572"/>
      <c r="D4" s="1620"/>
      <c r="E4" s="1620"/>
      <c r="F4" s="1620"/>
      <c r="G4" s="1620"/>
      <c r="H4" s="1620"/>
      <c r="I4" s="1620"/>
      <c r="J4" s="1620"/>
      <c r="K4" s="1620"/>
      <c r="L4" s="1621"/>
    </row>
    <row r="5" spans="2:12" ht="15" thickBot="1">
      <c r="B5" s="1573"/>
      <c r="C5" s="1478"/>
      <c r="D5" s="1622"/>
      <c r="E5" s="1622"/>
      <c r="F5" s="1622"/>
      <c r="G5" s="1622"/>
      <c r="H5" s="1622"/>
      <c r="I5" s="1622"/>
      <c r="J5" s="1622"/>
      <c r="K5" s="1622"/>
      <c r="L5" s="1623"/>
    </row>
    <row r="6" spans="2:12" s="1414" customFormat="1" ht="19" customHeight="1" thickBot="1">
      <c r="B6" s="1644" t="s">
        <v>1776</v>
      </c>
      <c r="C6" s="1645"/>
      <c r="D6" s="1645"/>
      <c r="E6" s="1645"/>
      <c r="F6" s="1645"/>
      <c r="G6" s="1645"/>
      <c r="H6" s="1645"/>
      <c r="I6" s="1645"/>
      <c r="J6" s="1645"/>
      <c r="K6" s="1645"/>
      <c r="L6" s="1646"/>
    </row>
    <row r="7" spans="2:12" s="1414" customFormat="1" ht="19" customHeight="1">
      <c r="B7" s="1647" t="s">
        <v>1777</v>
      </c>
      <c r="C7" s="1648"/>
      <c r="D7" s="1649" t="s">
        <v>1805</v>
      </c>
      <c r="E7" s="1650"/>
      <c r="F7" s="1650"/>
      <c r="G7" s="1650"/>
      <c r="H7" s="1650"/>
      <c r="I7" s="1650"/>
      <c r="J7" s="1650"/>
      <c r="K7" s="1650"/>
      <c r="L7" s="1651"/>
    </row>
    <row r="8" spans="2:12" s="1414" customFormat="1" ht="19" customHeight="1">
      <c r="B8" s="1628" t="s">
        <v>1778</v>
      </c>
      <c r="C8" s="1629"/>
      <c r="D8" s="1630" t="s">
        <v>1804</v>
      </c>
      <c r="E8" s="1631"/>
      <c r="F8" s="1631"/>
      <c r="G8" s="1631"/>
      <c r="H8" s="1631"/>
      <c r="I8" s="1631"/>
      <c r="J8" s="1631"/>
      <c r="K8" s="1631"/>
      <c r="L8" s="1632"/>
    </row>
    <row r="9" spans="2:12" s="1414" customFormat="1" ht="19" customHeight="1">
      <c r="B9" s="1628" t="s">
        <v>1779</v>
      </c>
      <c r="C9" s="1629"/>
      <c r="D9" s="1630" t="s">
        <v>1814</v>
      </c>
      <c r="E9" s="1631"/>
      <c r="F9" s="1631"/>
      <c r="G9" s="1631"/>
      <c r="H9" s="1631"/>
      <c r="I9" s="1631"/>
      <c r="J9" s="1631"/>
      <c r="K9" s="1631"/>
      <c r="L9" s="1632"/>
    </row>
    <row r="10" spans="2:12" s="1414" customFormat="1" ht="19" customHeight="1">
      <c r="B10" s="1628" t="s">
        <v>1807</v>
      </c>
      <c r="C10" s="1629"/>
      <c r="D10" s="1630" t="s">
        <v>1780</v>
      </c>
      <c r="E10" s="1631"/>
      <c r="F10" s="1631"/>
      <c r="G10" s="1631"/>
      <c r="H10" s="1631"/>
      <c r="I10" s="1631"/>
      <c r="J10" s="1631"/>
      <c r="K10" s="1631"/>
      <c r="L10" s="1632"/>
    </row>
    <row r="11" spans="2:12" s="1414" customFormat="1" ht="19" customHeight="1">
      <c r="B11" s="1633" t="s">
        <v>1808</v>
      </c>
      <c r="C11" s="1634"/>
      <c r="D11" s="1635" t="s">
        <v>1781</v>
      </c>
      <c r="E11" s="1636"/>
      <c r="F11" s="1636"/>
      <c r="G11" s="1636"/>
      <c r="H11" s="1636"/>
      <c r="I11" s="1636"/>
      <c r="J11" s="1636"/>
      <c r="K11" s="1636"/>
      <c r="L11" s="1637"/>
    </row>
    <row r="12" spans="2:12" s="1414" customFormat="1" ht="19" customHeight="1">
      <c r="B12" s="1633"/>
      <c r="C12" s="1634"/>
      <c r="D12" s="1630" t="s">
        <v>1802</v>
      </c>
      <c r="E12" s="1631"/>
      <c r="F12" s="1631"/>
      <c r="G12" s="1631"/>
      <c r="H12" s="1631"/>
      <c r="I12" s="1631"/>
      <c r="J12" s="1631"/>
      <c r="K12" s="1631"/>
      <c r="L12" s="1632"/>
    </row>
    <row r="13" spans="2:12" s="1414" customFormat="1" ht="19" customHeight="1" thickBot="1">
      <c r="B13" s="1638"/>
      <c r="C13" s="1639"/>
      <c r="D13" s="1638" t="s">
        <v>1803</v>
      </c>
      <c r="E13" s="1640"/>
      <c r="F13" s="1640"/>
      <c r="G13" s="1640"/>
      <c r="H13" s="1640"/>
      <c r="I13" s="1640"/>
      <c r="J13" s="1640"/>
      <c r="K13" s="1640"/>
      <c r="L13" s="1639"/>
    </row>
    <row r="14" spans="2:12">
      <c r="B14" s="1641"/>
      <c r="C14" s="1642"/>
      <c r="D14" s="1642"/>
      <c r="E14" s="1642"/>
      <c r="F14" s="1642"/>
      <c r="G14" s="1642"/>
      <c r="H14" s="1642"/>
      <c r="I14" s="1642"/>
      <c r="J14" s="1642"/>
      <c r="K14" s="1642"/>
      <c r="L14" s="1643"/>
    </row>
    <row r="15" spans="2:12">
      <c r="B15" s="1624" t="s">
        <v>1782</v>
      </c>
      <c r="C15" s="1625"/>
      <c r="D15" s="1625"/>
      <c r="E15" s="1625"/>
      <c r="F15" s="1625"/>
      <c r="G15" s="1625"/>
      <c r="H15" s="1625" t="s">
        <v>1783</v>
      </c>
      <c r="I15" s="1626" t="s">
        <v>1784</v>
      </c>
      <c r="J15" s="1626"/>
      <c r="K15" s="1626" t="s">
        <v>1785</v>
      </c>
      <c r="L15" s="1627"/>
    </row>
    <row r="16" spans="2:12">
      <c r="B16" s="1624"/>
      <c r="C16" s="1625"/>
      <c r="D16" s="1625"/>
      <c r="E16" s="1625"/>
      <c r="F16" s="1625"/>
      <c r="G16" s="1625"/>
      <c r="H16" s="1625"/>
      <c r="I16" s="1626"/>
      <c r="J16" s="1626"/>
      <c r="K16" s="1626"/>
      <c r="L16" s="1627"/>
    </row>
    <row r="17" spans="2:12">
      <c r="B17" s="1624"/>
      <c r="C17" s="1625"/>
      <c r="D17" s="1625"/>
      <c r="E17" s="1625"/>
      <c r="F17" s="1625"/>
      <c r="G17" s="1625"/>
      <c r="H17" s="1625"/>
      <c r="I17" s="1626"/>
      <c r="J17" s="1626"/>
      <c r="K17" s="1626"/>
      <c r="L17" s="1627"/>
    </row>
    <row r="18" spans="2:12" ht="26">
      <c r="B18" s="1533" t="s">
        <v>191</v>
      </c>
      <c r="C18" s="1417" t="s">
        <v>192</v>
      </c>
      <c r="D18" s="1416" t="s">
        <v>1786</v>
      </c>
      <c r="E18" s="1416" t="s">
        <v>1383</v>
      </c>
      <c r="F18" s="1415" t="s">
        <v>1787</v>
      </c>
      <c r="G18" s="1416" t="s">
        <v>488</v>
      </c>
      <c r="H18" s="1416" t="s">
        <v>1788</v>
      </c>
      <c r="I18" s="1416" t="s">
        <v>1789</v>
      </c>
      <c r="J18" s="1416" t="s">
        <v>488</v>
      </c>
      <c r="K18" s="1416" t="s">
        <v>1383</v>
      </c>
      <c r="L18" s="1532" t="s">
        <v>488</v>
      </c>
    </row>
    <row r="19" spans="2:12">
      <c r="B19" s="1534">
        <v>1</v>
      </c>
      <c r="C19" s="1585" t="s">
        <v>196</v>
      </c>
      <c r="D19" s="1586"/>
      <c r="E19" s="1586"/>
      <c r="F19" s="1586"/>
      <c r="G19" s="1586"/>
      <c r="H19" s="1586"/>
      <c r="I19" s="1586"/>
      <c r="J19" s="1586"/>
      <c r="K19" s="1586"/>
      <c r="L19" s="1587"/>
    </row>
    <row r="20" spans="2:12" ht="39">
      <c r="B20" s="1535">
        <v>1.1000000000000001</v>
      </c>
      <c r="C20" s="1418" t="s">
        <v>197</v>
      </c>
      <c r="D20" s="1419" t="s">
        <v>198</v>
      </c>
      <c r="E20" s="1420">
        <v>6</v>
      </c>
      <c r="F20" s="1421">
        <v>969157</v>
      </c>
      <c r="G20" s="1422">
        <f>+ROUND(E20*F20,0)</f>
        <v>5814942</v>
      </c>
      <c r="H20" s="1420">
        <v>6</v>
      </c>
      <c r="I20" s="1423">
        <f>H20-E20</f>
        <v>0</v>
      </c>
      <c r="J20" s="1424">
        <f>+I20*F20</f>
        <v>0</v>
      </c>
      <c r="K20" s="1423">
        <f>I20+E20</f>
        <v>6</v>
      </c>
      <c r="L20" s="1536">
        <f t="shared" ref="L20:L25" si="0">ROUND(K20*F20,0)</f>
        <v>5814942</v>
      </c>
    </row>
    <row r="21" spans="2:12">
      <c r="B21" s="1534">
        <v>2</v>
      </c>
      <c r="C21" s="1425" t="s">
        <v>199</v>
      </c>
      <c r="D21" s="1426"/>
      <c r="E21" s="1426"/>
      <c r="F21" s="1426"/>
      <c r="G21" s="1426"/>
      <c r="H21" s="1426"/>
      <c r="I21" s="1426"/>
      <c r="J21" s="1426"/>
      <c r="K21" s="1426"/>
      <c r="L21" s="1537"/>
    </row>
    <row r="22" spans="2:12" ht="26">
      <c r="B22" s="1535">
        <v>2.1</v>
      </c>
      <c r="C22" s="1418" t="s">
        <v>200</v>
      </c>
      <c r="D22" s="1419" t="s">
        <v>14</v>
      </c>
      <c r="E22" s="1420">
        <v>129.59100000000001</v>
      </c>
      <c r="F22" s="1421">
        <v>26235</v>
      </c>
      <c r="G22" s="1422">
        <f>+ROUND(E22*F22,0)</f>
        <v>3399820</v>
      </c>
      <c r="H22" s="1427">
        <v>456</v>
      </c>
      <c r="I22" s="1428">
        <f>H22-E22</f>
        <v>326.40899999999999</v>
      </c>
      <c r="J22" s="1421">
        <f>I22*F22</f>
        <v>8563340.1150000002</v>
      </c>
      <c r="K22" s="1423">
        <f t="shared" ref="K22:K25" si="1">I22+E22</f>
        <v>456</v>
      </c>
      <c r="L22" s="1538">
        <f t="shared" si="0"/>
        <v>11963160</v>
      </c>
    </row>
    <row r="23" spans="2:12" ht="26">
      <c r="B23" s="1535">
        <v>2.2000000000000002</v>
      </c>
      <c r="C23" s="1418" t="s">
        <v>202</v>
      </c>
      <c r="D23" s="1419" t="s">
        <v>14</v>
      </c>
      <c r="E23" s="1420">
        <v>276.96899999999999</v>
      </c>
      <c r="F23" s="1421">
        <v>66929</v>
      </c>
      <c r="G23" s="1422">
        <f t="shared" ref="G23:G31" si="2">+ROUND(E23*F23,0)</f>
        <v>18537258</v>
      </c>
      <c r="H23" s="1427">
        <v>456</v>
      </c>
      <c r="I23" s="1428">
        <f t="shared" ref="I23:I33" si="3">H23-E23</f>
        <v>179.03100000000001</v>
      </c>
      <c r="J23" s="1421">
        <f>I23*F23</f>
        <v>11982365.799000001</v>
      </c>
      <c r="K23" s="1423">
        <f t="shared" si="1"/>
        <v>456</v>
      </c>
      <c r="L23" s="1538">
        <f t="shared" si="0"/>
        <v>30519624</v>
      </c>
    </row>
    <row r="24" spans="2:12">
      <c r="B24" s="1535">
        <v>2.2999999999999998</v>
      </c>
      <c r="C24" s="1418" t="s">
        <v>203</v>
      </c>
      <c r="D24" s="1419" t="s">
        <v>34</v>
      </c>
      <c r="E24" s="1420">
        <v>508.20000000000005</v>
      </c>
      <c r="F24" s="1421">
        <v>2243</v>
      </c>
      <c r="G24" s="1422">
        <f t="shared" si="2"/>
        <v>1139893</v>
      </c>
      <c r="H24" s="1427">
        <v>607.5</v>
      </c>
      <c r="I24" s="1428">
        <f t="shared" si="3"/>
        <v>99.299999999999955</v>
      </c>
      <c r="J24" s="1421">
        <f t="shared" ref="J24:J25" si="4">I24*F24</f>
        <v>222729.89999999991</v>
      </c>
      <c r="K24" s="1423">
        <f t="shared" si="1"/>
        <v>607.5</v>
      </c>
      <c r="L24" s="1538">
        <f t="shared" si="0"/>
        <v>1362623</v>
      </c>
    </row>
    <row r="25" spans="2:12" ht="52">
      <c r="B25" s="1535">
        <v>2.4</v>
      </c>
      <c r="C25" s="1418" t="s">
        <v>204</v>
      </c>
      <c r="D25" s="1419" t="s">
        <v>14</v>
      </c>
      <c r="E25" s="1420">
        <v>119.42700000000002</v>
      </c>
      <c r="F25" s="1421">
        <v>422886</v>
      </c>
      <c r="G25" s="1422">
        <f t="shared" si="2"/>
        <v>50504006</v>
      </c>
      <c r="H25" s="1420">
        <v>90</v>
      </c>
      <c r="I25" s="1529">
        <f t="shared" si="3"/>
        <v>-29.427000000000021</v>
      </c>
      <c r="J25" s="1421">
        <f t="shared" si="4"/>
        <v>-12444266.322000008</v>
      </c>
      <c r="K25" s="1423">
        <f t="shared" si="1"/>
        <v>90</v>
      </c>
      <c r="L25" s="1539">
        <f t="shared" si="0"/>
        <v>38059740</v>
      </c>
    </row>
    <row r="26" spans="2:12">
      <c r="B26" s="1534">
        <v>3</v>
      </c>
      <c r="C26" s="1588" t="s">
        <v>205</v>
      </c>
      <c r="D26" s="1589"/>
      <c r="E26" s="1589"/>
      <c r="F26" s="1589"/>
      <c r="G26" s="1589"/>
      <c r="H26" s="1589"/>
      <c r="I26" s="1589"/>
      <c r="J26" s="1589"/>
      <c r="K26" s="1589"/>
      <c r="L26" s="1590"/>
    </row>
    <row r="27" spans="2:12" ht="26">
      <c r="B27" s="1540" t="s">
        <v>206</v>
      </c>
      <c r="C27" s="1418" t="s">
        <v>208</v>
      </c>
      <c r="D27" s="389" t="s">
        <v>14</v>
      </c>
      <c r="E27" s="1420">
        <v>50.82</v>
      </c>
      <c r="F27" s="1421">
        <v>1977771</v>
      </c>
      <c r="G27" s="1422">
        <f t="shared" si="2"/>
        <v>100510322</v>
      </c>
      <c r="H27" s="1420">
        <v>36.713999999999999</v>
      </c>
      <c r="I27" s="1529">
        <f t="shared" si="3"/>
        <v>-14.106000000000002</v>
      </c>
      <c r="J27" s="1424">
        <f>+I27*F27</f>
        <v>-27898437.726000004</v>
      </c>
      <c r="K27" s="1423">
        <f>I27+E27</f>
        <v>36.713999999999999</v>
      </c>
      <c r="L27" s="1539">
        <f>ROUND(K27*F27,0)</f>
        <v>72611884</v>
      </c>
    </row>
    <row r="28" spans="2:12" ht="39">
      <c r="B28" s="1540" t="s">
        <v>207</v>
      </c>
      <c r="C28" s="1418" t="s">
        <v>210</v>
      </c>
      <c r="D28" s="389" t="s">
        <v>34</v>
      </c>
      <c r="E28" s="1420">
        <v>1016.4000000000001</v>
      </c>
      <c r="F28" s="1421">
        <v>8291</v>
      </c>
      <c r="G28" s="1422">
        <f t="shared" si="2"/>
        <v>8426972</v>
      </c>
      <c r="H28" s="1420">
        <v>504</v>
      </c>
      <c r="I28" s="1529">
        <f t="shared" si="3"/>
        <v>-512.40000000000009</v>
      </c>
      <c r="J28" s="1424">
        <f>+I28*F28</f>
        <v>-4248308.4000000004</v>
      </c>
      <c r="K28" s="1423">
        <f>I28+E28</f>
        <v>504</v>
      </c>
      <c r="L28" s="1539">
        <f>ROUND(K28*F28,0)</f>
        <v>4178664</v>
      </c>
    </row>
    <row r="29" spans="2:12">
      <c r="B29" s="1541" t="s">
        <v>211</v>
      </c>
      <c r="C29" s="1591" t="s">
        <v>50</v>
      </c>
      <c r="D29" s="1592"/>
      <c r="E29" s="1592"/>
      <c r="F29" s="1592"/>
      <c r="G29" s="1592"/>
      <c r="H29" s="1592"/>
      <c r="I29" s="1592"/>
      <c r="J29" s="1592"/>
      <c r="K29" s="1592"/>
      <c r="L29" s="1593"/>
    </row>
    <row r="30" spans="2:12">
      <c r="B30" s="1540" t="s">
        <v>212</v>
      </c>
      <c r="C30" s="1418" t="s">
        <v>1772</v>
      </c>
      <c r="D30" s="1429" t="s">
        <v>14</v>
      </c>
      <c r="E30" s="1430">
        <v>17.786999999999999</v>
      </c>
      <c r="F30" s="1431">
        <v>935515</v>
      </c>
      <c r="G30" s="1422">
        <f t="shared" si="2"/>
        <v>16640005</v>
      </c>
      <c r="H30" s="1430">
        <v>12.5</v>
      </c>
      <c r="I30" s="1529">
        <f t="shared" si="3"/>
        <v>-5.286999999999999</v>
      </c>
      <c r="J30" s="1424">
        <f>+I30*F30</f>
        <v>-4946067.8049999988</v>
      </c>
      <c r="K30" s="1423">
        <f>I30+E30</f>
        <v>12.5</v>
      </c>
      <c r="L30" s="1539">
        <f>ROUND(K30*F30,0)</f>
        <v>11693938</v>
      </c>
    </row>
    <row r="31" spans="2:12" ht="65">
      <c r="B31" s="1540" t="s">
        <v>213</v>
      </c>
      <c r="C31" s="1418" t="s">
        <v>1767</v>
      </c>
      <c r="D31" s="1429" t="s">
        <v>80</v>
      </c>
      <c r="E31" s="1430">
        <v>169.4</v>
      </c>
      <c r="F31" s="1431">
        <v>116256</v>
      </c>
      <c r="G31" s="1422">
        <f t="shared" si="2"/>
        <v>19693766</v>
      </c>
      <c r="H31" s="1420">
        <v>160</v>
      </c>
      <c r="I31" s="1529">
        <f t="shared" si="3"/>
        <v>-9.4000000000000057</v>
      </c>
      <c r="J31" s="1424">
        <f>+I31*F31</f>
        <v>-1092806.4000000006</v>
      </c>
      <c r="K31" s="1423">
        <f>I31+E31</f>
        <v>160</v>
      </c>
      <c r="L31" s="1536">
        <f>ROUND(K31*F31,0)</f>
        <v>18600960</v>
      </c>
    </row>
    <row r="32" spans="2:12">
      <c r="B32" s="1542" t="s">
        <v>1790</v>
      </c>
      <c r="C32" s="1594" t="s">
        <v>1791</v>
      </c>
      <c r="D32" s="1595"/>
      <c r="E32" s="1595"/>
      <c r="F32" s="1595"/>
      <c r="G32" s="1595"/>
      <c r="H32" s="1595"/>
      <c r="I32" s="1595"/>
      <c r="J32" s="1595"/>
      <c r="K32" s="1595"/>
      <c r="L32" s="1596"/>
    </row>
    <row r="33" spans="2:12" ht="26">
      <c r="B33" s="1543" t="s">
        <v>1792</v>
      </c>
      <c r="C33" s="1432" t="s">
        <v>1793</v>
      </c>
      <c r="D33" s="1433" t="s">
        <v>34</v>
      </c>
      <c r="E33" s="1434">
        <v>110</v>
      </c>
      <c r="F33" s="1435">
        <f>'NP1'!H38</f>
        <v>55448</v>
      </c>
      <c r="G33" s="1435">
        <f>E33*F33</f>
        <v>6099280</v>
      </c>
      <c r="H33" s="1436">
        <v>110</v>
      </c>
      <c r="I33" s="1423">
        <f t="shared" si="3"/>
        <v>0</v>
      </c>
      <c r="J33" s="1424">
        <f>+I33*F33</f>
        <v>0</v>
      </c>
      <c r="K33" s="1436">
        <f>I33+E33</f>
        <v>110</v>
      </c>
      <c r="L33" s="1544">
        <f>ROUND(K33*F33,0)</f>
        <v>6099280</v>
      </c>
    </row>
    <row r="34" spans="2:12">
      <c r="B34" s="1543" t="s">
        <v>1794</v>
      </c>
      <c r="C34" s="1432" t="s">
        <v>1795</v>
      </c>
      <c r="D34" s="1433" t="s">
        <v>34</v>
      </c>
      <c r="E34" s="1434">
        <v>110</v>
      </c>
      <c r="F34" s="1435">
        <f>'NP2'!H37</f>
        <v>38732</v>
      </c>
      <c r="G34" s="1435">
        <f t="shared" ref="G34:G36" si="5">E34*F34</f>
        <v>4260520</v>
      </c>
      <c r="H34" s="1436">
        <v>110</v>
      </c>
      <c r="I34" s="1423">
        <f t="shared" ref="I34:I36" si="6">H34-E34</f>
        <v>0</v>
      </c>
      <c r="J34" s="1424">
        <f t="shared" ref="J34:J36" si="7">+I34*F34</f>
        <v>0</v>
      </c>
      <c r="K34" s="1436">
        <f t="shared" ref="K34:K36" si="8">I34+E34</f>
        <v>110</v>
      </c>
      <c r="L34" s="1544">
        <f t="shared" ref="L34:L36" si="9">ROUND(K34*F34,0)</f>
        <v>4260520</v>
      </c>
    </row>
    <row r="35" spans="2:12" ht="52">
      <c r="B35" s="1543" t="s">
        <v>1796</v>
      </c>
      <c r="C35" s="1418" t="s">
        <v>1797</v>
      </c>
      <c r="D35" s="1433" t="s">
        <v>14</v>
      </c>
      <c r="E35" s="1434">
        <v>13</v>
      </c>
      <c r="F35" s="1435">
        <f>'NP3'!H38</f>
        <v>416279</v>
      </c>
      <c r="G35" s="1435">
        <f t="shared" si="5"/>
        <v>5411627</v>
      </c>
      <c r="H35" s="1436">
        <v>13</v>
      </c>
      <c r="I35" s="1423">
        <f t="shared" si="6"/>
        <v>0</v>
      </c>
      <c r="J35" s="1424">
        <f t="shared" si="7"/>
        <v>0</v>
      </c>
      <c r="K35" s="1436">
        <f t="shared" si="8"/>
        <v>13</v>
      </c>
      <c r="L35" s="1544">
        <f t="shared" si="9"/>
        <v>5411627</v>
      </c>
    </row>
    <row r="36" spans="2:12">
      <c r="B36" s="1543" t="s">
        <v>1798</v>
      </c>
      <c r="C36" s="1432" t="s">
        <v>1821</v>
      </c>
      <c r="D36" s="1433" t="s">
        <v>34</v>
      </c>
      <c r="E36" s="1434">
        <v>20</v>
      </c>
      <c r="F36" s="1435">
        <f>'NP4'!H42</f>
        <v>808510</v>
      </c>
      <c r="G36" s="1435">
        <f t="shared" si="5"/>
        <v>16170200</v>
      </c>
      <c r="H36" s="1436">
        <v>20</v>
      </c>
      <c r="I36" s="1423">
        <f t="shared" si="6"/>
        <v>0</v>
      </c>
      <c r="J36" s="1424">
        <f t="shared" si="7"/>
        <v>0</v>
      </c>
      <c r="K36" s="1436">
        <f t="shared" si="8"/>
        <v>20</v>
      </c>
      <c r="L36" s="1544">
        <f t="shared" si="9"/>
        <v>16170200</v>
      </c>
    </row>
    <row r="37" spans="2:12">
      <c r="B37" s="1437"/>
      <c r="C37" s="1545"/>
      <c r="D37" s="1545"/>
      <c r="E37" s="1545"/>
      <c r="F37" s="1545"/>
      <c r="G37" s="1545"/>
      <c r="H37" s="1545"/>
      <c r="I37" s="1545"/>
      <c r="J37" s="1546"/>
      <c r="K37" s="1545"/>
      <c r="L37" s="1438"/>
    </row>
    <row r="38" spans="2:12">
      <c r="B38" s="1437"/>
      <c r="C38" s="1597" t="s">
        <v>900</v>
      </c>
      <c r="D38" s="1597"/>
      <c r="E38" s="1597"/>
      <c r="F38" s="1597"/>
      <c r="G38" s="1479">
        <f>SUM(G20:G36)</f>
        <v>256608611</v>
      </c>
      <c r="H38" s="1547"/>
      <c r="I38" s="1548"/>
      <c r="J38" s="1548"/>
      <c r="K38" s="1548"/>
      <c r="L38" s="1530">
        <f>SUM(L20:L37)</f>
        <v>226747162</v>
      </c>
    </row>
    <row r="39" spans="2:12">
      <c r="B39" s="1437"/>
      <c r="C39" s="1480" t="str">
        <f>CONCATENATE("ADMINISTRACION (",TEXT(F39,"0.00%"),")")</f>
        <v>ADMINISTRACION (028%)</v>
      </c>
      <c r="D39" s="1481"/>
      <c r="E39" s="1481"/>
      <c r="F39" s="1482">
        <v>0.28399999999999997</v>
      </c>
      <c r="G39" s="1483">
        <f>ROUND(G38*$F39,0)</f>
        <v>72876846</v>
      </c>
      <c r="H39" s="1547"/>
      <c r="I39" s="1548"/>
      <c r="J39" s="1548"/>
      <c r="K39" s="1549"/>
      <c r="L39" s="1439">
        <f>ROUND(L38*$F39,0)</f>
        <v>64396194</v>
      </c>
    </row>
    <row r="40" spans="2:12">
      <c r="B40" s="1437"/>
      <c r="C40" s="1480" t="str">
        <f>CONCATENATE("UTILIDAD (",TEXT(F40,"0.00%"),")")</f>
        <v>UTILIDAD (005%)</v>
      </c>
      <c r="D40" s="1481"/>
      <c r="E40" s="1481"/>
      <c r="F40" s="1482">
        <v>0.05</v>
      </c>
      <c r="G40" s="1483">
        <f>ROUND(G38*$F40,0)</f>
        <v>12830431</v>
      </c>
      <c r="H40" s="1550"/>
      <c r="I40" s="1551"/>
      <c r="J40" s="1548"/>
      <c r="K40" s="1549"/>
      <c r="L40" s="1439">
        <f>ROUND(L38*$F40,0)</f>
        <v>11337358</v>
      </c>
    </row>
    <row r="41" spans="2:12">
      <c r="B41" s="1437"/>
      <c r="C41" s="1480" t="s">
        <v>221</v>
      </c>
      <c r="D41" s="1481"/>
      <c r="E41" s="1481"/>
      <c r="F41" s="1482" t="s">
        <v>222</v>
      </c>
      <c r="G41" s="1483"/>
      <c r="H41" s="1550"/>
      <c r="I41" s="1548"/>
      <c r="J41" s="1548"/>
      <c r="K41" s="1549"/>
      <c r="L41" s="1439"/>
    </row>
    <row r="42" spans="2:12" ht="15" thickBot="1">
      <c r="B42" s="1437"/>
      <c r="C42" s="1480" t="s">
        <v>223</v>
      </c>
      <c r="D42" s="1481"/>
      <c r="E42" s="1481"/>
      <c r="F42" s="1482" t="s">
        <v>224</v>
      </c>
      <c r="G42" s="1483"/>
      <c r="H42" s="1550"/>
      <c r="I42" s="1548"/>
      <c r="J42" s="1548"/>
      <c r="K42" s="1549"/>
      <c r="L42" s="1439"/>
    </row>
    <row r="43" spans="2:12" ht="15" thickBot="1">
      <c r="B43" s="1437"/>
      <c r="C43" s="1614" t="s">
        <v>194</v>
      </c>
      <c r="D43" s="1614"/>
      <c r="E43" s="1614"/>
      <c r="F43" s="1614"/>
      <c r="G43" s="1484">
        <f>ROUND(SUM(G38:G40),0)</f>
        <v>342315888</v>
      </c>
      <c r="H43" s="1600" t="s">
        <v>1799</v>
      </c>
      <c r="I43" s="1601"/>
      <c r="J43" s="1440">
        <f>L43-G43</f>
        <v>-39835174</v>
      </c>
      <c r="K43" s="1441"/>
      <c r="L43" s="1442">
        <f>ROUND(SUM(L38:L40),0)</f>
        <v>302480714</v>
      </c>
    </row>
    <row r="44" spans="2:12">
      <c r="B44" s="1443"/>
      <c r="C44" s="1480" t="s">
        <v>1813</v>
      </c>
      <c r="D44" s="1485"/>
      <c r="E44" s="1485"/>
      <c r="F44" s="1483"/>
      <c r="G44" s="1486">
        <f>+G43*0.057</f>
        <v>19512005.616</v>
      </c>
      <c r="H44" s="1444"/>
      <c r="I44" s="1615"/>
      <c r="J44" s="1615"/>
      <c r="K44" s="1444"/>
      <c r="L44" s="1552">
        <f>+L43*0.0569998777</f>
        <v>17241363.704608679</v>
      </c>
    </row>
    <row r="45" spans="2:12" ht="14.5" customHeight="1">
      <c r="B45" s="1443"/>
      <c r="C45" s="1509" t="s">
        <v>1819</v>
      </c>
      <c r="D45" s="1510"/>
      <c r="E45" s="1510"/>
      <c r="F45" s="1511"/>
      <c r="G45" s="1512">
        <f>SUM(G43:G44)</f>
        <v>361827893.616</v>
      </c>
      <c r="H45" s="1514"/>
      <c r="I45" s="1553"/>
      <c r="J45" s="1598">
        <f>-G45+L46</f>
        <v>-42105815.911391318</v>
      </c>
      <c r="K45" s="1513"/>
      <c r="L45" s="1554"/>
    </row>
    <row r="46" spans="2:12" ht="15" thickBot="1">
      <c r="B46" s="1443"/>
      <c r="C46" s="1517" t="s">
        <v>1818</v>
      </c>
      <c r="D46" s="1518"/>
      <c r="E46" s="1518"/>
      <c r="F46" s="1519"/>
      <c r="G46" s="1520"/>
      <c r="H46" s="1515"/>
      <c r="I46" s="1555"/>
      <c r="J46" s="1599"/>
      <c r="K46" s="1516"/>
      <c r="L46" s="1556">
        <f>SUM(L43:L44)</f>
        <v>319722077.70460868</v>
      </c>
    </row>
    <row r="47" spans="2:12">
      <c r="B47" s="1443"/>
      <c r="C47" s="1602" t="s">
        <v>1822</v>
      </c>
      <c r="D47" s="1521"/>
      <c r="E47" s="1521"/>
      <c r="F47" s="1522"/>
      <c r="G47" s="1611">
        <v>319722077.70300001</v>
      </c>
      <c r="H47" s="1557"/>
      <c r="I47" s="1558"/>
      <c r="J47" s="1605">
        <f>L47-G47</f>
        <v>1.6086697578430176E-3</v>
      </c>
      <c r="K47" s="1557"/>
      <c r="L47" s="1608">
        <f>L46</f>
        <v>319722077.70460868</v>
      </c>
    </row>
    <row r="48" spans="2:12">
      <c r="B48" s="1443"/>
      <c r="C48" s="1603"/>
      <c r="D48" s="1559"/>
      <c r="E48" s="1559"/>
      <c r="F48" s="1560"/>
      <c r="G48" s="1612"/>
      <c r="H48" s="1557"/>
      <c r="I48" s="1558"/>
      <c r="J48" s="1606"/>
      <c r="K48" s="1557"/>
      <c r="L48" s="1609"/>
    </row>
    <row r="49" spans="2:12" ht="15" thickBot="1">
      <c r="B49" s="1443"/>
      <c r="C49" s="1604"/>
      <c r="D49" s="1523"/>
      <c r="E49" s="1523"/>
      <c r="F49" s="1524"/>
      <c r="G49" s="1613"/>
      <c r="H49" s="1557"/>
      <c r="I49" s="1558"/>
      <c r="J49" s="1607"/>
      <c r="K49" s="1557"/>
      <c r="L49" s="1610"/>
    </row>
    <row r="50" spans="2:12" ht="15" thickBot="1">
      <c r="B50" s="1561"/>
      <c r="C50" s="1562"/>
      <c r="D50" s="1563"/>
      <c r="E50" s="1563"/>
      <c r="F50" s="1564"/>
      <c r="G50" s="1565"/>
      <c r="H50" s="1562"/>
      <c r="I50" s="1562"/>
      <c r="J50" s="1566"/>
      <c r="K50" s="1567"/>
      <c r="L50" s="1568"/>
    </row>
    <row r="51" spans="2:12">
      <c r="B51" s="1443"/>
      <c r="C51" s="1444"/>
      <c r="D51" s="1445"/>
      <c r="E51" s="1445"/>
      <c r="F51" s="1446"/>
      <c r="G51" s="1444"/>
      <c r="H51" s="1444"/>
      <c r="I51" s="1583"/>
      <c r="J51" s="1584"/>
      <c r="K51" s="1444"/>
      <c r="L51" s="1531"/>
    </row>
    <row r="52" spans="2:12" ht="14.5" customHeight="1">
      <c r="B52" s="1574"/>
      <c r="C52" s="1616" t="s">
        <v>1823</v>
      </c>
      <c r="D52" s="1616"/>
      <c r="E52" s="1616"/>
      <c r="F52" s="1616"/>
      <c r="G52" s="1616"/>
      <c r="H52" s="1616"/>
      <c r="I52" s="1616"/>
      <c r="J52" s="1616"/>
      <c r="K52" s="1616"/>
      <c r="L52" s="1617"/>
    </row>
    <row r="53" spans="2:12">
      <c r="B53" s="1443"/>
      <c r="C53" s="1449"/>
      <c r="D53" s="1449"/>
      <c r="E53" s="1449"/>
      <c r="F53" s="1449"/>
      <c r="G53" s="1449"/>
      <c r="H53" s="1449"/>
      <c r="I53" s="1449"/>
      <c r="J53" s="1449"/>
      <c r="K53" s="1449"/>
      <c r="L53" s="1451"/>
    </row>
    <row r="54" spans="2:12">
      <c r="B54" s="1443"/>
      <c r="C54" s="1444"/>
      <c r="D54" s="1445"/>
      <c r="E54" s="1445"/>
      <c r="F54" s="1446"/>
      <c r="G54" s="1444"/>
      <c r="H54" s="1444"/>
      <c r="I54" s="1447"/>
      <c r="J54" s="1444"/>
      <c r="K54" s="1444"/>
      <c r="L54" s="1448"/>
    </row>
    <row r="55" spans="2:12">
      <c r="B55" s="1452"/>
      <c r="C55" s="1453"/>
      <c r="D55" s="1445"/>
      <c r="E55" s="1454"/>
      <c r="F55" s="1455"/>
      <c r="G55" s="1453"/>
      <c r="H55" s="1453"/>
      <c r="I55" s="1444"/>
      <c r="J55" s="1444"/>
      <c r="K55" s="1453"/>
      <c r="L55" s="1448"/>
    </row>
    <row r="56" spans="2:12">
      <c r="B56" s="1443"/>
      <c r="C56" s="1456"/>
      <c r="D56" s="1457"/>
      <c r="E56" s="1445"/>
      <c r="F56" s="1456"/>
      <c r="G56" s="1444"/>
      <c r="H56" s="1445"/>
      <c r="I56" s="1444"/>
      <c r="J56" s="1444"/>
      <c r="K56" s="1458"/>
      <c r="L56" s="1459"/>
    </row>
    <row r="57" spans="2:12">
      <c r="B57" s="1443"/>
      <c r="C57" s="1444"/>
      <c r="D57" s="1457"/>
      <c r="E57" s="1445"/>
      <c r="F57" s="1444"/>
      <c r="G57" s="1444"/>
      <c r="H57" s="1445"/>
      <c r="I57" s="1444"/>
      <c r="J57" s="1446"/>
      <c r="K57" s="1449"/>
      <c r="L57" s="1450"/>
    </row>
    <row r="58" spans="2:12">
      <c r="B58" s="1443"/>
      <c r="C58" s="1444"/>
      <c r="D58" s="1445"/>
      <c r="E58" s="1445"/>
      <c r="F58" s="1446"/>
      <c r="G58" s="1444"/>
      <c r="H58" s="1444"/>
      <c r="I58" s="1444"/>
      <c r="J58" s="1444"/>
      <c r="K58" s="1444"/>
      <c r="L58" s="1448"/>
    </row>
    <row r="59" spans="2:12">
      <c r="B59" s="1460"/>
      <c r="C59" s="1461"/>
      <c r="D59" s="1462"/>
      <c r="E59" s="1463"/>
      <c r="F59" s="1464"/>
      <c r="H59" s="1465"/>
      <c r="J59" s="1466"/>
      <c r="L59" s="1467"/>
    </row>
    <row r="60" spans="2:12">
      <c r="B60" s="1460"/>
      <c r="C60" s="1461"/>
      <c r="D60" s="1462"/>
      <c r="E60" s="1463"/>
      <c r="F60" s="1464"/>
      <c r="L60" s="1467"/>
    </row>
    <row r="61" spans="2:12">
      <c r="B61" s="1460"/>
      <c r="C61" s="1461"/>
      <c r="D61" s="1462"/>
      <c r="E61" s="1463"/>
      <c r="F61" s="1464"/>
      <c r="L61" s="1467"/>
    </row>
    <row r="62" spans="2:12">
      <c r="B62" s="1460"/>
      <c r="C62" s="1461"/>
      <c r="D62" s="1462"/>
      <c r="E62" s="1463"/>
      <c r="F62" s="1464"/>
      <c r="J62" s="1468"/>
      <c r="L62" s="1469"/>
    </row>
    <row r="63" spans="2:12">
      <c r="B63" s="1460"/>
      <c r="C63" s="1461"/>
      <c r="D63" s="1462"/>
      <c r="E63" s="1463"/>
      <c r="F63" s="1464"/>
      <c r="L63" s="1467"/>
    </row>
    <row r="64" spans="2:12">
      <c r="B64" s="1460"/>
      <c r="C64" s="1461"/>
      <c r="D64" s="1462"/>
      <c r="E64" s="1463"/>
      <c r="F64" s="1464"/>
      <c r="L64" s="1467"/>
    </row>
    <row r="65" spans="2:12">
      <c r="B65" s="1460"/>
      <c r="C65" s="1461"/>
      <c r="D65" s="1462"/>
      <c r="E65" s="1470"/>
      <c r="F65" s="1464"/>
      <c r="L65" s="1467"/>
    </row>
    <row r="66" spans="2:12">
      <c r="B66" s="1460"/>
      <c r="C66" s="1461"/>
      <c r="D66" s="1462"/>
      <c r="E66" s="1463"/>
      <c r="F66" s="1464"/>
      <c r="L66" s="1467"/>
    </row>
    <row r="67" spans="2:12" ht="15" thickBot="1">
      <c r="B67" s="1471"/>
      <c r="C67" s="1472"/>
      <c r="D67" s="1473"/>
      <c r="E67" s="1474"/>
      <c r="F67" s="1475"/>
      <c r="G67" s="1476"/>
      <c r="H67" s="1476"/>
      <c r="I67" s="1476"/>
      <c r="J67" s="1476"/>
      <c r="K67" s="1476"/>
      <c r="L67" s="1477"/>
    </row>
  </sheetData>
  <protectedRanges>
    <protectedRange sqref="B21 B37:B58 B23:B31" name="APUS"/>
  </protectedRanges>
  <mergeCells count="36">
    <mergeCell ref="B14:L14"/>
    <mergeCell ref="B6:L6"/>
    <mergeCell ref="B7:C7"/>
    <mergeCell ref="D7:L7"/>
    <mergeCell ref="B8:C8"/>
    <mergeCell ref="D8:L8"/>
    <mergeCell ref="C52:L52"/>
    <mergeCell ref="D2:L5"/>
    <mergeCell ref="B15:G17"/>
    <mergeCell ref="H15:H17"/>
    <mergeCell ref="I15:J17"/>
    <mergeCell ref="K15:L17"/>
    <mergeCell ref="B9:C9"/>
    <mergeCell ref="D9:L9"/>
    <mergeCell ref="B10:C10"/>
    <mergeCell ref="D10:L10"/>
    <mergeCell ref="B11:C11"/>
    <mergeCell ref="D11:L11"/>
    <mergeCell ref="B12:C12"/>
    <mergeCell ref="D12:L12"/>
    <mergeCell ref="B13:C13"/>
    <mergeCell ref="D13:L13"/>
    <mergeCell ref="I51:J51"/>
    <mergeCell ref="C19:L19"/>
    <mergeCell ref="C26:L26"/>
    <mergeCell ref="C29:L29"/>
    <mergeCell ref="C32:L32"/>
    <mergeCell ref="C38:F38"/>
    <mergeCell ref="J45:J46"/>
    <mergeCell ref="H43:I43"/>
    <mergeCell ref="C47:C49"/>
    <mergeCell ref="J47:J49"/>
    <mergeCell ref="L47:L49"/>
    <mergeCell ref="G47:G49"/>
    <mergeCell ref="C43:F43"/>
    <mergeCell ref="I44:J44"/>
  </mergeCells>
  <pageMargins left="0.7" right="0.7" top="0.75" bottom="0.75" header="0.3" footer="0.3"/>
  <ignoredErrors>
    <ignoredError sqref="B27:B31" numberStoredAsText="1"/>
  </ignoredErrors>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59E448-F90F-448C-BEA1-81751DD7E97B}">
  <sheetPr codeName="Hoja3">
    <tabColor theme="7" tint="0.79998168889431442"/>
  </sheetPr>
  <dimension ref="A1:K37"/>
  <sheetViews>
    <sheetView topLeftCell="A4" zoomScale="85" zoomScaleNormal="85" zoomScaleSheetLayoutView="90" workbookViewId="0">
      <selection activeCell="F19" sqref="F19"/>
    </sheetView>
  </sheetViews>
  <sheetFormatPr baseColWidth="10" defaultColWidth="11.453125" defaultRowHeight="14.5"/>
  <cols>
    <col min="1" max="1" width="9.08984375" style="34" customWidth="1"/>
    <col min="2" max="2" width="98.6328125" style="284" customWidth="1"/>
    <col min="3" max="3" width="8.6328125" style="1" bestFit="1" customWidth="1"/>
    <col min="4" max="4" width="17.36328125" style="1" bestFit="1" customWidth="1"/>
    <col min="5" max="5" width="18.08984375" style="63" bestFit="1" customWidth="1"/>
    <col min="6" max="6" width="28" style="1" customWidth="1"/>
    <col min="7" max="7" width="20.08984375" style="1" customWidth="1"/>
    <col min="8" max="8" width="26.6328125" style="1" customWidth="1"/>
    <col min="9" max="9" width="15.36328125" style="1" bestFit="1" customWidth="1"/>
    <col min="10" max="10" width="11.453125" style="1"/>
    <col min="11" max="11" width="13.453125" style="1" bestFit="1" customWidth="1"/>
    <col min="12" max="16384" width="11.453125" style="1"/>
  </cols>
  <sheetData>
    <row r="1" spans="1:7" ht="138.75" customHeight="1">
      <c r="A1" s="1667" t="s">
        <v>189</v>
      </c>
      <c r="B1" s="1668"/>
      <c r="C1" s="1668"/>
      <c r="D1" s="1668"/>
      <c r="E1" s="1668"/>
      <c r="F1" s="1668"/>
      <c r="G1" s="1669"/>
    </row>
    <row r="2" spans="1:7">
      <c r="A2" s="1670" t="s">
        <v>190</v>
      </c>
      <c r="B2" s="1671"/>
      <c r="C2" s="1671"/>
      <c r="D2" s="1671"/>
      <c r="E2" s="1671"/>
      <c r="F2" s="1671"/>
      <c r="G2" s="1672"/>
    </row>
    <row r="3" spans="1:7">
      <c r="A3" s="1670" t="s">
        <v>0</v>
      </c>
      <c r="B3" s="1671"/>
      <c r="C3" s="1671"/>
      <c r="D3" s="1671"/>
      <c r="E3" s="1671"/>
      <c r="F3" s="1671"/>
      <c r="G3" s="1672"/>
    </row>
    <row r="4" spans="1:7" s="131" customFormat="1">
      <c r="A4" s="1377" t="s">
        <v>191</v>
      </c>
      <c r="B4" s="381" t="s">
        <v>192</v>
      </c>
      <c r="C4" s="381" t="s">
        <v>193</v>
      </c>
      <c r="D4" s="382" t="s">
        <v>4</v>
      </c>
      <c r="E4" s="383" t="s">
        <v>5</v>
      </c>
      <c r="F4" s="383" t="s">
        <v>194</v>
      </c>
      <c r="G4" s="1378" t="s">
        <v>195</v>
      </c>
    </row>
    <row r="5" spans="1:7" s="131" customFormat="1">
      <c r="A5" s="1379">
        <v>1</v>
      </c>
      <c r="B5" s="384" t="s">
        <v>196</v>
      </c>
      <c r="C5" s="384"/>
      <c r="D5" s="384"/>
      <c r="E5" s="384"/>
      <c r="F5" s="384"/>
      <c r="G5" s="1380"/>
    </row>
    <row r="6" spans="1:7" s="131" customFormat="1" ht="43.5">
      <c r="A6" s="1381">
        <v>1.1000000000000001</v>
      </c>
      <c r="B6" s="385" t="s">
        <v>197</v>
      </c>
      <c r="C6" s="386" t="s">
        <v>198</v>
      </c>
      <c r="D6" s="387">
        <f>+'MEMORIA DE CALCULO'!L9</f>
        <v>6</v>
      </c>
      <c r="E6" s="388">
        <f>+'1,1'!H38</f>
        <v>969157</v>
      </c>
      <c r="F6" s="388">
        <f>+ROUND(D6*E6,0)</f>
        <v>5814942</v>
      </c>
      <c r="G6" s="1382">
        <f>+F6/$F$19</f>
        <v>2.588249459920644E-2</v>
      </c>
    </row>
    <row r="7" spans="1:7" s="131" customFormat="1">
      <c r="A7" s="1383">
        <v>2</v>
      </c>
      <c r="B7" s="384" t="s">
        <v>199</v>
      </c>
      <c r="C7" s="384"/>
      <c r="D7" s="384"/>
      <c r="E7" s="384"/>
      <c r="F7" s="384"/>
      <c r="G7" s="1380"/>
    </row>
    <row r="8" spans="1:7" s="131" customFormat="1" ht="27" customHeight="1">
      <c r="A8" s="1381">
        <v>2.1</v>
      </c>
      <c r="B8" s="385" t="s">
        <v>200</v>
      </c>
      <c r="C8" s="386" t="s">
        <v>201</v>
      </c>
      <c r="D8" s="387">
        <f>+'MEMORIA DE CALCULO'!L39</f>
        <v>129.59100000000001</v>
      </c>
      <c r="E8" s="388">
        <f>+'2,1'!G39</f>
        <v>26235</v>
      </c>
      <c r="F8" s="388">
        <f t="shared" ref="F8:F11" si="0">+ROUND(D8*E8,0)</f>
        <v>3399820</v>
      </c>
      <c r="G8" s="1382">
        <f>+F8/$F$19</f>
        <v>1.5132708595936821E-2</v>
      </c>
    </row>
    <row r="9" spans="1:7" s="131" customFormat="1" ht="29">
      <c r="A9" s="1381">
        <v>2.2000000000000002</v>
      </c>
      <c r="B9" s="385" t="s">
        <v>202</v>
      </c>
      <c r="C9" s="386" t="s">
        <v>201</v>
      </c>
      <c r="D9" s="387">
        <f>+'MEMORIA DE CALCULO'!L123</f>
        <v>276.96899999999999</v>
      </c>
      <c r="E9" s="388">
        <f>+'2,2'!G38</f>
        <v>66929</v>
      </c>
      <c r="F9" s="388">
        <f t="shared" si="0"/>
        <v>18537258</v>
      </c>
      <c r="G9" s="1382">
        <f>+F9/$F$19</f>
        <v>8.2509933902882679E-2</v>
      </c>
    </row>
    <row r="10" spans="1:7" s="131" customFormat="1">
      <c r="A10" s="1381">
        <v>2.2999999999999998</v>
      </c>
      <c r="B10" s="385" t="s">
        <v>203</v>
      </c>
      <c r="C10" s="386" t="s">
        <v>34</v>
      </c>
      <c r="D10" s="387">
        <f>+'MEMORIA DE CALCULO'!L172</f>
        <v>508.20000000000005</v>
      </c>
      <c r="E10" s="388">
        <f>+'2,3'!G40</f>
        <v>2243</v>
      </c>
      <c r="F10" s="388">
        <f t="shared" si="0"/>
        <v>1139893</v>
      </c>
      <c r="G10" s="1382">
        <f>+F10/$F$19</f>
        <v>5.0737005487196995E-3</v>
      </c>
    </row>
    <row r="11" spans="1:7" s="131" customFormat="1" ht="62.5" customHeight="1">
      <c r="A11" s="1381">
        <v>2.4</v>
      </c>
      <c r="B11" s="385" t="s">
        <v>204</v>
      </c>
      <c r="C11" s="386" t="s">
        <v>201</v>
      </c>
      <c r="D11" s="387">
        <f>+'MEMORIA DE CALCULO'!L228</f>
        <v>119.42700000000002</v>
      </c>
      <c r="E11" s="388">
        <f>+'2,4'!H40</f>
        <v>422886</v>
      </c>
      <c r="F11" s="388">
        <f t="shared" si="0"/>
        <v>50504006</v>
      </c>
      <c r="G11" s="1382">
        <f>+F11/$F$19</f>
        <v>0.22479496141720584</v>
      </c>
    </row>
    <row r="12" spans="1:7" s="131" customFormat="1">
      <c r="A12" s="1379">
        <v>3</v>
      </c>
      <c r="B12" s="384" t="s">
        <v>205</v>
      </c>
      <c r="C12" s="384"/>
      <c r="D12" s="384"/>
      <c r="E12" s="384"/>
      <c r="F12" s="384"/>
      <c r="G12" s="1380"/>
    </row>
    <row r="13" spans="1:7" s="131" customFormat="1" ht="29">
      <c r="A13" s="1384" t="s">
        <v>206</v>
      </c>
      <c r="B13" s="385" t="s">
        <v>208</v>
      </c>
      <c r="C13" s="389" t="s">
        <v>14</v>
      </c>
      <c r="D13" s="387">
        <f>+'MEMORIA DE CALCULO'!L284</f>
        <v>50.820000000000007</v>
      </c>
      <c r="E13" s="388">
        <f>+'3,1'!H45</f>
        <v>1977771</v>
      </c>
      <c r="F13" s="388">
        <f t="shared" ref="F13:F14" si="1">+ROUND(D13*E13,0)</f>
        <v>100510322</v>
      </c>
      <c r="G13" s="1382">
        <f>+F13/$F$19</f>
        <v>0.44737468857462387</v>
      </c>
    </row>
    <row r="14" spans="1:7" s="131" customFormat="1" ht="36.5" customHeight="1">
      <c r="A14" s="1384" t="s">
        <v>207</v>
      </c>
      <c r="B14" s="385" t="s">
        <v>210</v>
      </c>
      <c r="C14" s="389" t="s">
        <v>34</v>
      </c>
      <c r="D14" s="387">
        <f>+'MEMORIA DE CALCULO'!L312</f>
        <v>1016.4000000000001</v>
      </c>
      <c r="E14" s="388">
        <f>+'3,2'!H42</f>
        <v>8291</v>
      </c>
      <c r="F14" s="388">
        <f t="shared" si="1"/>
        <v>8426972</v>
      </c>
      <c r="G14" s="1382">
        <f>+F14/$F$19</f>
        <v>3.7508724468389175E-2</v>
      </c>
    </row>
    <row r="15" spans="1:7" s="131" customFormat="1">
      <c r="A15" s="1385" t="s">
        <v>211</v>
      </c>
      <c r="B15" s="390" t="s">
        <v>50</v>
      </c>
      <c r="C15" s="390"/>
      <c r="D15" s="384"/>
      <c r="E15" s="390"/>
      <c r="F15" s="390"/>
      <c r="G15" s="1386"/>
    </row>
    <row r="16" spans="1:7" s="131" customFormat="1">
      <c r="A16" s="1384" t="s">
        <v>212</v>
      </c>
      <c r="B16" s="385" t="s">
        <v>1772</v>
      </c>
      <c r="C16" s="389" t="s">
        <v>14</v>
      </c>
      <c r="D16" s="387">
        <f>+'MEMORIA DE CALCULO'!L396</f>
        <v>17.786999999999999</v>
      </c>
      <c r="E16" s="388">
        <f>+'4,1'!H42</f>
        <v>935515</v>
      </c>
      <c r="F16" s="388">
        <f t="shared" ref="F16" si="2">+ROUND(D16*E16,0)</f>
        <v>16640005</v>
      </c>
      <c r="G16" s="1382">
        <f>+F16/$F$19</f>
        <v>7.4065199539955551E-2</v>
      </c>
    </row>
    <row r="17" spans="1:11" s="131" customFormat="1" ht="72.5">
      <c r="A17" s="1384" t="s">
        <v>213</v>
      </c>
      <c r="B17" s="385" t="s">
        <v>1767</v>
      </c>
      <c r="C17" s="389" t="s">
        <v>80</v>
      </c>
      <c r="D17" s="387">
        <f>+'MEMORIA DE CALCULO'!L340</f>
        <v>169.4</v>
      </c>
      <c r="E17" s="388">
        <f>+'4,2'!H42</f>
        <v>116256</v>
      </c>
      <c r="F17" s="388">
        <f t="shared" ref="F17" si="3">+ROUND(D17*E17,0)</f>
        <v>19693766</v>
      </c>
      <c r="G17" s="1382">
        <f>+F17/$F$19</f>
        <v>8.7657588353079949E-2</v>
      </c>
    </row>
    <row r="18" spans="1:11" ht="15" thickBot="1">
      <c r="A18" s="289"/>
      <c r="B18" s="290"/>
      <c r="C18" s="64"/>
      <c r="D18" s="289"/>
      <c r="F18" s="63"/>
      <c r="G18" s="63"/>
    </row>
    <row r="19" spans="1:11">
      <c r="A19" s="1657" t="s">
        <v>179</v>
      </c>
      <c r="B19" s="1658"/>
      <c r="C19" s="1658"/>
      <c r="D19" s="1658"/>
      <c r="E19" s="1658"/>
      <c r="F19" s="380">
        <f>+SUM(F6:F17)</f>
        <v>224666984</v>
      </c>
      <c r="G19" s="1375"/>
      <c r="I19" s="1406"/>
      <c r="K19" s="1407"/>
    </row>
    <row r="20" spans="1:11" ht="15" customHeight="1">
      <c r="A20" s="1659" t="s">
        <v>219</v>
      </c>
      <c r="B20" s="1582"/>
      <c r="C20" s="1582"/>
      <c r="D20" s="316" t="s">
        <v>181</v>
      </c>
      <c r="E20" s="1412">
        <f ca="1">+AU!I29</f>
        <v>0.28349999999999997</v>
      </c>
      <c r="F20" s="1403">
        <f ca="1">ROUND($F$19*E20,0)</f>
        <v>63693090</v>
      </c>
      <c r="G20" s="566"/>
    </row>
    <row r="21" spans="1:11">
      <c r="A21" s="1659"/>
      <c r="B21" s="1582"/>
      <c r="C21" s="1582"/>
      <c r="D21" s="316" t="s">
        <v>182</v>
      </c>
      <c r="E21" s="1033">
        <v>0.05</v>
      </c>
      <c r="F21" s="1403">
        <f>$F$19*E21</f>
        <v>11233349.200000001</v>
      </c>
      <c r="G21" s="566"/>
      <c r="K21" s="1407"/>
    </row>
    <row r="22" spans="1:11">
      <c r="A22" s="1659"/>
      <c r="B22" s="1582"/>
      <c r="C22" s="1582"/>
      <c r="D22" s="1663" t="s">
        <v>183</v>
      </c>
      <c r="E22" s="1664"/>
      <c r="F22" s="1404">
        <f ca="1">+F20+F21</f>
        <v>74926439.200000003</v>
      </c>
      <c r="G22" s="5"/>
    </row>
    <row r="23" spans="1:11" hidden="1">
      <c r="A23" s="1660" t="s">
        <v>220</v>
      </c>
      <c r="B23" s="1661"/>
      <c r="C23" s="1662"/>
      <c r="D23" s="1665" t="s">
        <v>186</v>
      </c>
      <c r="E23" s="1666"/>
      <c r="F23" s="1403"/>
      <c r="G23" s="566"/>
    </row>
    <row r="24" spans="1:11">
      <c r="A24" s="1659" t="s">
        <v>221</v>
      </c>
      <c r="B24" s="1582"/>
      <c r="C24" s="1582"/>
      <c r="D24" s="1665" t="s">
        <v>222</v>
      </c>
      <c r="E24" s="1666"/>
      <c r="F24" s="1403">
        <f>+'PAGA-GS-SST'!F113</f>
        <v>1401867</v>
      </c>
    </row>
    <row r="25" spans="1:11">
      <c r="A25" s="1659" t="s">
        <v>223</v>
      </c>
      <c r="B25" s="1582"/>
      <c r="C25" s="1582"/>
      <c r="D25" s="1665" t="s">
        <v>224</v>
      </c>
      <c r="E25" s="1666"/>
      <c r="F25" s="1403">
        <f ca="1">+'POLIZAS OBRA'!G29</f>
        <v>0</v>
      </c>
      <c r="G25" s="566"/>
    </row>
    <row r="26" spans="1:11" ht="6.75" customHeight="1">
      <c r="A26" s="1673"/>
      <c r="B26" s="1674"/>
      <c r="C26" s="1674"/>
      <c r="D26" s="1674"/>
      <c r="E26" s="1674"/>
      <c r="F26" s="1675"/>
      <c r="G26" s="565"/>
    </row>
    <row r="27" spans="1:11" ht="15" customHeight="1">
      <c r="A27" s="1652" t="s">
        <v>225</v>
      </c>
      <c r="B27" s="1653"/>
      <c r="C27" s="1653"/>
      <c r="D27" s="1653"/>
      <c r="E27" s="1654"/>
      <c r="F27" s="1394">
        <f ca="1">ROUNDUP(F19+F22+SUM(F23:F25),0)</f>
        <v>302480679</v>
      </c>
      <c r="G27" s="566"/>
    </row>
    <row r="28" spans="1:11">
      <c r="A28" s="377"/>
      <c r="B28" s="565"/>
      <c r="C28" s="565"/>
      <c r="D28" s="378"/>
      <c r="E28" s="379"/>
      <c r="F28" s="376"/>
      <c r="G28" s="566"/>
    </row>
    <row r="29" spans="1:11">
      <c r="A29" s="1652" t="s">
        <v>1775</v>
      </c>
      <c r="B29" s="1653"/>
      <c r="C29" s="1653"/>
      <c r="D29" s="1654"/>
      <c r="E29" s="1033"/>
      <c r="F29" s="262">
        <f ca="1">+F27*0.057</f>
        <v>0</v>
      </c>
      <c r="G29" s="566"/>
    </row>
    <row r="30" spans="1:11">
      <c r="A30" s="318"/>
      <c r="B30" s="294"/>
      <c r="C30" s="295"/>
      <c r="D30" s="296"/>
      <c r="E30" s="319"/>
      <c r="F30" s="317"/>
      <c r="G30" s="1376"/>
      <c r="H30" s="1400"/>
    </row>
    <row r="31" spans="1:11" ht="15" thickBot="1">
      <c r="A31" s="1655" t="s">
        <v>188</v>
      </c>
      <c r="B31" s="1656"/>
      <c r="C31" s="1656"/>
      <c r="D31" s="1656"/>
      <c r="E31" s="1656"/>
      <c r="F31" s="300">
        <f ca="1">+F27+F29</f>
        <v>319722077.70300001</v>
      </c>
      <c r="G31" s="307"/>
      <c r="H31" s="5"/>
    </row>
    <row r="32" spans="1:11">
      <c r="F32" s="5"/>
      <c r="G32" s="5"/>
    </row>
    <row r="37" spans="7:7">
      <c r="G37" s="566"/>
    </row>
  </sheetData>
  <mergeCells count="16">
    <mergeCell ref="A1:G1"/>
    <mergeCell ref="A2:G2"/>
    <mergeCell ref="A3:G3"/>
    <mergeCell ref="D25:E25"/>
    <mergeCell ref="A26:F26"/>
    <mergeCell ref="A27:E27"/>
    <mergeCell ref="A31:E31"/>
    <mergeCell ref="A19:E19"/>
    <mergeCell ref="A29:D29"/>
    <mergeCell ref="A20:C22"/>
    <mergeCell ref="A23:C23"/>
    <mergeCell ref="A24:C24"/>
    <mergeCell ref="A25:C25"/>
    <mergeCell ref="D22:E22"/>
    <mergeCell ref="D23:E23"/>
    <mergeCell ref="D24:E24"/>
  </mergeCells>
  <phoneticPr fontId="6" type="noConversion"/>
  <pageMargins left="0.70866141732283472" right="0.70866141732283472" top="0.74803149606299213" bottom="0.74803149606299213" header="0.31496062992125984" footer="0.31496062992125984"/>
  <pageSetup scale="45"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87948F-E8A8-42DC-9903-A5E829E0E9FC}">
  <sheetPr codeName="Hoja11">
    <tabColor theme="7" tint="0.79998168889431442"/>
  </sheetPr>
  <dimension ref="A1:H16"/>
  <sheetViews>
    <sheetView zoomScaleNormal="100" workbookViewId="0">
      <selection activeCell="F11" sqref="F11"/>
    </sheetView>
  </sheetViews>
  <sheetFormatPr baseColWidth="10" defaultColWidth="11.453125" defaultRowHeight="14.5"/>
  <cols>
    <col min="1" max="1" width="25.453125" style="1" bestFit="1" customWidth="1"/>
    <col min="2" max="2" width="15.36328125" style="1" bestFit="1" customWidth="1"/>
    <col min="3" max="3" width="16" style="1" bestFit="1" customWidth="1"/>
    <col min="4" max="4" width="10.36328125" style="1" bestFit="1" customWidth="1"/>
    <col min="5" max="5" width="18.36328125" style="1" bestFit="1" customWidth="1"/>
    <col min="6" max="6" width="12.81640625" style="1" bestFit="1" customWidth="1"/>
    <col min="7" max="7" width="20.36328125" style="1" bestFit="1" customWidth="1"/>
    <col min="8" max="8" width="21" style="1" bestFit="1" customWidth="1"/>
    <col min="9" max="10" width="12.6328125" style="1" bestFit="1" customWidth="1"/>
    <col min="11" max="11" width="17.36328125" style="1" bestFit="1" customWidth="1"/>
    <col min="12" max="16384" width="11.453125" style="1"/>
  </cols>
  <sheetData>
    <row r="1" spans="1:8" ht="42.5" customHeight="1" thickBot="1">
      <c r="A1" s="1676" t="str">
        <f>+PRESUPUESTO!A2</f>
        <v>OBJETO: MEJORAMIENTO Y ADECUACIÓN DE LAS VIAS URBANAS DEL MUNICIPIO DE SANTA FE DE ANTIOQUIA</v>
      </c>
      <c r="B1" s="1677"/>
      <c r="C1" s="1677"/>
      <c r="D1" s="1677"/>
      <c r="E1" s="1677"/>
      <c r="F1" s="1677"/>
      <c r="G1" s="1677"/>
      <c r="H1" s="1678"/>
    </row>
    <row r="2" spans="1:8" ht="5.5" customHeight="1" thickBot="1"/>
    <row r="3" spans="1:8" ht="29.5" thickBot="1">
      <c r="A3" s="19" t="s">
        <v>834</v>
      </c>
      <c r="B3" s="20" t="s">
        <v>835</v>
      </c>
      <c r="C3" s="20" t="s">
        <v>836</v>
      </c>
      <c r="D3" s="21" t="s">
        <v>837</v>
      </c>
      <c r="E3" s="21" t="s">
        <v>838</v>
      </c>
      <c r="F3" s="21" t="s">
        <v>839</v>
      </c>
      <c r="G3" s="21" t="s">
        <v>840</v>
      </c>
      <c r="H3" s="22" t="s">
        <v>841</v>
      </c>
    </row>
    <row r="4" spans="1:8">
      <c r="A4" s="14" t="s">
        <v>842</v>
      </c>
      <c r="B4" s="15">
        <f>+C15</f>
        <v>83333.333333333328</v>
      </c>
      <c r="C4" s="15">
        <f>+B4*24</f>
        <v>2000000</v>
      </c>
      <c r="D4" s="16">
        <v>1</v>
      </c>
      <c r="E4" s="373">
        <f>+'FP OPERATIVO'!D32</f>
        <v>1.77</v>
      </c>
      <c r="F4" s="17">
        <f>+B4*E4/8</f>
        <v>18437.5</v>
      </c>
      <c r="G4" s="17">
        <f t="shared" ref="G4:G6" si="0">+B4*E4</f>
        <v>147500</v>
      </c>
      <c r="H4" s="18">
        <f>+G4*24</f>
        <v>3540000</v>
      </c>
    </row>
    <row r="5" spans="1:8">
      <c r="A5" s="14" t="s">
        <v>843</v>
      </c>
      <c r="B5" s="15">
        <f>+B4*D5</f>
        <v>93333.333333333343</v>
      </c>
      <c r="C5" s="15">
        <f>+B5*24</f>
        <v>2240000</v>
      </c>
      <c r="D5" s="16">
        <v>1.1200000000000001</v>
      </c>
      <c r="E5" s="373">
        <f>+'FP OPERATIVO'!F32</f>
        <v>1.6878931224274358</v>
      </c>
      <c r="F5" s="17">
        <f>+B5*E5/8</f>
        <v>19692.086428320086</v>
      </c>
      <c r="G5" s="17">
        <f t="shared" ref="G5" si="1">+B5*E5</f>
        <v>157536.69142656069</v>
      </c>
      <c r="H5" s="18">
        <f>+G5*24</f>
        <v>3780880.5942374566</v>
      </c>
    </row>
    <row r="6" spans="1:8">
      <c r="A6" s="8" t="s">
        <v>844</v>
      </c>
      <c r="B6" s="2">
        <f>+$C$15*D6</f>
        <v>125000</v>
      </c>
      <c r="C6" s="15">
        <f>+B6*24</f>
        <v>3000000</v>
      </c>
      <c r="D6" s="7">
        <f>+'FP OPERATIVO'!H8</f>
        <v>1.5</v>
      </c>
      <c r="E6" s="374">
        <f>+'FP OPERATIVO'!H32</f>
        <v>1.6533655314124858</v>
      </c>
      <c r="F6" s="3">
        <f>+B6*E6/8</f>
        <v>25833.83642832009</v>
      </c>
      <c r="G6" s="3">
        <f t="shared" si="0"/>
        <v>206670.69142656072</v>
      </c>
      <c r="H6" s="18">
        <f t="shared" ref="H6:H9" si="2">+G6*24</f>
        <v>4960096.594237457</v>
      </c>
    </row>
    <row r="7" spans="1:8">
      <c r="A7" s="9" t="s">
        <v>845</v>
      </c>
      <c r="B7" s="2">
        <f>+$C$15*D7</f>
        <v>208333.33333333331</v>
      </c>
      <c r="C7" s="15">
        <f>+B7*24</f>
        <v>5000000</v>
      </c>
      <c r="D7" s="7">
        <v>2.5</v>
      </c>
      <c r="E7" s="374">
        <f>+'FP OPERATIVO'!N32</f>
        <v>1.562261152109587</v>
      </c>
      <c r="F7" s="3">
        <f t="shared" ref="F7:F9" si="3">+B7*E7/8</f>
        <v>40683.88416952049</v>
      </c>
      <c r="G7" s="3">
        <f>+ROUND(B7*E7,0)</f>
        <v>325471</v>
      </c>
      <c r="H7" s="18">
        <f t="shared" si="2"/>
        <v>7811304</v>
      </c>
    </row>
    <row r="8" spans="1:8">
      <c r="A8" s="56" t="s">
        <v>846</v>
      </c>
      <c r="B8" s="2">
        <f>+$C$15*D8</f>
        <v>125000</v>
      </c>
      <c r="C8" s="15">
        <f t="shared" ref="C8:C9" si="4">+B8*24</f>
        <v>3000000</v>
      </c>
      <c r="D8" s="7">
        <v>1.5</v>
      </c>
      <c r="E8" s="374">
        <f>+'FP OPERATIVO'!H32</f>
        <v>1.6533655314124858</v>
      </c>
      <c r="F8" s="3">
        <f t="shared" si="3"/>
        <v>25833.83642832009</v>
      </c>
      <c r="G8" s="3">
        <f>+ROUND(B8*E8,0)</f>
        <v>206671</v>
      </c>
      <c r="H8" s="18">
        <f t="shared" si="2"/>
        <v>4960104</v>
      </c>
    </row>
    <row r="9" spans="1:8" ht="15" thickBot="1">
      <c r="A9" s="44" t="s">
        <v>847</v>
      </c>
      <c r="B9" s="13">
        <f>+$C$15*D9</f>
        <v>125000</v>
      </c>
      <c r="C9" s="29">
        <f t="shared" si="4"/>
        <v>3000000</v>
      </c>
      <c r="D9" s="11">
        <v>1.5</v>
      </c>
      <c r="E9" s="375">
        <f>+'FP OPERATIVO'!D32</f>
        <v>1.77</v>
      </c>
      <c r="F9" s="12">
        <f t="shared" si="3"/>
        <v>27656.25</v>
      </c>
      <c r="G9" s="30">
        <f>+ROUND(B9*E9,0)</f>
        <v>221250</v>
      </c>
      <c r="H9" s="30">
        <f t="shared" si="2"/>
        <v>5310000</v>
      </c>
    </row>
    <row r="10" spans="1:8">
      <c r="E10" s="5"/>
    </row>
    <row r="11" spans="1:8" ht="15" thickBot="1"/>
    <row r="12" spans="1:8" ht="15" thickBot="1">
      <c r="B12" s="1679" t="s">
        <v>610</v>
      </c>
      <c r="C12" s="1680"/>
      <c r="E12" s="5"/>
      <c r="F12" s="5"/>
    </row>
    <row r="13" spans="1:8">
      <c r="B13" s="27" t="s">
        <v>848</v>
      </c>
      <c r="C13" s="28">
        <f>+'FP OPERATIVO'!D13*12</f>
        <v>24000000</v>
      </c>
      <c r="E13" s="5"/>
      <c r="F13" s="5"/>
    </row>
    <row r="14" spans="1:8">
      <c r="B14" s="23" t="s">
        <v>849</v>
      </c>
      <c r="C14" s="24">
        <f>+C13/12</f>
        <v>2000000</v>
      </c>
      <c r="E14" s="5"/>
      <c r="F14" s="31"/>
    </row>
    <row r="15" spans="1:8">
      <c r="B15" s="23" t="s">
        <v>850</v>
      </c>
      <c r="C15" s="24">
        <f>+C14/24</f>
        <v>83333.333333333328</v>
      </c>
      <c r="F15" s="5"/>
    </row>
    <row r="16" spans="1:8" ht="15" thickBot="1">
      <c r="B16" s="25" t="s">
        <v>851</v>
      </c>
      <c r="C16" s="26">
        <f>+C15/8</f>
        <v>10416.666666666666</v>
      </c>
    </row>
  </sheetData>
  <mergeCells count="2">
    <mergeCell ref="A1:H1"/>
    <mergeCell ref="B12:C12"/>
  </mergeCells>
  <pageMargins left="0.7" right="0.7" top="0.75" bottom="0.75" header="0.3" footer="0.3"/>
  <pageSetup scale="63"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9939A7-218C-409D-994E-C7FE30E6B328}">
  <sheetPr codeName="Hoja12">
    <tabColor theme="7" tint="0.79998168889431442"/>
  </sheetPr>
  <dimension ref="A1:AE47"/>
  <sheetViews>
    <sheetView topLeftCell="A10" zoomScaleNormal="100" zoomScaleSheetLayoutView="80" workbookViewId="0">
      <selection activeCell="D15" sqref="D15"/>
    </sheetView>
  </sheetViews>
  <sheetFormatPr baseColWidth="10" defaultColWidth="11.453125" defaultRowHeight="14.5"/>
  <cols>
    <col min="1" max="1" width="37.6328125" style="1" bestFit="1" customWidth="1"/>
    <col min="2" max="2" width="6" style="1" bestFit="1" customWidth="1"/>
    <col min="3" max="3" width="10.6328125" style="1" bestFit="1" customWidth="1"/>
    <col min="4" max="4" width="11.453125" style="1" customWidth="1"/>
    <col min="5" max="6" width="16.453125" style="1" customWidth="1"/>
    <col min="7" max="16" width="11.453125" style="1" customWidth="1"/>
    <col min="17" max="17" width="8.453125" style="1" bestFit="1" customWidth="1"/>
    <col min="18" max="18" width="11.81640625" style="1" customWidth="1"/>
    <col min="19" max="19" width="8.453125" style="1" bestFit="1" customWidth="1"/>
    <col min="20" max="20" width="11.81640625" style="1" customWidth="1"/>
    <col min="21" max="21" width="8.453125" style="1" bestFit="1" customWidth="1"/>
    <col min="22" max="22" width="11.6328125" style="1" customWidth="1"/>
    <col min="23" max="23" width="8.453125" style="1" bestFit="1" customWidth="1"/>
    <col min="24" max="24" width="12" style="1" customWidth="1"/>
    <col min="25" max="25" width="8.453125" style="1" bestFit="1" customWidth="1"/>
    <col min="26" max="26" width="12.08984375" style="1" customWidth="1"/>
    <col min="27" max="27" width="8.453125" style="1" bestFit="1" customWidth="1"/>
    <col min="28" max="28" width="13.36328125" style="1" customWidth="1"/>
    <col min="29" max="29" width="8.453125" style="1" bestFit="1" customWidth="1"/>
    <col min="30" max="30" width="13.08984375" style="1" customWidth="1"/>
    <col min="31" max="31" width="8.453125" style="1" bestFit="1" customWidth="1"/>
    <col min="32" max="16384" width="11.453125" style="1"/>
  </cols>
  <sheetData>
    <row r="1" spans="1:31" ht="15" thickBot="1">
      <c r="A1" s="1685" t="str">
        <f>+PRESUPUESTO!A2</f>
        <v>OBJETO: MEJORAMIENTO Y ADECUACIÓN DE LAS VIAS URBANAS DEL MUNICIPIO DE SANTA FE DE ANTIOQUIA</v>
      </c>
      <c r="B1" s="1686"/>
      <c r="C1" s="1686"/>
      <c r="D1" s="1686"/>
      <c r="E1" s="1686"/>
      <c r="F1" s="1686"/>
      <c r="G1" s="1686"/>
      <c r="H1" s="1686"/>
      <c r="I1" s="1686"/>
      <c r="J1" s="1686"/>
      <c r="K1" s="1686"/>
      <c r="L1" s="1686"/>
      <c r="M1" s="1686"/>
      <c r="N1" s="1686"/>
      <c r="O1" s="1686"/>
      <c r="P1" s="1686"/>
      <c r="Q1" s="1686"/>
      <c r="R1" s="1686"/>
      <c r="S1" s="1686"/>
      <c r="T1" s="1686"/>
      <c r="U1" s="1686"/>
      <c r="V1" s="1686"/>
      <c r="W1" s="1686"/>
      <c r="X1" s="1686"/>
      <c r="Y1" s="1686"/>
      <c r="Z1" s="1686"/>
      <c r="AA1" s="1686"/>
      <c r="AB1" s="1686"/>
      <c r="AC1" s="1686"/>
      <c r="AD1" s="1686"/>
      <c r="AE1" s="1687"/>
    </row>
    <row r="2" spans="1:31">
      <c r="A2" s="1688" t="s">
        <v>1341</v>
      </c>
      <c r="B2" s="1689"/>
      <c r="C2" s="1689"/>
      <c r="D2" s="1689"/>
      <c r="E2" s="1689"/>
      <c r="F2" s="1689"/>
      <c r="G2" s="1689"/>
      <c r="H2" s="1689"/>
      <c r="I2" s="1689"/>
      <c r="J2" s="1689"/>
      <c r="K2" s="1689"/>
      <c r="L2" s="1689"/>
      <c r="M2" s="1689"/>
      <c r="N2" s="1689"/>
      <c r="O2" s="1689"/>
      <c r="P2" s="1689"/>
      <c r="Q2" s="1689"/>
      <c r="R2" s="1689"/>
      <c r="S2" s="1689"/>
      <c r="T2" s="1689"/>
      <c r="U2" s="1689"/>
      <c r="V2" s="1689"/>
      <c r="W2" s="1689"/>
      <c r="X2" s="1689"/>
      <c r="Y2" s="1689"/>
      <c r="Z2" s="1689"/>
      <c r="AA2" s="1689"/>
      <c r="AB2" s="1689"/>
      <c r="AC2" s="1689"/>
      <c r="AD2" s="1689"/>
      <c r="AE2" s="1690"/>
    </row>
    <row r="3" spans="1:31" ht="15" thickBot="1">
      <c r="A3" s="1691"/>
      <c r="B3" s="1692"/>
      <c r="C3" s="1692"/>
      <c r="D3" s="1692"/>
      <c r="E3" s="1692"/>
      <c r="F3" s="1692"/>
      <c r="G3" s="1692"/>
      <c r="H3" s="1692"/>
      <c r="I3" s="1692"/>
      <c r="J3" s="1692"/>
      <c r="K3" s="1692"/>
      <c r="L3" s="1692"/>
      <c r="M3" s="1692"/>
      <c r="N3" s="1692"/>
      <c r="O3" s="1692"/>
      <c r="P3" s="1692"/>
      <c r="Q3" s="1692"/>
      <c r="R3" s="1692"/>
      <c r="S3" s="1692"/>
      <c r="T3" s="1692"/>
      <c r="U3" s="1692"/>
      <c r="V3" s="1692"/>
      <c r="W3" s="1692"/>
      <c r="X3" s="1692"/>
      <c r="Y3" s="1692"/>
      <c r="Z3" s="1692"/>
      <c r="AA3" s="1692"/>
      <c r="AB3" s="1692"/>
      <c r="AC3" s="1692"/>
      <c r="AD3" s="1692"/>
      <c r="AE3" s="1693"/>
    </row>
    <row r="4" spans="1:31" ht="15" thickBot="1">
      <c r="A4" s="1694"/>
      <c r="B4" s="1695"/>
      <c r="C4" s="1695"/>
      <c r="D4" s="1695"/>
      <c r="E4" s="1695"/>
      <c r="F4" s="1695"/>
      <c r="G4" s="1695"/>
      <c r="H4" s="1695"/>
      <c r="I4" s="1695"/>
      <c r="J4" s="1695"/>
      <c r="K4" s="1695"/>
      <c r="L4" s="1695"/>
      <c r="M4" s="1695"/>
      <c r="N4" s="1695"/>
      <c r="O4" s="1695"/>
      <c r="P4" s="1695"/>
      <c r="Q4" s="1695"/>
      <c r="R4" s="1695"/>
      <c r="S4" s="1695"/>
      <c r="T4" s="1695"/>
      <c r="U4" s="1695"/>
      <c r="V4" s="1695"/>
      <c r="W4" s="1695"/>
      <c r="X4" s="1695"/>
      <c r="Y4" s="1695"/>
      <c r="Z4" s="1695"/>
      <c r="AA4" s="1695"/>
      <c r="AB4" s="1695"/>
      <c r="AC4" s="1695"/>
      <c r="AD4" s="1695"/>
      <c r="AE4" s="1696"/>
    </row>
    <row r="5" spans="1:31" ht="15" thickBot="1">
      <c r="A5" s="1697"/>
      <c r="B5" s="1698"/>
      <c r="C5" s="1698"/>
      <c r="D5" s="1698"/>
      <c r="E5" s="1698"/>
      <c r="F5" s="1698"/>
      <c r="G5" s="1698"/>
      <c r="H5" s="1698"/>
      <c r="I5" s="1698"/>
      <c r="J5" s="1698"/>
      <c r="K5" s="1698"/>
      <c r="L5" s="1698"/>
      <c r="M5" s="1698"/>
      <c r="N5" s="1698"/>
      <c r="O5" s="1698"/>
      <c r="P5" s="1698"/>
      <c r="Q5" s="1698"/>
      <c r="R5" s="1698"/>
      <c r="S5" s="1698"/>
      <c r="T5" s="1698"/>
      <c r="U5" s="1698"/>
      <c r="V5" s="1698"/>
      <c r="W5" s="1698"/>
      <c r="X5" s="1698"/>
      <c r="Y5" s="1698"/>
      <c r="Z5" s="1698"/>
      <c r="AA5" s="1698"/>
      <c r="AB5" s="1698"/>
      <c r="AC5" s="1698"/>
      <c r="AD5" s="1698"/>
      <c r="AE5" s="1699"/>
    </row>
    <row r="6" spans="1:31" ht="15" thickBot="1">
      <c r="A6" s="1700" t="s">
        <v>1342</v>
      </c>
      <c r="B6" s="1701"/>
      <c r="C6" s="1701"/>
      <c r="D6" s="1701"/>
      <c r="E6" s="1701"/>
      <c r="F6" s="1701"/>
      <c r="G6" s="1701"/>
      <c r="H6" s="1701"/>
      <c r="I6" s="1701"/>
      <c r="J6" s="1701"/>
      <c r="K6" s="1701"/>
      <c r="L6" s="1701"/>
      <c r="M6" s="1701"/>
      <c r="N6" s="1701"/>
      <c r="O6" s="1701"/>
      <c r="P6" s="1701"/>
      <c r="Q6" s="1701"/>
      <c r="R6" s="1701"/>
      <c r="S6" s="1701"/>
      <c r="T6" s="1701"/>
      <c r="U6" s="1701"/>
      <c r="V6" s="1701"/>
      <c r="W6" s="1701"/>
      <c r="X6" s="1701"/>
      <c r="Y6" s="1701"/>
      <c r="Z6" s="1701"/>
      <c r="AA6" s="1701"/>
      <c r="AB6" s="1701"/>
      <c r="AC6" s="1701"/>
      <c r="AD6" s="1701"/>
      <c r="AE6" s="1702"/>
    </row>
    <row r="7" spans="1:31" ht="20.25" customHeight="1" thickBot="1">
      <c r="A7" s="1703"/>
      <c r="B7" s="1704"/>
      <c r="C7" s="1704"/>
      <c r="D7" s="1704"/>
      <c r="E7" s="1704"/>
      <c r="F7" s="1704"/>
      <c r="G7" s="1704"/>
      <c r="H7" s="1704"/>
      <c r="I7" s="1704"/>
      <c r="J7" s="1704"/>
      <c r="K7" s="1704"/>
      <c r="L7" s="1704"/>
      <c r="M7" s="1704"/>
      <c r="N7" s="1704"/>
      <c r="O7" s="1704"/>
      <c r="P7" s="1704"/>
      <c r="Q7" s="1704"/>
      <c r="R7" s="1704"/>
      <c r="S7" s="1704"/>
      <c r="T7" s="1704"/>
      <c r="U7" s="1704"/>
      <c r="V7" s="1704"/>
      <c r="W7" s="1704"/>
      <c r="X7" s="1704"/>
      <c r="Y7" s="1704"/>
      <c r="Z7" s="1704"/>
      <c r="AA7" s="1704"/>
      <c r="AB7" s="1704"/>
      <c r="AC7" s="1704"/>
      <c r="AD7" s="1704"/>
      <c r="AE7" s="1705"/>
    </row>
    <row r="8" spans="1:31">
      <c r="A8" s="1706" t="s">
        <v>496</v>
      </c>
      <c r="B8" s="1707"/>
      <c r="C8" s="1708"/>
      <c r="D8" s="1683">
        <v>1</v>
      </c>
      <c r="E8" s="1684"/>
      <c r="F8" s="1709">
        <v>1.1200000000000001</v>
      </c>
      <c r="G8" s="1710"/>
      <c r="H8" s="1683">
        <v>1.5</v>
      </c>
      <c r="I8" s="1684"/>
      <c r="J8" s="1683">
        <v>1.8</v>
      </c>
      <c r="K8" s="1684"/>
      <c r="L8" s="1683">
        <v>2</v>
      </c>
      <c r="M8" s="1684"/>
      <c r="N8" s="1683">
        <v>2.5</v>
      </c>
      <c r="O8" s="1684"/>
      <c r="P8" s="1683">
        <v>2.8</v>
      </c>
      <c r="Q8" s="1684"/>
      <c r="R8" s="1683">
        <v>3.3</v>
      </c>
      <c r="S8" s="1684"/>
      <c r="T8" s="1683">
        <v>3.8</v>
      </c>
      <c r="U8" s="1684"/>
      <c r="V8" s="1683">
        <v>4</v>
      </c>
      <c r="W8" s="1684"/>
      <c r="X8" s="1683">
        <v>4.5999999999999996</v>
      </c>
      <c r="Y8" s="1684"/>
      <c r="Z8" s="1683">
        <v>5.8</v>
      </c>
      <c r="AA8" s="1684"/>
      <c r="AB8" s="1683">
        <v>7.8</v>
      </c>
      <c r="AC8" s="1684"/>
      <c r="AD8" s="1683">
        <v>10</v>
      </c>
      <c r="AE8" s="1684"/>
    </row>
    <row r="9" spans="1:31">
      <c r="A9" s="347" t="s">
        <v>505</v>
      </c>
      <c r="B9" s="348" t="s">
        <v>1343</v>
      </c>
      <c r="C9" s="349" t="s">
        <v>1344</v>
      </c>
      <c r="D9" s="347" t="s">
        <v>488</v>
      </c>
      <c r="E9" s="349" t="s">
        <v>487</v>
      </c>
      <c r="F9" s="350" t="s">
        <v>488</v>
      </c>
      <c r="G9" s="351" t="s">
        <v>487</v>
      </c>
      <c r="H9" s="347" t="s">
        <v>488</v>
      </c>
      <c r="I9" s="349" t="s">
        <v>487</v>
      </c>
      <c r="J9" s="347" t="s">
        <v>488</v>
      </c>
      <c r="K9" s="349" t="s">
        <v>487</v>
      </c>
      <c r="L9" s="347" t="s">
        <v>488</v>
      </c>
      <c r="M9" s="349" t="s">
        <v>487</v>
      </c>
      <c r="N9" s="347" t="s">
        <v>488</v>
      </c>
      <c r="O9" s="349" t="s">
        <v>487</v>
      </c>
      <c r="P9" s="347" t="s">
        <v>488</v>
      </c>
      <c r="Q9" s="349" t="s">
        <v>487</v>
      </c>
      <c r="R9" s="347" t="s">
        <v>488</v>
      </c>
      <c r="S9" s="349" t="s">
        <v>487</v>
      </c>
      <c r="T9" s="347" t="s">
        <v>488</v>
      </c>
      <c r="U9" s="349" t="s">
        <v>487</v>
      </c>
      <c r="V9" s="347" t="s">
        <v>488</v>
      </c>
      <c r="W9" s="349" t="s">
        <v>487</v>
      </c>
      <c r="X9" s="347" t="s">
        <v>488</v>
      </c>
      <c r="Y9" s="349" t="s">
        <v>487</v>
      </c>
      <c r="Z9" s="347" t="s">
        <v>488</v>
      </c>
      <c r="AA9" s="349" t="s">
        <v>487</v>
      </c>
      <c r="AB9" s="347" t="s">
        <v>488</v>
      </c>
      <c r="AC9" s="349" t="s">
        <v>487</v>
      </c>
      <c r="AD9" s="347" t="s">
        <v>488</v>
      </c>
      <c r="AE9" s="349" t="s">
        <v>487</v>
      </c>
    </row>
    <row r="10" spans="1:31">
      <c r="A10" s="352" t="s">
        <v>610</v>
      </c>
      <c r="B10" s="353"/>
      <c r="C10" s="354"/>
      <c r="D10" s="352"/>
      <c r="E10" s="354"/>
      <c r="F10" s="353"/>
      <c r="G10" s="353"/>
      <c r="H10" s="352"/>
      <c r="I10" s="354"/>
      <c r="J10" s="352"/>
      <c r="K10" s="354"/>
      <c r="L10" s="352"/>
      <c r="M10" s="354"/>
      <c r="N10" s="352"/>
      <c r="O10" s="354"/>
      <c r="P10" s="352"/>
      <c r="Q10" s="354"/>
      <c r="R10" s="352"/>
      <c r="S10" s="354"/>
      <c r="T10" s="352"/>
      <c r="U10" s="354"/>
      <c r="V10" s="352"/>
      <c r="W10" s="354"/>
      <c r="X10" s="352"/>
      <c r="Y10" s="354"/>
      <c r="Z10" s="352"/>
      <c r="AA10" s="354"/>
      <c r="AB10" s="352"/>
      <c r="AC10" s="354"/>
      <c r="AD10" s="352"/>
      <c r="AE10" s="354"/>
    </row>
    <row r="11" spans="1:31">
      <c r="A11" s="328" t="s">
        <v>1345</v>
      </c>
      <c r="B11" s="7" t="s">
        <v>598</v>
      </c>
      <c r="C11" s="355"/>
      <c r="D11" s="356">
        <v>1750905</v>
      </c>
      <c r="E11" s="357">
        <v>1</v>
      </c>
      <c r="F11" s="356">
        <f>D11*F8</f>
        <v>1961013.6</v>
      </c>
      <c r="G11" s="358">
        <v>1</v>
      </c>
      <c r="H11" s="356">
        <f>D11*H8</f>
        <v>2626357.5</v>
      </c>
      <c r="I11" s="357">
        <v>1</v>
      </c>
      <c r="J11" s="356">
        <f>D11*J8</f>
        <v>3151629</v>
      </c>
      <c r="K11" s="357">
        <v>1</v>
      </c>
      <c r="L11" s="356">
        <f>D11*L8</f>
        <v>3501810</v>
      </c>
      <c r="M11" s="357">
        <v>1</v>
      </c>
      <c r="N11" s="356">
        <f>ROUND($D$11*N8,0)</f>
        <v>4377263</v>
      </c>
      <c r="O11" s="357">
        <v>1</v>
      </c>
      <c r="P11" s="356">
        <f>ROUND($D$11*P8,0)</f>
        <v>4902534</v>
      </c>
      <c r="Q11" s="357">
        <v>1</v>
      </c>
      <c r="R11" s="356">
        <f>ROUND($D$11*R8,0)</f>
        <v>5777987</v>
      </c>
      <c r="S11" s="357">
        <v>1</v>
      </c>
      <c r="T11" s="356">
        <f>ROUND($D$11*T8,0)</f>
        <v>6653439</v>
      </c>
      <c r="U11" s="357">
        <v>1</v>
      </c>
      <c r="V11" s="356">
        <f>ROUND($D$11*V8,0)</f>
        <v>7003620</v>
      </c>
      <c r="W11" s="357">
        <v>1</v>
      </c>
      <c r="X11" s="356">
        <f>ROUND($D$11*X8,0)</f>
        <v>8054163</v>
      </c>
      <c r="Y11" s="357">
        <v>1</v>
      </c>
      <c r="Z11" s="356">
        <f>ROUND($D$11*Z8,0)</f>
        <v>10155249</v>
      </c>
      <c r="AA11" s="357">
        <v>1</v>
      </c>
      <c r="AB11" s="356">
        <f>ROUND($D$11*AB8,0)</f>
        <v>13657059</v>
      </c>
      <c r="AC11" s="357">
        <v>1</v>
      </c>
      <c r="AD11" s="356">
        <f>ROUND($D$11*AD8,0)</f>
        <v>17509050</v>
      </c>
      <c r="AE11" s="357">
        <v>1</v>
      </c>
    </row>
    <row r="12" spans="1:31">
      <c r="A12" s="328" t="s">
        <v>1346</v>
      </c>
      <c r="B12" s="7" t="s">
        <v>600</v>
      </c>
      <c r="C12" s="355"/>
      <c r="D12" s="356">
        <v>249095</v>
      </c>
      <c r="E12" s="357">
        <f>D12/D11</f>
        <v>0.14226642793298322</v>
      </c>
      <c r="F12" s="356">
        <f>IF(F8&lt;=2,140606,0)</f>
        <v>140606</v>
      </c>
      <c r="G12" s="358">
        <f>F12/F11</f>
        <v>7.1700675609796885E-2</v>
      </c>
      <c r="H12" s="356">
        <f>IF(H8&lt;=2,140606,0)</f>
        <v>140606</v>
      </c>
      <c r="I12" s="357">
        <f>H12/H11</f>
        <v>5.3536504455315014E-2</v>
      </c>
      <c r="J12" s="356">
        <f>IF(J8&lt;=2,140606,0)</f>
        <v>140606</v>
      </c>
      <c r="K12" s="357">
        <f>J12/J11</f>
        <v>4.4613753712762508E-2</v>
      </c>
      <c r="L12" s="356">
        <f>IF(L8&lt;=2,140606,0)</f>
        <v>140606</v>
      </c>
      <c r="M12" s="357">
        <f>L12/L11</f>
        <v>4.0152378341486258E-2</v>
      </c>
      <c r="N12" s="356">
        <f>IF(N8&lt;=2,140606,0)</f>
        <v>0</v>
      </c>
      <c r="O12" s="357">
        <f>N12/N11</f>
        <v>0</v>
      </c>
      <c r="P12" s="356">
        <f>IF(P8&lt;=2,140606,0)</f>
        <v>0</v>
      </c>
      <c r="Q12" s="357">
        <f>P12/P11</f>
        <v>0</v>
      </c>
      <c r="R12" s="356">
        <f>IF(R8&lt;=2,140606,0)</f>
        <v>0</v>
      </c>
      <c r="S12" s="357">
        <f>R12/R11</f>
        <v>0</v>
      </c>
      <c r="T12" s="356">
        <f>IF(T8&lt;=2,140606,0)</f>
        <v>0</v>
      </c>
      <c r="U12" s="357">
        <f>T12/T11</f>
        <v>0</v>
      </c>
      <c r="V12" s="356">
        <f>IF(V8&lt;=2,140606,0)</f>
        <v>0</v>
      </c>
      <c r="W12" s="357">
        <f>V12/V11</f>
        <v>0</v>
      </c>
      <c r="X12" s="356">
        <f>IF(X8&lt;=2,140606,0)</f>
        <v>0</v>
      </c>
      <c r="Y12" s="357">
        <f>X12/X11</f>
        <v>0</v>
      </c>
      <c r="Z12" s="356">
        <f>IF(Z8&lt;=2,140606,0)</f>
        <v>0</v>
      </c>
      <c r="AA12" s="357">
        <f>Z12/Z11</f>
        <v>0</v>
      </c>
      <c r="AB12" s="356">
        <f>IF(AB8&lt;=2,140606,0)</f>
        <v>0</v>
      </c>
      <c r="AC12" s="357">
        <f>AB12/AB11</f>
        <v>0</v>
      </c>
      <c r="AD12" s="356">
        <f>IF(AD8&lt;=2,140606,0)</f>
        <v>0</v>
      </c>
      <c r="AE12" s="357">
        <f>AD12/AD11</f>
        <v>0</v>
      </c>
    </row>
    <row r="13" spans="1:31" ht="14.5" customHeight="1">
      <c r="A13" s="328" t="s">
        <v>1347</v>
      </c>
      <c r="B13" s="7" t="s">
        <v>602</v>
      </c>
      <c r="C13" s="355"/>
      <c r="D13" s="356">
        <f>D11+D12</f>
        <v>2000000</v>
      </c>
      <c r="E13" s="357"/>
      <c r="F13" s="356">
        <f>F11+F12</f>
        <v>2101619.6</v>
      </c>
      <c r="G13" s="358"/>
      <c r="H13" s="356">
        <f>H11+H12</f>
        <v>2766963.5</v>
      </c>
      <c r="I13" s="357"/>
      <c r="J13" s="356">
        <f>J11+J12</f>
        <v>3292235</v>
      </c>
      <c r="K13" s="357"/>
      <c r="L13" s="356">
        <f>L11+L12</f>
        <v>3642416</v>
      </c>
      <c r="M13" s="357"/>
      <c r="N13" s="356">
        <f>N11+N12</f>
        <v>4377263</v>
      </c>
      <c r="O13" s="357"/>
      <c r="P13" s="356">
        <f>P11+P12</f>
        <v>4902534</v>
      </c>
      <c r="Q13" s="357"/>
      <c r="R13" s="356">
        <f>R11+R12</f>
        <v>5777987</v>
      </c>
      <c r="S13" s="357"/>
      <c r="T13" s="356">
        <f>T11+T12</f>
        <v>6653439</v>
      </c>
      <c r="U13" s="357"/>
      <c r="V13" s="356">
        <f>V11+V12</f>
        <v>7003620</v>
      </c>
      <c r="W13" s="357"/>
      <c r="X13" s="356">
        <f>X11+X12</f>
        <v>8054163</v>
      </c>
      <c r="Y13" s="357"/>
      <c r="Z13" s="356">
        <f>Z11+Z12</f>
        <v>10155249</v>
      </c>
      <c r="AA13" s="357"/>
      <c r="AB13" s="356">
        <f>AB11+AB12</f>
        <v>13657059</v>
      </c>
      <c r="AC13" s="357"/>
      <c r="AD13" s="356">
        <f>AD11+AD12</f>
        <v>17509050</v>
      </c>
      <c r="AE13" s="357"/>
    </row>
    <row r="14" spans="1:31">
      <c r="A14" s="352" t="s">
        <v>613</v>
      </c>
      <c r="B14" s="353"/>
      <c r="C14" s="354"/>
      <c r="D14" s="352"/>
      <c r="E14" s="354"/>
      <c r="F14" s="353"/>
      <c r="G14" s="353"/>
      <c r="H14" s="352"/>
      <c r="I14" s="354"/>
      <c r="J14" s="352"/>
      <c r="K14" s="354"/>
      <c r="L14" s="352"/>
      <c r="M14" s="354"/>
      <c r="N14" s="352"/>
      <c r="O14" s="354"/>
      <c r="P14" s="352"/>
      <c r="Q14" s="354"/>
      <c r="R14" s="352"/>
      <c r="S14" s="354"/>
      <c r="T14" s="352"/>
      <c r="U14" s="354"/>
      <c r="V14" s="352"/>
      <c r="W14" s="354"/>
      <c r="X14" s="352"/>
      <c r="Y14" s="354"/>
      <c r="Z14" s="352"/>
      <c r="AA14" s="354"/>
      <c r="AB14" s="352"/>
      <c r="AC14" s="354"/>
      <c r="AD14" s="352"/>
      <c r="AE14" s="354"/>
    </row>
    <row r="15" spans="1:31">
      <c r="A15" s="328" t="s">
        <v>1348</v>
      </c>
      <c r="B15" s="7" t="s">
        <v>604</v>
      </c>
      <c r="C15" s="355" t="s">
        <v>1349</v>
      </c>
      <c r="D15" s="356">
        <f>D13*36/360</f>
        <v>200000</v>
      </c>
      <c r="E15" s="372">
        <f>D15/D13</f>
        <v>0.1</v>
      </c>
      <c r="F15" s="356">
        <f>F13*36/360</f>
        <v>210161.96000000002</v>
      </c>
      <c r="G15" s="358">
        <f>F15/F13</f>
        <v>0.1</v>
      </c>
      <c r="H15" s="356">
        <f>H13*36/360</f>
        <v>276696.34999999998</v>
      </c>
      <c r="I15" s="357">
        <f>H15/H13</f>
        <v>9.9999999999999992E-2</v>
      </c>
      <c r="J15" s="356">
        <f>J13*36/360</f>
        <v>329223.5</v>
      </c>
      <c r="K15" s="357">
        <f>J15/J13</f>
        <v>0.1</v>
      </c>
      <c r="L15" s="356">
        <f>L13*36/360</f>
        <v>364241.6</v>
      </c>
      <c r="M15" s="357">
        <f>L15/L13</f>
        <v>9.9999999999999992E-2</v>
      </c>
      <c r="N15" s="356">
        <f>N13*36/360</f>
        <v>437726.3</v>
      </c>
      <c r="O15" s="357">
        <f>N15/N13</f>
        <v>9.9999999999999992E-2</v>
      </c>
      <c r="P15" s="356">
        <f>P13*36/360</f>
        <v>490253.4</v>
      </c>
      <c r="Q15" s="357">
        <f>P15/P13</f>
        <v>0.1</v>
      </c>
      <c r="R15" s="356">
        <f>R13*36/360</f>
        <v>577798.69999999995</v>
      </c>
      <c r="S15" s="357">
        <f>R15/R13</f>
        <v>9.9999999999999992E-2</v>
      </c>
      <c r="T15" s="356">
        <f>T13*36/360</f>
        <v>665343.9</v>
      </c>
      <c r="U15" s="357">
        <f>T15/T13</f>
        <v>0.1</v>
      </c>
      <c r="V15" s="356">
        <f>V13*36/360</f>
        <v>700362</v>
      </c>
      <c r="W15" s="357">
        <f>V15/V13</f>
        <v>0.1</v>
      </c>
      <c r="X15" s="356">
        <f>X13*36/360</f>
        <v>805416.3</v>
      </c>
      <c r="Y15" s="357">
        <f>X15/X13</f>
        <v>0.1</v>
      </c>
      <c r="Z15" s="356">
        <f>Z13*36/360</f>
        <v>1015524.9</v>
      </c>
      <c r="AA15" s="357">
        <f>Z15/Z13</f>
        <v>0.1</v>
      </c>
      <c r="AB15" s="356">
        <f>AB13*36/360</f>
        <v>1365705.9</v>
      </c>
      <c r="AC15" s="357">
        <f>AB15/AB13</f>
        <v>9.9999999999999992E-2</v>
      </c>
      <c r="AD15" s="356">
        <f>AD13*36/360</f>
        <v>1750905</v>
      </c>
      <c r="AE15" s="357">
        <f>AD15/AD13</f>
        <v>0.1</v>
      </c>
    </row>
    <row r="16" spans="1:31">
      <c r="A16" s="328" t="s">
        <v>1350</v>
      </c>
      <c r="B16" s="7"/>
      <c r="C16" s="359" t="s">
        <v>1351</v>
      </c>
      <c r="D16" s="356">
        <f>D15*12%</f>
        <v>24000</v>
      </c>
      <c r="E16" s="357">
        <f>D16/D13</f>
        <v>1.2E-2</v>
      </c>
      <c r="F16" s="356">
        <f>F15*12%</f>
        <v>25219.4352</v>
      </c>
      <c r="G16" s="358">
        <f>F16/F13</f>
        <v>1.2E-2</v>
      </c>
      <c r="H16" s="356">
        <f>H15*12%</f>
        <v>33203.561999999998</v>
      </c>
      <c r="I16" s="357">
        <f>H16/H13</f>
        <v>1.1999999999999999E-2</v>
      </c>
      <c r="J16" s="356">
        <f>J15*12%</f>
        <v>39506.82</v>
      </c>
      <c r="K16" s="357">
        <f>J16/J13</f>
        <v>1.2E-2</v>
      </c>
      <c r="L16" s="356">
        <f>L15*12%</f>
        <v>43708.991999999998</v>
      </c>
      <c r="M16" s="357">
        <f>L16/L13</f>
        <v>1.2E-2</v>
      </c>
      <c r="N16" s="356">
        <f>N15*12%</f>
        <v>52527.155999999995</v>
      </c>
      <c r="O16" s="357">
        <f>N16/N13</f>
        <v>1.1999999999999999E-2</v>
      </c>
      <c r="P16" s="356">
        <f>P15*12%</f>
        <v>58830.408000000003</v>
      </c>
      <c r="Q16" s="357">
        <f>P16/P13</f>
        <v>1.2E-2</v>
      </c>
      <c r="R16" s="356">
        <f>R15*12%</f>
        <v>69335.843999999997</v>
      </c>
      <c r="S16" s="357">
        <f>R16/R13</f>
        <v>1.2E-2</v>
      </c>
      <c r="T16" s="356">
        <f>T15*12%</f>
        <v>79841.267999999996</v>
      </c>
      <c r="U16" s="357">
        <f>T16/T13</f>
        <v>1.2E-2</v>
      </c>
      <c r="V16" s="356">
        <f>V15*12%</f>
        <v>84043.44</v>
      </c>
      <c r="W16" s="357">
        <f>V16/V13</f>
        <v>1.2E-2</v>
      </c>
      <c r="X16" s="356">
        <f>X15*12%</f>
        <v>96649.956000000006</v>
      </c>
      <c r="Y16" s="357">
        <f>X16/X13</f>
        <v>1.2E-2</v>
      </c>
      <c r="Z16" s="356">
        <f>Z15*12%</f>
        <v>121862.988</v>
      </c>
      <c r="AA16" s="357">
        <f>Z16/Z13</f>
        <v>1.2E-2</v>
      </c>
      <c r="AB16" s="356">
        <f>AB15*12%</f>
        <v>163884.70799999998</v>
      </c>
      <c r="AC16" s="357">
        <f>AB16/AB13</f>
        <v>1.1999999999999999E-2</v>
      </c>
      <c r="AD16" s="356">
        <f>AD15*12%</f>
        <v>210108.6</v>
      </c>
      <c r="AE16" s="357">
        <f>AD16/AD13</f>
        <v>1.2E-2</v>
      </c>
    </row>
    <row r="17" spans="1:31">
      <c r="A17" s="328" t="s">
        <v>1352</v>
      </c>
      <c r="B17" s="7"/>
      <c r="C17" s="359" t="s">
        <v>1353</v>
      </c>
      <c r="D17" s="356">
        <f>D13*100%/12</f>
        <v>166666.66666666666</v>
      </c>
      <c r="E17" s="357">
        <f>D17/D13</f>
        <v>8.3333333333333329E-2</v>
      </c>
      <c r="F17" s="356">
        <f>F13*100%/12</f>
        <v>175134.96666666667</v>
      </c>
      <c r="G17" s="358">
        <f>F17/F13</f>
        <v>8.3333333333333329E-2</v>
      </c>
      <c r="H17" s="356">
        <f>H13*100%/12</f>
        <v>230580.29166666666</v>
      </c>
      <c r="I17" s="357">
        <f>H17/H13</f>
        <v>8.3333333333333329E-2</v>
      </c>
      <c r="J17" s="356">
        <f>J13*100%/12</f>
        <v>274352.91666666669</v>
      </c>
      <c r="K17" s="357">
        <f>J17/J13</f>
        <v>8.3333333333333343E-2</v>
      </c>
      <c r="L17" s="356">
        <f>L13*100%/12</f>
        <v>303534.66666666669</v>
      </c>
      <c r="M17" s="357">
        <f>L17/L13</f>
        <v>8.3333333333333343E-2</v>
      </c>
      <c r="N17" s="356">
        <f>N13*100%/12</f>
        <v>364771.91666666669</v>
      </c>
      <c r="O17" s="357">
        <f>N17/N13</f>
        <v>8.3333333333333343E-2</v>
      </c>
      <c r="P17" s="356">
        <f>P13*100%/12</f>
        <v>408544.5</v>
      </c>
      <c r="Q17" s="357">
        <f>P17/P13</f>
        <v>8.3333333333333329E-2</v>
      </c>
      <c r="R17" s="356">
        <f>R13*100%/12</f>
        <v>481498.91666666669</v>
      </c>
      <c r="S17" s="357">
        <f>R17/R13</f>
        <v>8.3333333333333343E-2</v>
      </c>
      <c r="T17" s="356">
        <f>T13*100%/12</f>
        <v>554453.25</v>
      </c>
      <c r="U17" s="357">
        <f>T17/T13</f>
        <v>8.3333333333333329E-2</v>
      </c>
      <c r="V17" s="356">
        <f>V13*100%/12</f>
        <v>583635</v>
      </c>
      <c r="W17" s="357">
        <f>V17/V13</f>
        <v>8.3333333333333329E-2</v>
      </c>
      <c r="X17" s="356">
        <f>X13*100%/12</f>
        <v>671180.25</v>
      </c>
      <c r="Y17" s="357">
        <f>X17/X13</f>
        <v>8.3333333333333329E-2</v>
      </c>
      <c r="Z17" s="356">
        <f>Z13*100%/12</f>
        <v>846270.75</v>
      </c>
      <c r="AA17" s="357">
        <f>Z17/Z13</f>
        <v>8.3333333333333329E-2</v>
      </c>
      <c r="AB17" s="356">
        <f>AB13*100%/12</f>
        <v>1138088.25</v>
      </c>
      <c r="AC17" s="357">
        <f>AB17/AB13</f>
        <v>8.3333333333333329E-2</v>
      </c>
      <c r="AD17" s="356">
        <f>AD13*100%/12</f>
        <v>1459087.5</v>
      </c>
      <c r="AE17" s="357">
        <f>AD17/AD13</f>
        <v>8.3333333333333329E-2</v>
      </c>
    </row>
    <row r="18" spans="1:31">
      <c r="A18" s="328" t="s">
        <v>1354</v>
      </c>
      <c r="B18" s="7"/>
      <c r="C18" s="359" t="s">
        <v>1355</v>
      </c>
      <c r="D18" s="356">
        <f>D11*50%/12</f>
        <v>72954.375</v>
      </c>
      <c r="E18" s="357">
        <f>D18/D11</f>
        <v>4.1666666666666664E-2</v>
      </c>
      <c r="F18" s="356">
        <f>F11*50%/12</f>
        <v>81708.900000000009</v>
      </c>
      <c r="G18" s="358">
        <f>F18/F11</f>
        <v>4.1666666666666671E-2</v>
      </c>
      <c r="H18" s="356">
        <f>H11*50%/12</f>
        <v>109431.5625</v>
      </c>
      <c r="I18" s="357">
        <f>H18/H11</f>
        <v>4.1666666666666664E-2</v>
      </c>
      <c r="J18" s="356">
        <f>J11*50%/12</f>
        <v>131317.875</v>
      </c>
      <c r="K18" s="357">
        <f>J18/J11</f>
        <v>4.1666666666666664E-2</v>
      </c>
      <c r="L18" s="356">
        <f>L11*50%/12</f>
        <v>145908.75</v>
      </c>
      <c r="M18" s="357">
        <f>L18/L11</f>
        <v>4.1666666666666664E-2</v>
      </c>
      <c r="N18" s="356">
        <f>N11*50%/12</f>
        <v>182385.95833333334</v>
      </c>
      <c r="O18" s="357">
        <f>N18/N11</f>
        <v>4.1666666666666671E-2</v>
      </c>
      <c r="P18" s="356">
        <f>P11*50%/12</f>
        <v>204272.25</v>
      </c>
      <c r="Q18" s="357">
        <f>P18/P11</f>
        <v>4.1666666666666664E-2</v>
      </c>
      <c r="R18" s="356">
        <f>R11*50%/12</f>
        <v>240749.45833333334</v>
      </c>
      <c r="S18" s="357">
        <f>R18/R11</f>
        <v>4.1666666666666671E-2</v>
      </c>
      <c r="T18" s="356">
        <f>T11*50%/12</f>
        <v>277226.625</v>
      </c>
      <c r="U18" s="357">
        <f>T18/T11</f>
        <v>4.1666666666666664E-2</v>
      </c>
      <c r="V18" s="356">
        <f>V11*50%/12</f>
        <v>291817.5</v>
      </c>
      <c r="W18" s="357">
        <f>V18/V11</f>
        <v>4.1666666666666664E-2</v>
      </c>
      <c r="X18" s="356">
        <f>X11*50%/12</f>
        <v>335590.125</v>
      </c>
      <c r="Y18" s="357">
        <f>X18/X11</f>
        <v>4.1666666666666664E-2</v>
      </c>
      <c r="Z18" s="356">
        <f>Z11*50%/12</f>
        <v>423135.375</v>
      </c>
      <c r="AA18" s="357">
        <f>Z18/Z11</f>
        <v>4.1666666666666664E-2</v>
      </c>
      <c r="AB18" s="356">
        <f>AB11*50%/12</f>
        <v>569044.125</v>
      </c>
      <c r="AC18" s="357">
        <f>AB18/AB11</f>
        <v>4.1666666666666664E-2</v>
      </c>
      <c r="AD18" s="356">
        <f>AD11*50%/12</f>
        <v>729543.75</v>
      </c>
      <c r="AE18" s="357">
        <f>AD18/AD11</f>
        <v>4.1666666666666664E-2</v>
      </c>
    </row>
    <row r="19" spans="1:31">
      <c r="A19" s="352" t="s">
        <v>618</v>
      </c>
      <c r="B19" s="353"/>
      <c r="C19" s="354"/>
      <c r="D19" s="352"/>
      <c r="E19" s="354"/>
      <c r="F19" s="353"/>
      <c r="G19" s="353"/>
      <c r="H19" s="352"/>
      <c r="I19" s="354"/>
      <c r="J19" s="352"/>
      <c r="K19" s="354"/>
      <c r="L19" s="352"/>
      <c r="M19" s="354"/>
      <c r="N19" s="352"/>
      <c r="O19" s="354"/>
      <c r="P19" s="352"/>
      <c r="Q19" s="354"/>
      <c r="R19" s="352"/>
      <c r="S19" s="354"/>
      <c r="T19" s="352"/>
      <c r="U19" s="354"/>
      <c r="V19" s="352"/>
      <c r="W19" s="354"/>
      <c r="X19" s="352"/>
      <c r="Y19" s="354"/>
      <c r="Z19" s="352"/>
      <c r="AA19" s="354"/>
      <c r="AB19" s="352"/>
      <c r="AC19" s="354"/>
      <c r="AD19" s="352"/>
      <c r="AE19" s="354"/>
    </row>
    <row r="20" spans="1:31">
      <c r="A20" s="328" t="s">
        <v>1356</v>
      </c>
      <c r="B20" s="7"/>
      <c r="C20" s="359" t="s">
        <v>1357</v>
      </c>
      <c r="D20" s="356">
        <f>D11*12%</f>
        <v>210108.6</v>
      </c>
      <c r="E20" s="357">
        <f>D20/D11</f>
        <v>0.12000000000000001</v>
      </c>
      <c r="F20" s="356">
        <f>F11*12%</f>
        <v>235321.63200000001</v>
      </c>
      <c r="G20" s="358">
        <f>F20/F11</f>
        <v>0.12</v>
      </c>
      <c r="H20" s="356">
        <f>H11*12%</f>
        <v>315162.89999999997</v>
      </c>
      <c r="I20" s="357">
        <f>H20/H11</f>
        <v>0.11999999999999998</v>
      </c>
      <c r="J20" s="356">
        <f>J11*12%</f>
        <v>378195.48</v>
      </c>
      <c r="K20" s="357">
        <f>J20/J11</f>
        <v>0.12</v>
      </c>
      <c r="L20" s="356">
        <f>L11*12%</f>
        <v>420217.2</v>
      </c>
      <c r="M20" s="357">
        <f>L20/L11</f>
        <v>0.12000000000000001</v>
      </c>
      <c r="N20" s="356">
        <f>N11*12%</f>
        <v>525271.55999999994</v>
      </c>
      <c r="O20" s="357">
        <f>N20/N11</f>
        <v>0.11999999999999998</v>
      </c>
      <c r="P20" s="356">
        <f>P11*12%</f>
        <v>588304.07999999996</v>
      </c>
      <c r="Q20" s="357">
        <f>P20/P11</f>
        <v>0.12</v>
      </c>
      <c r="R20" s="356">
        <f>R11*12%</f>
        <v>693358.44</v>
      </c>
      <c r="S20" s="357">
        <f>R20/R11</f>
        <v>0.12</v>
      </c>
      <c r="T20" s="356">
        <f>T11*12%</f>
        <v>798412.67999999993</v>
      </c>
      <c r="U20" s="357">
        <f>T20/T11</f>
        <v>0.12</v>
      </c>
      <c r="V20" s="356">
        <f>V11*12%</f>
        <v>840434.4</v>
      </c>
      <c r="W20" s="357">
        <f>V20/V11</f>
        <v>0.12000000000000001</v>
      </c>
      <c r="X20" s="356">
        <f>X11*12%</f>
        <v>966499.55999999994</v>
      </c>
      <c r="Y20" s="357">
        <f>X20/X11</f>
        <v>0.12</v>
      </c>
      <c r="Z20" s="356">
        <f>Z11*12%</f>
        <v>1218629.8799999999</v>
      </c>
      <c r="AA20" s="357">
        <f>Z20/Z11</f>
        <v>0.12</v>
      </c>
      <c r="AB20" s="356">
        <f>AB11*12%</f>
        <v>1638847.0799999998</v>
      </c>
      <c r="AC20" s="357">
        <f>AB20/AB11</f>
        <v>0.11999999999999998</v>
      </c>
      <c r="AD20" s="356">
        <f>AD11*12%</f>
        <v>2101086</v>
      </c>
      <c r="AE20" s="357">
        <f>AD20/AD11</f>
        <v>0.12</v>
      </c>
    </row>
    <row r="21" spans="1:31">
      <c r="A21" s="328" t="s">
        <v>620</v>
      </c>
      <c r="B21" s="7"/>
      <c r="C21" s="359" t="s">
        <v>1358</v>
      </c>
      <c r="D21" s="356">
        <f>D11*8.5%</f>
        <v>148826.92500000002</v>
      </c>
      <c r="E21" s="357">
        <f>D21/D11</f>
        <v>8.5000000000000006E-2</v>
      </c>
      <c r="F21" s="356">
        <f>F11*8.5%</f>
        <v>166686.15600000002</v>
      </c>
      <c r="G21" s="358">
        <f>F21/F11</f>
        <v>8.5000000000000006E-2</v>
      </c>
      <c r="H21" s="356">
        <f>H11*8.5%</f>
        <v>223240.38750000001</v>
      </c>
      <c r="I21" s="357">
        <f>H21/H11</f>
        <v>8.5000000000000006E-2</v>
      </c>
      <c r="J21" s="356">
        <f>J11*8.5%</f>
        <v>267888.46500000003</v>
      </c>
      <c r="K21" s="357">
        <f>J21/J11</f>
        <v>8.5000000000000006E-2</v>
      </c>
      <c r="L21" s="356">
        <f>L11*8.5%</f>
        <v>297653.85000000003</v>
      </c>
      <c r="M21" s="357">
        <f>L21/L11</f>
        <v>8.5000000000000006E-2</v>
      </c>
      <c r="N21" s="356">
        <f>N11*8.5%</f>
        <v>372067.35500000004</v>
      </c>
      <c r="O21" s="357">
        <f>N21/N11</f>
        <v>8.5000000000000006E-2</v>
      </c>
      <c r="P21" s="356">
        <f>P11*8.5%</f>
        <v>416715.39</v>
      </c>
      <c r="Q21" s="357">
        <f>P21/P11</f>
        <v>8.5000000000000006E-2</v>
      </c>
      <c r="R21" s="356">
        <f>R11*8.5%</f>
        <v>491128.89500000002</v>
      </c>
      <c r="S21" s="357">
        <f>R21/R11</f>
        <v>8.5000000000000006E-2</v>
      </c>
      <c r="T21" s="356">
        <f>T11*8.5%</f>
        <v>565542.31500000006</v>
      </c>
      <c r="U21" s="357">
        <f>T21/T11</f>
        <v>8.5000000000000006E-2</v>
      </c>
      <c r="V21" s="356">
        <f>V11*8.5%</f>
        <v>595307.70000000007</v>
      </c>
      <c r="W21" s="357">
        <f>V21/V11</f>
        <v>8.5000000000000006E-2</v>
      </c>
      <c r="X21" s="356">
        <f>X11*8.5%</f>
        <v>684603.8550000001</v>
      </c>
      <c r="Y21" s="357">
        <f>X21/X11</f>
        <v>8.5000000000000006E-2</v>
      </c>
      <c r="Z21" s="356">
        <f>Z11*8.5%</f>
        <v>863196.16500000004</v>
      </c>
      <c r="AA21" s="357">
        <f>Z21/Z11</f>
        <v>8.5000000000000006E-2</v>
      </c>
      <c r="AB21" s="356">
        <f>AB11*8.5%</f>
        <v>1160850.0150000001</v>
      </c>
      <c r="AC21" s="357">
        <f>AB21/AB11</f>
        <v>8.5000000000000006E-2</v>
      </c>
      <c r="AD21" s="356">
        <f>AD11*8.5%</f>
        <v>1488269.25</v>
      </c>
      <c r="AE21" s="357">
        <f>AD21/AD11</f>
        <v>8.5000000000000006E-2</v>
      </c>
    </row>
    <row r="22" spans="1:31">
      <c r="A22" s="328" t="s">
        <v>1359</v>
      </c>
      <c r="B22" s="7"/>
      <c r="C22" s="360" t="s">
        <v>1360</v>
      </c>
      <c r="D22" s="356">
        <f>D11*6.96%</f>
        <v>121862.988</v>
      </c>
      <c r="E22" s="357">
        <f>D22/D11</f>
        <v>6.9599999999999995E-2</v>
      </c>
      <c r="F22" s="356">
        <f>F11*6.96%</f>
        <v>136486.54655999999</v>
      </c>
      <c r="G22" s="358">
        <f>F22/F11</f>
        <v>6.9599999999999995E-2</v>
      </c>
      <c r="H22" s="356">
        <f>H11*6.96%</f>
        <v>182794.48199999999</v>
      </c>
      <c r="I22" s="357">
        <f>H22/H11</f>
        <v>6.9599999999999995E-2</v>
      </c>
      <c r="J22" s="356">
        <f>J11*6.96%</f>
        <v>219353.37839999999</v>
      </c>
      <c r="K22" s="357">
        <f>J22/J11</f>
        <v>6.9599999999999995E-2</v>
      </c>
      <c r="L22" s="356">
        <f>L11*6.96%</f>
        <v>243725.976</v>
      </c>
      <c r="M22" s="357">
        <f>L22/L11</f>
        <v>6.9599999999999995E-2</v>
      </c>
      <c r="N22" s="356">
        <f>N11*6.96%</f>
        <v>304657.5048</v>
      </c>
      <c r="O22" s="357">
        <f>N22/N11</f>
        <v>6.9599999999999995E-2</v>
      </c>
      <c r="P22" s="356">
        <f>P11*6.96%</f>
        <v>341216.3664</v>
      </c>
      <c r="Q22" s="357">
        <f>P22/P11</f>
        <v>6.9599999999999995E-2</v>
      </c>
      <c r="R22" s="356">
        <f>R11*6.96%</f>
        <v>402147.89519999997</v>
      </c>
      <c r="S22" s="357">
        <f>R22/R11</f>
        <v>6.9599999999999995E-2</v>
      </c>
      <c r="T22" s="356">
        <f>T11*6.96%</f>
        <v>463079.35439999995</v>
      </c>
      <c r="U22" s="357">
        <f>T22/T11</f>
        <v>6.9599999999999995E-2</v>
      </c>
      <c r="V22" s="356">
        <f>V11*6.96%</f>
        <v>487451.95199999999</v>
      </c>
      <c r="W22" s="357">
        <f>V22/V11</f>
        <v>6.9599999999999995E-2</v>
      </c>
      <c r="X22" s="356">
        <f>X11*6.96%</f>
        <v>560569.74479999999</v>
      </c>
      <c r="Y22" s="357">
        <f>X22/X11</f>
        <v>6.9599999999999995E-2</v>
      </c>
      <c r="Z22" s="356">
        <f>Z11*6.96%</f>
        <v>706805.33039999998</v>
      </c>
      <c r="AA22" s="357">
        <f>Z22/Z11</f>
        <v>6.9599999999999995E-2</v>
      </c>
      <c r="AB22" s="356">
        <f>AB11*6.96%</f>
        <v>950531.30639999988</v>
      </c>
      <c r="AC22" s="357">
        <f>AB22/AB11</f>
        <v>6.9599999999999995E-2</v>
      </c>
      <c r="AD22" s="356">
        <f>AD11*6.96%</f>
        <v>1218629.8799999999</v>
      </c>
      <c r="AE22" s="357">
        <f>AD22/AD11</f>
        <v>6.9599999999999995E-2</v>
      </c>
    </row>
    <row r="23" spans="1:31">
      <c r="A23" s="352" t="s">
        <v>622</v>
      </c>
      <c r="B23" s="353"/>
      <c r="C23" s="354"/>
      <c r="D23" s="352"/>
      <c r="E23" s="354"/>
      <c r="F23" s="353"/>
      <c r="G23" s="353"/>
      <c r="H23" s="352"/>
      <c r="I23" s="354"/>
      <c r="J23" s="352"/>
      <c r="K23" s="354"/>
      <c r="L23" s="352"/>
      <c r="M23" s="354"/>
      <c r="N23" s="352"/>
      <c r="O23" s="354"/>
      <c r="P23" s="352"/>
      <c r="Q23" s="354"/>
      <c r="R23" s="352"/>
      <c r="S23" s="354"/>
      <c r="T23" s="352"/>
      <c r="U23" s="354"/>
      <c r="V23" s="352"/>
      <c r="W23" s="354"/>
      <c r="X23" s="352"/>
      <c r="Y23" s="354"/>
      <c r="Z23" s="352"/>
      <c r="AA23" s="354"/>
      <c r="AB23" s="352"/>
      <c r="AC23" s="354"/>
      <c r="AD23" s="352"/>
      <c r="AE23" s="354"/>
    </row>
    <row r="24" spans="1:31">
      <c r="A24" s="328" t="s">
        <v>623</v>
      </c>
      <c r="B24" s="7"/>
      <c r="C24" s="359" t="s">
        <v>1361</v>
      </c>
      <c r="D24" s="361"/>
      <c r="E24" s="372">
        <f>D24/D11</f>
        <v>0</v>
      </c>
      <c r="F24" s="361"/>
      <c r="G24" s="357">
        <f>F24/F11</f>
        <v>0</v>
      </c>
      <c r="H24" s="361"/>
      <c r="I24" s="357">
        <f>H24/H11</f>
        <v>0</v>
      </c>
      <c r="J24" s="361"/>
      <c r="K24" s="357">
        <f>J24/J11</f>
        <v>0</v>
      </c>
      <c r="L24" s="361"/>
      <c r="M24" s="357">
        <f>L24/L11</f>
        <v>0</v>
      </c>
      <c r="N24" s="361"/>
      <c r="O24" s="357">
        <f>N24/N11</f>
        <v>0</v>
      </c>
      <c r="P24" s="361"/>
      <c r="Q24" s="357">
        <f>P24/P11</f>
        <v>0</v>
      </c>
      <c r="R24" s="361"/>
      <c r="S24" s="357">
        <f>R24/R11</f>
        <v>0</v>
      </c>
      <c r="T24" s="361"/>
      <c r="U24" s="357">
        <f>T24/T11</f>
        <v>0</v>
      </c>
      <c r="V24" s="361"/>
      <c r="W24" s="357">
        <f>V24/V11</f>
        <v>0</v>
      </c>
      <c r="X24" s="361"/>
      <c r="Y24" s="357">
        <f>X24/X11</f>
        <v>0</v>
      </c>
      <c r="Z24" s="361"/>
      <c r="AA24" s="357">
        <f>Z24/Z11</f>
        <v>0</v>
      </c>
      <c r="AB24" s="361"/>
      <c r="AC24" s="357">
        <f>AB24/AB11</f>
        <v>0</v>
      </c>
      <c r="AD24" s="361"/>
      <c r="AE24" s="357">
        <f>AD24/AD11</f>
        <v>0</v>
      </c>
    </row>
    <row r="25" spans="1:31">
      <c r="A25" s="328" t="s">
        <v>624</v>
      </c>
      <c r="B25" s="7"/>
      <c r="C25" s="359" t="s">
        <v>1362</v>
      </c>
      <c r="D25" s="361"/>
      <c r="E25" s="372">
        <f>D25/D11</f>
        <v>0</v>
      </c>
      <c r="F25" s="361"/>
      <c r="G25" s="357">
        <f>F25/F11</f>
        <v>0</v>
      </c>
      <c r="H25" s="361"/>
      <c r="I25" s="357">
        <f>H25/H11</f>
        <v>0</v>
      </c>
      <c r="J25" s="361"/>
      <c r="K25" s="357">
        <f>J25/J11</f>
        <v>0</v>
      </c>
      <c r="L25" s="361"/>
      <c r="M25" s="357">
        <f>L25/L11</f>
        <v>0</v>
      </c>
      <c r="N25" s="361"/>
      <c r="O25" s="357">
        <f>N25/N11</f>
        <v>0</v>
      </c>
      <c r="P25" s="361"/>
      <c r="Q25" s="357">
        <f>P25/P11</f>
        <v>0</v>
      </c>
      <c r="R25" s="361"/>
      <c r="S25" s="357">
        <f>R25/R11</f>
        <v>0</v>
      </c>
      <c r="T25" s="361"/>
      <c r="U25" s="357">
        <f>T25/T11</f>
        <v>0</v>
      </c>
      <c r="V25" s="361"/>
      <c r="W25" s="357">
        <f>V25/V11</f>
        <v>0</v>
      </c>
      <c r="X25" s="361"/>
      <c r="Y25" s="357">
        <f>X25/X11</f>
        <v>0</v>
      </c>
      <c r="Z25" s="361"/>
      <c r="AA25" s="357">
        <f>Z25/Z11</f>
        <v>0</v>
      </c>
      <c r="AB25" s="361"/>
      <c r="AC25" s="357">
        <f>AB25/AB11</f>
        <v>0</v>
      </c>
      <c r="AD25" s="361"/>
      <c r="AE25" s="357">
        <f>AD25/AD11</f>
        <v>0</v>
      </c>
    </row>
    <row r="26" spans="1:31">
      <c r="A26" s="328" t="s">
        <v>1363</v>
      </c>
      <c r="B26" s="7"/>
      <c r="C26" s="359" t="s">
        <v>1364</v>
      </c>
      <c r="D26" s="356">
        <f>D11*4%</f>
        <v>70036.2</v>
      </c>
      <c r="E26" s="372">
        <f>D26/D11</f>
        <v>0.04</v>
      </c>
      <c r="F26" s="356">
        <f>F11*4%</f>
        <v>78440.544000000009</v>
      </c>
      <c r="G26" s="358">
        <f>F26/F11</f>
        <v>0.04</v>
      </c>
      <c r="H26" s="356">
        <f>H11*4%</f>
        <v>105054.3</v>
      </c>
      <c r="I26" s="357">
        <f>H26/H11</f>
        <v>0.04</v>
      </c>
      <c r="J26" s="356">
        <f>J11*4%</f>
        <v>126065.16</v>
      </c>
      <c r="K26" s="357">
        <f>J26/J11</f>
        <v>0.04</v>
      </c>
      <c r="L26" s="356">
        <f>L11*4%</f>
        <v>140072.4</v>
      </c>
      <c r="M26" s="357">
        <f>L26/L11</f>
        <v>0.04</v>
      </c>
      <c r="N26" s="356">
        <f>N11*4%</f>
        <v>175090.52</v>
      </c>
      <c r="O26" s="357">
        <f>N26/N11</f>
        <v>0.04</v>
      </c>
      <c r="P26" s="356">
        <f>P11*4%</f>
        <v>196101.36000000002</v>
      </c>
      <c r="Q26" s="357">
        <f>P26/P11</f>
        <v>0.04</v>
      </c>
      <c r="R26" s="356">
        <f>R11*4%</f>
        <v>231119.48</v>
      </c>
      <c r="S26" s="357">
        <f>R26/R11</f>
        <v>0.04</v>
      </c>
      <c r="T26" s="356">
        <f>T11*4%</f>
        <v>266137.56</v>
      </c>
      <c r="U26" s="357">
        <f>T26/T11</f>
        <v>0.04</v>
      </c>
      <c r="V26" s="356">
        <f>V11*4%</f>
        <v>280144.8</v>
      </c>
      <c r="W26" s="357">
        <f>V26/V11</f>
        <v>0.04</v>
      </c>
      <c r="X26" s="356">
        <f>X11*4%</f>
        <v>322166.52</v>
      </c>
      <c r="Y26" s="357">
        <f>X26/X11</f>
        <v>0.04</v>
      </c>
      <c r="Z26" s="356">
        <f>Z11*4%</f>
        <v>406209.96</v>
      </c>
      <c r="AA26" s="357">
        <f>Z26/Z11</f>
        <v>0.04</v>
      </c>
      <c r="AB26" s="356">
        <f>AB11*4%</f>
        <v>546282.36</v>
      </c>
      <c r="AC26" s="357">
        <f>AB26/AB11</f>
        <v>0.04</v>
      </c>
      <c r="AD26" s="356">
        <f>AD11*4%</f>
        <v>700362</v>
      </c>
      <c r="AE26" s="357">
        <f>AD26/AD11</f>
        <v>0.04</v>
      </c>
    </row>
    <row r="27" spans="1:31">
      <c r="A27" s="328" t="s">
        <v>1365</v>
      </c>
      <c r="B27" s="7"/>
      <c r="C27" s="360" t="s">
        <v>1366</v>
      </c>
      <c r="D27" s="356"/>
      <c r="E27" s="372">
        <f>D27/D11</f>
        <v>0</v>
      </c>
      <c r="F27" s="356"/>
      <c r="G27" s="358">
        <f>F27/F11</f>
        <v>0</v>
      </c>
      <c r="H27" s="356"/>
      <c r="I27" s="357">
        <f>H27/H11</f>
        <v>0</v>
      </c>
      <c r="J27" s="356"/>
      <c r="K27" s="357">
        <f>J27/J11</f>
        <v>0</v>
      </c>
      <c r="L27" s="356"/>
      <c r="M27" s="357">
        <f>L27/L11</f>
        <v>0</v>
      </c>
      <c r="N27" s="356"/>
      <c r="O27" s="357">
        <f>N27/N11</f>
        <v>0</v>
      </c>
      <c r="P27" s="356"/>
      <c r="Q27" s="357">
        <f>P27/P11</f>
        <v>0</v>
      </c>
      <c r="R27" s="356"/>
      <c r="S27" s="357">
        <f>R27/R11</f>
        <v>0</v>
      </c>
      <c r="T27" s="356"/>
      <c r="U27" s="357">
        <f>T27/T11</f>
        <v>0</v>
      </c>
      <c r="V27" s="356"/>
      <c r="W27" s="357">
        <f>V27/V11</f>
        <v>0</v>
      </c>
      <c r="X27" s="356"/>
      <c r="Y27" s="357">
        <f>X27/X11</f>
        <v>0</v>
      </c>
      <c r="Z27" s="356"/>
      <c r="AA27" s="357">
        <f>Z27/Z11</f>
        <v>0</v>
      </c>
      <c r="AB27" s="356"/>
      <c r="AC27" s="357">
        <f>AB27/AB11</f>
        <v>0</v>
      </c>
      <c r="AD27" s="356"/>
      <c r="AE27" s="357">
        <f>AD27/AD11</f>
        <v>0</v>
      </c>
    </row>
    <row r="28" spans="1:31">
      <c r="A28" s="352" t="s">
        <v>1367</v>
      </c>
      <c r="B28" s="353"/>
      <c r="C28" s="354"/>
      <c r="D28" s="352"/>
      <c r="E28" s="354"/>
      <c r="F28" s="353"/>
      <c r="G28" s="353"/>
      <c r="H28" s="352"/>
      <c r="I28" s="354"/>
      <c r="J28" s="352"/>
      <c r="K28" s="354"/>
      <c r="L28" s="352"/>
      <c r="M28" s="354"/>
      <c r="N28" s="352"/>
      <c r="O28" s="354"/>
      <c r="P28" s="352"/>
      <c r="Q28" s="354"/>
      <c r="R28" s="352"/>
      <c r="S28" s="354"/>
      <c r="T28" s="352"/>
      <c r="U28" s="354"/>
      <c r="V28" s="352"/>
      <c r="W28" s="354"/>
      <c r="X28" s="352"/>
      <c r="Y28" s="354"/>
      <c r="Z28" s="352"/>
      <c r="AA28" s="354"/>
      <c r="AB28" s="352"/>
      <c r="AC28" s="354"/>
      <c r="AD28" s="352"/>
      <c r="AE28" s="354"/>
    </row>
    <row r="29" spans="1:31">
      <c r="A29" s="328" t="s">
        <v>1368</v>
      </c>
      <c r="B29" s="7"/>
      <c r="C29" s="359" t="s">
        <v>1369</v>
      </c>
      <c r="D29" s="356">
        <f>IF(D8&lt;=2,480000*2,0)/12</f>
        <v>80000</v>
      </c>
      <c r="E29" s="357">
        <f>D29/D11</f>
        <v>4.569065711731933E-2</v>
      </c>
      <c r="F29" s="356">
        <f>IF(F8&lt;=2,480000*2,0)/12</f>
        <v>80000</v>
      </c>
      <c r="G29" s="357">
        <f>F29/F11</f>
        <v>4.0795229569035113E-2</v>
      </c>
      <c r="H29" s="356">
        <f>IF(H8&lt;=2,480000*2,0)/12</f>
        <v>80000</v>
      </c>
      <c r="I29" s="357">
        <f>H29/H11</f>
        <v>3.0460438078212887E-2</v>
      </c>
      <c r="J29" s="356">
        <f>IF(J8&lt;=2,480000*2,0)/12</f>
        <v>80000</v>
      </c>
      <c r="K29" s="357">
        <f>J29/J11</f>
        <v>2.5383698398510738E-2</v>
      </c>
      <c r="L29" s="356">
        <f>IF(L8&lt;=2,480000*2,0)/12</f>
        <v>80000</v>
      </c>
      <c r="M29" s="357">
        <f>L29/L11</f>
        <v>2.2845328558659665E-2</v>
      </c>
      <c r="N29" s="356">
        <f>IF(N8&lt;=2,480000*2,0)/12</f>
        <v>0</v>
      </c>
      <c r="O29" s="357">
        <f>N29/N11</f>
        <v>0</v>
      </c>
      <c r="P29" s="356">
        <f>IF(P8&lt;=2,480000*2,0)/12</f>
        <v>0</v>
      </c>
      <c r="Q29" s="357">
        <f>P29/P11</f>
        <v>0</v>
      </c>
      <c r="R29" s="356">
        <f>IF(R8&lt;=2,480000*2,0)/12</f>
        <v>0</v>
      </c>
      <c r="S29" s="357">
        <f>R29/R11</f>
        <v>0</v>
      </c>
      <c r="T29" s="356">
        <f>IF(T8&lt;=2,480000*2,0)/12</f>
        <v>0</v>
      </c>
      <c r="U29" s="357">
        <f>T29/T11</f>
        <v>0</v>
      </c>
      <c r="V29" s="356">
        <f>IF(V8&lt;=2,480000*2,0)/12</f>
        <v>0</v>
      </c>
      <c r="W29" s="357">
        <f>V29/V11</f>
        <v>0</v>
      </c>
      <c r="X29" s="356">
        <f>IF(X8&lt;=2,480000*2,0)/12</f>
        <v>0</v>
      </c>
      <c r="Y29" s="357">
        <f>X29/X11</f>
        <v>0</v>
      </c>
      <c r="Z29" s="356">
        <f>IF(Z8&lt;=2,480000*2,0)/12</f>
        <v>0</v>
      </c>
      <c r="AA29" s="357">
        <f>Z29/Z11</f>
        <v>0</v>
      </c>
      <c r="AB29" s="356">
        <f>IF(AB8&lt;=2,480000*2,0)/12</f>
        <v>0</v>
      </c>
      <c r="AC29" s="357">
        <f>AB29/AB11</f>
        <v>0</v>
      </c>
      <c r="AD29" s="356">
        <f>IF(AD8&lt;=2,480000*2,0)/12</f>
        <v>0</v>
      </c>
      <c r="AE29" s="357">
        <f>AD29/AD11</f>
        <v>0</v>
      </c>
    </row>
    <row r="30" spans="1:31">
      <c r="A30" s="328" t="s">
        <v>1370</v>
      </c>
      <c r="B30" s="7"/>
      <c r="C30" s="360" t="s">
        <v>1369</v>
      </c>
      <c r="D30" s="356">
        <f>280000*2/12</f>
        <v>46666.666666666664</v>
      </c>
      <c r="E30" s="357">
        <f>D30/D11</f>
        <v>2.6652883318436273E-2</v>
      </c>
      <c r="F30" s="356">
        <f>280000*2/12</f>
        <v>46666.666666666664</v>
      </c>
      <c r="G30" s="357">
        <f>F30/F11</f>
        <v>2.3797217248603814E-2</v>
      </c>
      <c r="H30" s="356">
        <f>280000*2/12</f>
        <v>46666.666666666664</v>
      </c>
      <c r="I30" s="357">
        <f>H30/H11</f>
        <v>1.7768588878957516E-2</v>
      </c>
      <c r="J30" s="356">
        <f>280000*2/12</f>
        <v>46666.666666666664</v>
      </c>
      <c r="K30" s="357">
        <f>J30/J11</f>
        <v>1.4807157399131264E-2</v>
      </c>
      <c r="L30" s="356">
        <f>280000*2/12</f>
        <v>46666.666666666664</v>
      </c>
      <c r="M30" s="357">
        <f>L30/L11</f>
        <v>1.3326441659218136E-2</v>
      </c>
      <c r="N30" s="356">
        <f>280000*2/12</f>
        <v>46666.666666666664</v>
      </c>
      <c r="O30" s="357">
        <f>N30/N11</f>
        <v>1.0661152109586895E-2</v>
      </c>
      <c r="P30" s="356">
        <f>280000*2/12</f>
        <v>46666.666666666664</v>
      </c>
      <c r="Q30" s="357">
        <f>P30/P11</f>
        <v>9.5188868994415272E-3</v>
      </c>
      <c r="R30" s="356">
        <f>280000*2/12</f>
        <v>46666.666666666664</v>
      </c>
      <c r="S30" s="357">
        <f>R30/R11</f>
        <v>8.076630609703114E-3</v>
      </c>
      <c r="T30" s="356">
        <f>280000*2/12</f>
        <v>46666.666666666664</v>
      </c>
      <c r="U30" s="357">
        <f>T30/T11</f>
        <v>7.0139166627463875E-3</v>
      </c>
      <c r="V30" s="356">
        <f>280000*2/12</f>
        <v>46666.666666666664</v>
      </c>
      <c r="W30" s="357">
        <f>V30/V11</f>
        <v>6.6632208296090682E-3</v>
      </c>
      <c r="X30" s="356">
        <f>280000*2/12</f>
        <v>46666.666666666664</v>
      </c>
      <c r="Y30" s="357">
        <f>X30/X11</f>
        <v>5.7941050692252773E-3</v>
      </c>
      <c r="Z30" s="356">
        <f>280000*2/12</f>
        <v>46666.666666666664</v>
      </c>
      <c r="AA30" s="357">
        <f>Z30/Z11</f>
        <v>4.5953247100752196E-3</v>
      </c>
      <c r="AB30" s="356">
        <f>280000*2/12</f>
        <v>46666.666666666664</v>
      </c>
      <c r="AC30" s="357">
        <f>AB30/AB11</f>
        <v>3.4170363228764452E-3</v>
      </c>
      <c r="AD30" s="356">
        <f>280000*2/12</f>
        <v>46666.666666666664</v>
      </c>
      <c r="AE30" s="357">
        <f>AD30/AD11</f>
        <v>2.6652883318436273E-3</v>
      </c>
    </row>
    <row r="31" spans="1:31">
      <c r="A31" s="362"/>
      <c r="B31" s="363"/>
      <c r="C31" s="360"/>
      <c r="D31" s="364"/>
      <c r="E31" s="357"/>
      <c r="F31" s="364"/>
      <c r="G31" s="357"/>
      <c r="H31" s="364"/>
      <c r="I31" s="365"/>
      <c r="J31" s="364"/>
      <c r="K31" s="365"/>
      <c r="L31" s="364"/>
      <c r="M31" s="365"/>
      <c r="N31" s="364"/>
      <c r="O31" s="365"/>
      <c r="P31" s="364"/>
      <c r="Q31" s="365"/>
      <c r="R31" s="364"/>
      <c r="S31" s="365"/>
      <c r="T31" s="364"/>
      <c r="U31" s="365"/>
      <c r="V31" s="364"/>
      <c r="W31" s="365"/>
      <c r="X31" s="364"/>
      <c r="Y31" s="365"/>
      <c r="Z31" s="364"/>
      <c r="AA31" s="365"/>
      <c r="AB31" s="364"/>
      <c r="AC31" s="365"/>
      <c r="AD31" s="364"/>
      <c r="AE31" s="365"/>
    </row>
    <row r="32" spans="1:31" ht="15" thickBot="1">
      <c r="A32" s="352" t="s">
        <v>1371</v>
      </c>
      <c r="B32" s="353"/>
      <c r="C32" s="354"/>
      <c r="D32" s="1681">
        <f>ROUND(SUM(E11:E31),2)</f>
        <v>1.77</v>
      </c>
      <c r="E32" s="1682"/>
      <c r="F32" s="1681">
        <f>SUM(G11:G31)</f>
        <v>1.6878931224274358</v>
      </c>
      <c r="G32" s="1682"/>
      <c r="H32" s="1681">
        <f>SUM(I11:I31)</f>
        <v>1.6533655314124858</v>
      </c>
      <c r="I32" s="1682"/>
      <c r="J32" s="1681">
        <f>SUM(K11:K31)</f>
        <v>1.6364046095104046</v>
      </c>
      <c r="K32" s="1682"/>
      <c r="L32" s="1681">
        <f>SUM(M11:M31)</f>
        <v>1.6279241485593643</v>
      </c>
      <c r="M32" s="1682"/>
      <c r="N32" s="1681">
        <f>SUM(O11:O31)</f>
        <v>1.562261152109587</v>
      </c>
      <c r="O32" s="1682"/>
      <c r="P32" s="1681">
        <f>SUM(Q11:Q31)</f>
        <v>1.5611188868994417</v>
      </c>
      <c r="Q32" s="1682"/>
      <c r="R32" s="1681">
        <f>SUM(S11:S31)</f>
        <v>1.5596766306097032</v>
      </c>
      <c r="S32" s="1682"/>
      <c r="T32" s="1681">
        <f>SUM(U11:U31)</f>
        <v>1.5586139166627464</v>
      </c>
      <c r="U32" s="1682"/>
      <c r="V32" s="1681">
        <f>SUM(W11:W31)</f>
        <v>1.5582632208296092</v>
      </c>
      <c r="W32" s="1682"/>
      <c r="X32" s="1681">
        <f>SUM(Y11:Y31)</f>
        <v>1.5573941050692253</v>
      </c>
      <c r="Y32" s="1682"/>
      <c r="Z32" s="1681">
        <f>SUM(AA11:AA31)</f>
        <v>1.5561953247100753</v>
      </c>
      <c r="AA32" s="1682"/>
      <c r="AB32" s="1681">
        <f>SUM(AC11:AC31)</f>
        <v>1.5550170363228766</v>
      </c>
      <c r="AC32" s="1682"/>
      <c r="AD32" s="1681">
        <f>SUM(AE11:AE31)</f>
        <v>1.5542652883318437</v>
      </c>
      <c r="AE32" s="1682"/>
    </row>
    <row r="33" spans="2:10" ht="15" thickBot="1"/>
    <row r="34" spans="2:10">
      <c r="E34" s="73"/>
      <c r="F34" s="325" t="s">
        <v>1372</v>
      </c>
      <c r="H34" s="4"/>
    </row>
    <row r="35" spans="2:10">
      <c r="D35" s="146"/>
      <c r="E35" s="329" t="s">
        <v>1373</v>
      </c>
      <c r="F35" s="262">
        <f>+((SUM(D13:D30)+SUM(L13:L30))/30)</f>
        <v>295642.2840888889</v>
      </c>
      <c r="H35" s="146"/>
    </row>
    <row r="36" spans="2:10">
      <c r="E36" s="329" t="s">
        <v>1374</v>
      </c>
      <c r="F36" s="262">
        <f>+((SUM(F13:F30)+SUM(L13:L30))/30)</f>
        <v>302186.41694755561</v>
      </c>
    </row>
    <row r="37" spans="2:10">
      <c r="E37" s="329" t="s">
        <v>1375</v>
      </c>
      <c r="F37" s="262">
        <f>+((SUM(D13:D30)*2+SUM(L13:L30))/30)</f>
        <v>400346.36479999998</v>
      </c>
    </row>
    <row r="38" spans="2:10">
      <c r="E38" s="329" t="s">
        <v>1376</v>
      </c>
      <c r="F38" s="262">
        <f>+((SUM(D13:D30)+SUM(F13:F30)+SUM(L13:L30))/30)</f>
        <v>406890.49765866675</v>
      </c>
      <c r="J38" s="5"/>
    </row>
    <row r="39" spans="2:10">
      <c r="E39" s="329" t="s">
        <v>1377</v>
      </c>
      <c r="F39" s="262">
        <f>+SUM(D13:D30)/30</f>
        <v>104704.08071111111</v>
      </c>
    </row>
    <row r="40" spans="2:10">
      <c r="E40" s="329" t="s">
        <v>1378</v>
      </c>
      <c r="F40" s="262">
        <f>+SUM(F13:F30)/30</f>
        <v>111248.2135697778</v>
      </c>
    </row>
    <row r="41" spans="2:10">
      <c r="E41" s="409" t="s">
        <v>1379</v>
      </c>
      <c r="F41" s="262">
        <f>+SUM(V13:V30)/30</f>
        <v>363782.78195555561</v>
      </c>
    </row>
    <row r="42" spans="2:10" ht="15" thickBot="1">
      <c r="E42" s="330" t="s">
        <v>1380</v>
      </c>
      <c r="F42" s="264">
        <f>+SUM(L13:L30)/30</f>
        <v>190938.2033777778</v>
      </c>
    </row>
    <row r="47" spans="2:10">
      <c r="B47" s="5"/>
      <c r="C47" s="5"/>
      <c r="D47" s="5"/>
    </row>
  </sheetData>
  <mergeCells count="35">
    <mergeCell ref="A1:AE1"/>
    <mergeCell ref="A2:AE3"/>
    <mergeCell ref="A4:AE4"/>
    <mergeCell ref="AB8:AC8"/>
    <mergeCell ref="A5:AE5"/>
    <mergeCell ref="A6:AE6"/>
    <mergeCell ref="A7:AE7"/>
    <mergeCell ref="A8:C8"/>
    <mergeCell ref="D8:E8"/>
    <mergeCell ref="F8:G8"/>
    <mergeCell ref="H8:I8"/>
    <mergeCell ref="J8:K8"/>
    <mergeCell ref="L8:M8"/>
    <mergeCell ref="N8:O8"/>
    <mergeCell ref="V8:W8"/>
    <mergeCell ref="AD8:AE8"/>
    <mergeCell ref="D32:E32"/>
    <mergeCell ref="F32:G32"/>
    <mergeCell ref="H32:I32"/>
    <mergeCell ref="J32:K32"/>
    <mergeCell ref="L32:M32"/>
    <mergeCell ref="N32:O32"/>
    <mergeCell ref="P32:Q32"/>
    <mergeCell ref="R32:S32"/>
    <mergeCell ref="P8:Q8"/>
    <mergeCell ref="R8:S8"/>
    <mergeCell ref="AB32:AC32"/>
    <mergeCell ref="AD32:AE32"/>
    <mergeCell ref="V32:W32"/>
    <mergeCell ref="T8:U8"/>
    <mergeCell ref="X8:Y8"/>
    <mergeCell ref="Z8:AA8"/>
    <mergeCell ref="T32:U32"/>
    <mergeCell ref="X32:Y32"/>
    <mergeCell ref="Z32:AA32"/>
  </mergeCells>
  <phoneticPr fontId="6" type="noConversion"/>
  <pageMargins left="0.7" right="0.7" top="0.75" bottom="0.75" header="0.3" footer="0.3"/>
  <pageSetup scale="21"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B371AF-9A27-4839-89E8-605E3D00D370}">
  <sheetPr>
    <tabColor theme="7" tint="0.79998168889431442"/>
  </sheetPr>
  <dimension ref="B1:H39"/>
  <sheetViews>
    <sheetView view="pageBreakPreview" topLeftCell="B7" zoomScaleNormal="70" zoomScaleSheetLayoutView="100" workbookViewId="0">
      <selection activeCell="C2" sqref="C2:H6"/>
    </sheetView>
  </sheetViews>
  <sheetFormatPr baseColWidth="10" defaultColWidth="11.453125" defaultRowHeight="14.5"/>
  <cols>
    <col min="1" max="1" width="2.08984375" style="1" customWidth="1"/>
    <col min="2" max="2" width="46.81640625" style="151" customWidth="1"/>
    <col min="3" max="3" width="20.81640625" style="151" customWidth="1"/>
    <col min="4" max="4" width="22.08984375" style="1" customWidth="1"/>
    <col min="5" max="5" width="20.81640625" style="1" customWidth="1"/>
    <col min="6" max="6" width="20.36328125" style="1" customWidth="1"/>
    <col min="7" max="7" width="23.36328125" style="1" customWidth="1"/>
    <col min="8" max="8" width="19.36328125" style="1" bestFit="1" customWidth="1"/>
    <col min="9" max="9" width="11.453125" style="1"/>
    <col min="10" max="11" width="15.6328125" style="1" bestFit="1" customWidth="1"/>
    <col min="12" max="12" width="16.6328125" style="1" bestFit="1" customWidth="1"/>
    <col min="13" max="16384" width="11.453125" style="1"/>
  </cols>
  <sheetData>
    <row r="1" spans="2:8" ht="15" thickBot="1"/>
    <row r="2" spans="2:8" ht="14.5" customHeight="1">
      <c r="B2" s="1721"/>
      <c r="C2" s="1746" t="s">
        <v>889</v>
      </c>
      <c r="D2" s="1747"/>
      <c r="E2" s="1747"/>
      <c r="F2" s="1747"/>
      <c r="G2" s="1747"/>
      <c r="H2" s="1748"/>
    </row>
    <row r="3" spans="2:8">
      <c r="B3" s="1722"/>
      <c r="C3" s="1749"/>
      <c r="D3" s="1750"/>
      <c r="E3" s="1750"/>
      <c r="F3" s="1750"/>
      <c r="G3" s="1750"/>
      <c r="H3" s="1751"/>
    </row>
    <row r="4" spans="2:8" ht="23" customHeight="1">
      <c r="B4" s="1722"/>
      <c r="C4" s="1749"/>
      <c r="D4" s="1750"/>
      <c r="E4" s="1750"/>
      <c r="F4" s="1750"/>
      <c r="G4" s="1750"/>
      <c r="H4" s="1751"/>
    </row>
    <row r="5" spans="2:8">
      <c r="B5" s="1722"/>
      <c r="C5" s="1749"/>
      <c r="D5" s="1750"/>
      <c r="E5" s="1750"/>
      <c r="F5" s="1750"/>
      <c r="G5" s="1750"/>
      <c r="H5" s="1751"/>
    </row>
    <row r="6" spans="2:8" ht="38" customHeight="1" thickBot="1">
      <c r="B6" s="1723"/>
      <c r="C6" s="1752"/>
      <c r="D6" s="1753"/>
      <c r="E6" s="1753"/>
      <c r="F6" s="1753"/>
      <c r="G6" s="1753"/>
      <c r="H6" s="1754"/>
    </row>
    <row r="7" spans="2:8" ht="14.5" customHeight="1">
      <c r="B7" s="1724" t="s">
        <v>890</v>
      </c>
      <c r="C7" s="1725"/>
      <c r="D7" s="1726"/>
      <c r="E7" s="1726"/>
      <c r="F7" s="1733" t="s">
        <v>891</v>
      </c>
      <c r="G7" s="1735"/>
      <c r="H7" s="1736"/>
    </row>
    <row r="8" spans="2:8">
      <c r="B8" s="1727"/>
      <c r="C8" s="1728"/>
      <c r="D8" s="1729"/>
      <c r="E8" s="1729"/>
      <c r="F8" s="1734"/>
      <c r="G8" s="1737"/>
      <c r="H8" s="1738"/>
    </row>
    <row r="9" spans="2:8">
      <c r="B9" s="1727"/>
      <c r="C9" s="1728"/>
      <c r="D9" s="1729"/>
      <c r="E9" s="1729"/>
      <c r="F9" s="332" t="s">
        <v>892</v>
      </c>
      <c r="G9" s="1739"/>
      <c r="H9" s="1740"/>
    </row>
    <row r="10" spans="2:8">
      <c r="B10" s="1727"/>
      <c r="C10" s="1728"/>
      <c r="D10" s="1729"/>
      <c r="E10" s="1729"/>
      <c r="F10" s="332" t="s">
        <v>893</v>
      </c>
      <c r="G10" s="1739"/>
      <c r="H10" s="1740"/>
    </row>
    <row r="11" spans="2:8">
      <c r="B11" s="1727"/>
      <c r="C11" s="1728"/>
      <c r="D11" s="1729"/>
      <c r="E11" s="1729"/>
      <c r="F11" s="1734" t="s">
        <v>894</v>
      </c>
      <c r="G11" s="1742"/>
      <c r="H11" s="1743"/>
    </row>
    <row r="12" spans="2:8" ht="15" thickBot="1">
      <c r="B12" s="1730"/>
      <c r="C12" s="1731"/>
      <c r="D12" s="1732"/>
      <c r="E12" s="1732"/>
      <c r="F12" s="1741"/>
      <c r="G12" s="1744"/>
      <c r="H12" s="1745"/>
    </row>
    <row r="13" spans="2:8" ht="14.5" customHeight="1">
      <c r="B13" s="1755" t="str">
        <f>+PRESUPUESTO!A2</f>
        <v>OBJETO: MEJORAMIENTO Y ADECUACIÓN DE LAS VIAS URBANAS DEL MUNICIPIO DE SANTA FE DE ANTIOQUIA</v>
      </c>
      <c r="C13" s="1756"/>
      <c r="D13" s="1757"/>
      <c r="E13" s="1757"/>
      <c r="F13" s="1757"/>
      <c r="G13" s="1757"/>
      <c r="H13" s="1758"/>
    </row>
    <row r="14" spans="2:8" ht="15" thickBot="1">
      <c r="B14" s="1759"/>
      <c r="C14" s="1760"/>
      <c r="D14" s="1761"/>
      <c r="E14" s="1761"/>
      <c r="F14" s="1761"/>
      <c r="G14" s="1761"/>
      <c r="H14" s="1762"/>
    </row>
    <row r="15" spans="2:8" ht="15" customHeight="1" thickBot="1">
      <c r="B15" s="1766" t="s">
        <v>1</v>
      </c>
      <c r="C15" s="1767"/>
      <c r="D15" s="1763"/>
      <c r="E15" s="1763"/>
      <c r="F15" s="1763"/>
      <c r="G15" s="1763"/>
      <c r="H15" s="168" t="s">
        <v>193</v>
      </c>
    </row>
    <row r="16" spans="2:8" ht="48" customHeight="1" thickBot="1">
      <c r="B16" s="1768" t="s">
        <v>895</v>
      </c>
      <c r="C16" s="1769"/>
      <c r="D16" s="1764" t="str">
        <f>+PRESUPUESTO!B6</f>
        <v>Localización, trazado y replanteo del proyecto. Se utilizará equipo de precisión, personal experto. Se hará con la frecuencia que lo indique la interventoria. incluye demarcación con pintura, línea de trazado, corte de piso, libretas, planos.</v>
      </c>
      <c r="E16" s="1765"/>
      <c r="F16" s="1765"/>
      <c r="G16" s="1765"/>
      <c r="H16" s="169" t="str">
        <f>+P!$C$4</f>
        <v>m</v>
      </c>
    </row>
    <row r="17" spans="2:8" ht="15" thickBot="1">
      <c r="B17" s="338" t="s">
        <v>896</v>
      </c>
      <c r="C17" s="338"/>
    </row>
    <row r="18" spans="2:8" ht="36" customHeight="1">
      <c r="B18" s="1719" t="s">
        <v>897</v>
      </c>
      <c r="C18" s="1720"/>
      <c r="D18" s="335" t="s">
        <v>319</v>
      </c>
      <c r="E18" s="335" t="s">
        <v>320</v>
      </c>
      <c r="F18" s="335" t="s">
        <v>898</v>
      </c>
      <c r="G18" s="336" t="s">
        <v>899</v>
      </c>
      <c r="H18" s="139"/>
    </row>
    <row r="19" spans="2:8">
      <c r="B19" s="1711" t="str">
        <f>+MATERIALES!B23</f>
        <v>Clavos 2"</v>
      </c>
      <c r="C19" s="1712"/>
      <c r="D19" s="174" t="str">
        <f>+MATERIALES!C23</f>
        <v>lb</v>
      </c>
      <c r="E19" s="175">
        <v>0.74450000000000005</v>
      </c>
      <c r="F19" s="176">
        <f>+MATERIALES!D23</f>
        <v>5500</v>
      </c>
      <c r="G19" s="177">
        <f>+ROUND((E19*F19),0)</f>
        <v>4095</v>
      </c>
      <c r="H19" s="140"/>
    </row>
    <row r="20" spans="2:8">
      <c r="B20" s="1711" t="str">
        <f>+MATERIALES!B24</f>
        <v>Estaca para topografía</v>
      </c>
      <c r="C20" s="1712"/>
      <c r="D20" s="174" t="str">
        <f>+MATERIALES!C24</f>
        <v>un</v>
      </c>
      <c r="E20" s="175">
        <v>8</v>
      </c>
      <c r="F20" s="176">
        <f>+MATERIALES!D24</f>
        <v>3000</v>
      </c>
      <c r="G20" s="177">
        <f>+ROUND((E20*F20),0)</f>
        <v>24000</v>
      </c>
      <c r="H20" s="140"/>
    </row>
    <row r="21" spans="2:8" ht="15" thickBot="1">
      <c r="B21" s="183"/>
      <c r="C21" s="183"/>
      <c r="D21" s="301">
        <f>+H21/$H$38</f>
        <v>2.898911115536492E-2</v>
      </c>
      <c r="E21" s="185"/>
      <c r="F21" s="65"/>
      <c r="G21" s="212" t="s">
        <v>900</v>
      </c>
      <c r="H21" s="339">
        <f>+ROUND(SUM(G19:G20),0)</f>
        <v>28095</v>
      </c>
    </row>
    <row r="22" spans="2:8" ht="15" thickBot="1">
      <c r="B22" s="183" t="s">
        <v>901</v>
      </c>
      <c r="C22" s="183"/>
    </row>
    <row r="23" spans="2:8">
      <c r="B23" s="170" t="s">
        <v>897</v>
      </c>
      <c r="C23" s="396" t="s">
        <v>902</v>
      </c>
      <c r="D23" s="335" t="s">
        <v>903</v>
      </c>
      <c r="E23" s="335" t="s">
        <v>320</v>
      </c>
      <c r="F23" s="335" t="s">
        <v>898</v>
      </c>
      <c r="G23" s="337" t="s">
        <v>899</v>
      </c>
      <c r="H23" s="143"/>
    </row>
    <row r="24" spans="2:8">
      <c r="B24" s="308" t="str">
        <f>+M.O.!A7</f>
        <v>TOPÓGRAFO</v>
      </c>
      <c r="C24" s="397">
        <f>+M.O.!G7</f>
        <v>325471</v>
      </c>
      <c r="D24" s="392"/>
      <c r="E24" s="401">
        <v>1</v>
      </c>
      <c r="F24" s="392"/>
      <c r="G24" s="406">
        <f>+C24*E24</f>
        <v>325471</v>
      </c>
      <c r="H24" s="162"/>
    </row>
    <row r="25" spans="2:8">
      <c r="B25" s="308" t="str">
        <f>+M.O.!A8</f>
        <v>CADENERO 1</v>
      </c>
      <c r="C25" s="397">
        <f>+M.O.!G8</f>
        <v>206671</v>
      </c>
      <c r="D25" s="392"/>
      <c r="E25" s="401">
        <v>1</v>
      </c>
      <c r="F25" s="392"/>
      <c r="G25" s="406">
        <f>+C25*E25</f>
        <v>206671</v>
      </c>
      <c r="H25" s="162"/>
    </row>
    <row r="26" spans="2:8" ht="15" thickBot="1">
      <c r="B26" s="178" t="str">
        <f>+M.O.!A9</f>
        <v>CADENERO 2</v>
      </c>
      <c r="C26" s="398">
        <f>+M.O.!G9</f>
        <v>221250</v>
      </c>
      <c r="D26" s="179"/>
      <c r="E26" s="402">
        <v>1</v>
      </c>
      <c r="F26" s="181"/>
      <c r="G26" s="407">
        <f>+E26*C26</f>
        <v>221250</v>
      </c>
      <c r="H26" s="144"/>
    </row>
    <row r="27" spans="2:8" ht="15" thickBot="1">
      <c r="B27" s="183"/>
      <c r="C27" s="183"/>
      <c r="D27" s="301">
        <f>+H27/$H$38</f>
        <v>0.77736837271979664</v>
      </c>
      <c r="E27" s="190"/>
      <c r="G27" s="186" t="s">
        <v>900</v>
      </c>
      <c r="H27" s="400">
        <f>+ROUND(SUM(G24:G26),0)</f>
        <v>753392</v>
      </c>
    </row>
    <row r="28" spans="2:8" ht="15" thickBot="1">
      <c r="B28" s="183" t="s">
        <v>904</v>
      </c>
      <c r="C28" s="183"/>
    </row>
    <row r="29" spans="2:8">
      <c r="B29" s="1713" t="s">
        <v>897</v>
      </c>
      <c r="C29" s="1714"/>
      <c r="D29" s="335" t="s">
        <v>319</v>
      </c>
      <c r="E29" s="335" t="s">
        <v>320</v>
      </c>
      <c r="F29" s="335" t="s">
        <v>898</v>
      </c>
      <c r="G29" s="337" t="s">
        <v>899</v>
      </c>
      <c r="H29" s="143"/>
    </row>
    <row r="30" spans="2:8">
      <c r="B30" s="1715" t="str">
        <f>+EQUIPOS!A6</f>
        <v>Equipo de topografía (estación total)</v>
      </c>
      <c r="C30" s="1716"/>
      <c r="D30" s="391" t="str">
        <f>+EQUIPOS!B6</f>
        <v>Día</v>
      </c>
      <c r="E30" s="391">
        <v>1</v>
      </c>
      <c r="F30" s="404">
        <f>+EQUIPOS!C6</f>
        <v>150000</v>
      </c>
      <c r="G30" s="405">
        <f>+ROUND((E30*F30),0)</f>
        <v>150000</v>
      </c>
      <c r="H30" s="162"/>
    </row>
    <row r="31" spans="2:8" ht="15" thickBot="1">
      <c r="B31" s="1717" t="s">
        <v>905</v>
      </c>
      <c r="C31" s="1718"/>
      <c r="D31" s="179" t="s">
        <v>906</v>
      </c>
      <c r="E31" s="180">
        <v>0.05</v>
      </c>
      <c r="F31" s="192">
        <f>+H27</f>
        <v>753392</v>
      </c>
      <c r="G31" s="193">
        <f>+ROUND((E31*F31),0)</f>
        <v>37670</v>
      </c>
      <c r="H31" s="144"/>
    </row>
    <row r="32" spans="2:8" ht="15" thickBot="1">
      <c r="B32" s="183"/>
      <c r="C32" s="183"/>
      <c r="D32" s="301">
        <f>+H32/$H$38</f>
        <v>0.1936425161248384</v>
      </c>
      <c r="E32" s="190"/>
      <c r="G32" s="212" t="s">
        <v>900</v>
      </c>
      <c r="H32" s="191">
        <f>+ROUND(SUM(G30:G31),0)</f>
        <v>187670</v>
      </c>
    </row>
    <row r="33" spans="2:8" ht="15" thickBot="1">
      <c r="B33" s="183" t="s">
        <v>907</v>
      </c>
      <c r="C33" s="183"/>
    </row>
    <row r="34" spans="2:8">
      <c r="B34" s="170" t="s">
        <v>897</v>
      </c>
      <c r="C34" s="394"/>
      <c r="D34" s="335" t="s">
        <v>319</v>
      </c>
      <c r="E34" s="335" t="s">
        <v>320</v>
      </c>
      <c r="F34" s="335" t="s">
        <v>898</v>
      </c>
      <c r="G34" s="337" t="s">
        <v>899</v>
      </c>
      <c r="H34" s="139"/>
    </row>
    <row r="35" spans="2:8" ht="15" thickBot="1">
      <c r="B35" s="178"/>
      <c r="C35" s="395"/>
      <c r="D35" s="179"/>
      <c r="E35" s="180"/>
      <c r="F35" s="192"/>
      <c r="G35" s="193"/>
      <c r="H35" s="142"/>
    </row>
    <row r="36" spans="2:8" ht="15" thickBot="1">
      <c r="D36" s="301">
        <f>+H36/$H$38</f>
        <v>0</v>
      </c>
      <c r="G36" s="212" t="s">
        <v>900</v>
      </c>
      <c r="H36" s="214">
        <f>+ROUND(SUM(G35),0)</f>
        <v>0</v>
      </c>
    </row>
    <row r="37" spans="2:8" ht="15" thickBot="1">
      <c r="G37" s="186"/>
      <c r="H37" s="194"/>
    </row>
    <row r="38" spans="2:8" ht="15" thickBot="1">
      <c r="B38" s="195"/>
      <c r="C38" s="195"/>
      <c r="D38" s="196"/>
      <c r="E38" s="197" t="s">
        <v>908</v>
      </c>
      <c r="F38" s="198"/>
      <c r="G38" s="198"/>
      <c r="H38" s="153">
        <f>ROUNDUP(SUM(H18:H36),0)</f>
        <v>969157</v>
      </c>
    </row>
    <row r="39" spans="2:8">
      <c r="B39" s="199"/>
      <c r="C39" s="199"/>
      <c r="D39" s="201"/>
      <c r="E39" s="253"/>
      <c r="F39" s="253"/>
      <c r="G39" s="253"/>
      <c r="H39" s="196"/>
    </row>
  </sheetData>
  <mergeCells count="20">
    <mergeCell ref="B18:C18"/>
    <mergeCell ref="B2:B6"/>
    <mergeCell ref="B7:E12"/>
    <mergeCell ref="F7:F8"/>
    <mergeCell ref="G7:H8"/>
    <mergeCell ref="G9:H9"/>
    <mergeCell ref="G10:H10"/>
    <mergeCell ref="F11:F12"/>
    <mergeCell ref="G11:H12"/>
    <mergeCell ref="C2:H6"/>
    <mergeCell ref="B13:H14"/>
    <mergeCell ref="D15:G15"/>
    <mergeCell ref="D16:G16"/>
    <mergeCell ref="B15:C15"/>
    <mergeCell ref="B16:C16"/>
    <mergeCell ref="B19:C19"/>
    <mergeCell ref="B20:C20"/>
    <mergeCell ref="B29:C29"/>
    <mergeCell ref="B30:C30"/>
    <mergeCell ref="B31:C31"/>
  </mergeCells>
  <pageMargins left="0.7" right="0.7" top="0.75" bottom="0.75" header="0.3" footer="0.3"/>
  <pageSetup scale="49" orientation="portrait" r:id="rId1"/>
  <rowBreaks count="1" manualBreakCount="1">
    <brk id="38" min="1" max="6"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684410-C623-48DA-8ED0-B333769C0BA0}">
  <sheetPr>
    <tabColor theme="7" tint="0.79998168889431442"/>
  </sheetPr>
  <dimension ref="B1:G40"/>
  <sheetViews>
    <sheetView view="pageBreakPreview" topLeftCell="A13" zoomScale="80" zoomScaleNormal="70" zoomScaleSheetLayoutView="80" workbookViewId="0">
      <selection activeCell="C2" sqref="C2:G6"/>
    </sheetView>
  </sheetViews>
  <sheetFormatPr baseColWidth="10" defaultColWidth="11.453125" defaultRowHeight="14.5"/>
  <cols>
    <col min="1" max="1" width="2.08984375" style="1" customWidth="1"/>
    <col min="2" max="2" width="46.81640625" style="151" customWidth="1"/>
    <col min="3" max="3" width="22.08984375" style="1" customWidth="1"/>
    <col min="4" max="4" width="20.81640625" style="1" customWidth="1"/>
    <col min="5" max="5" width="20.36328125" style="1" customWidth="1"/>
    <col min="6" max="6" width="23.36328125" style="1" customWidth="1"/>
    <col min="7" max="7" width="19.36328125" style="1" bestFit="1" customWidth="1"/>
    <col min="8" max="8" width="11.453125" style="1"/>
    <col min="9" max="10" width="15.6328125" style="1" bestFit="1" customWidth="1"/>
    <col min="11" max="11" width="16.6328125" style="1" bestFit="1" customWidth="1"/>
    <col min="12" max="16384" width="11.453125" style="1"/>
  </cols>
  <sheetData>
    <row r="1" spans="2:7" ht="15" thickBot="1"/>
    <row r="2" spans="2:7" ht="14.5" customHeight="1">
      <c r="B2" s="1721"/>
      <c r="C2" s="1770" t="s">
        <v>909</v>
      </c>
      <c r="D2" s="1770"/>
      <c r="E2" s="1770"/>
      <c r="F2" s="1770"/>
      <c r="G2" s="1771"/>
    </row>
    <row r="3" spans="2:7">
      <c r="B3" s="1722"/>
      <c r="C3" s="1772"/>
      <c r="D3" s="1772"/>
      <c r="E3" s="1772"/>
      <c r="F3" s="1772"/>
      <c r="G3" s="1773"/>
    </row>
    <row r="4" spans="2:7" ht="23" customHeight="1">
      <c r="B4" s="1722"/>
      <c r="C4" s="1772"/>
      <c r="D4" s="1772"/>
      <c r="E4" s="1772"/>
      <c r="F4" s="1772"/>
      <c r="G4" s="1773"/>
    </row>
    <row r="5" spans="2:7">
      <c r="B5" s="1722"/>
      <c r="C5" s="1772"/>
      <c r="D5" s="1772"/>
      <c r="E5" s="1772"/>
      <c r="F5" s="1772"/>
      <c r="G5" s="1773"/>
    </row>
    <row r="6" spans="2:7" ht="38" customHeight="1" thickBot="1">
      <c r="B6" s="1723"/>
      <c r="C6" s="1774"/>
      <c r="D6" s="1774"/>
      <c r="E6" s="1774"/>
      <c r="F6" s="1774"/>
      <c r="G6" s="1775"/>
    </row>
    <row r="7" spans="2:7" ht="14.5" customHeight="1">
      <c r="B7" s="1724" t="s">
        <v>890</v>
      </c>
      <c r="C7" s="1726"/>
      <c r="D7" s="1726"/>
      <c r="E7" s="1733" t="s">
        <v>891</v>
      </c>
      <c r="F7" s="1735"/>
      <c r="G7" s="1736"/>
    </row>
    <row r="8" spans="2:7">
      <c r="B8" s="1727"/>
      <c r="C8" s="1729"/>
      <c r="D8" s="1729"/>
      <c r="E8" s="1734"/>
      <c r="F8" s="1737"/>
      <c r="G8" s="1738"/>
    </row>
    <row r="9" spans="2:7">
      <c r="B9" s="1727"/>
      <c r="C9" s="1729"/>
      <c r="D9" s="1729"/>
      <c r="E9" s="332" t="s">
        <v>892</v>
      </c>
      <c r="F9" s="1739"/>
      <c r="G9" s="1740"/>
    </row>
    <row r="10" spans="2:7">
      <c r="B10" s="1727"/>
      <c r="C10" s="1729"/>
      <c r="D10" s="1729"/>
      <c r="E10" s="332" t="s">
        <v>893</v>
      </c>
      <c r="F10" s="1739"/>
      <c r="G10" s="1740"/>
    </row>
    <row r="11" spans="2:7">
      <c r="B11" s="1727"/>
      <c r="C11" s="1729"/>
      <c r="D11" s="1729"/>
      <c r="E11" s="1734" t="s">
        <v>894</v>
      </c>
      <c r="F11" s="1742"/>
      <c r="G11" s="1743"/>
    </row>
    <row r="12" spans="2:7" ht="15" thickBot="1">
      <c r="B12" s="1730"/>
      <c r="C12" s="1732"/>
      <c r="D12" s="1732"/>
      <c r="E12" s="1741"/>
      <c r="F12" s="1744"/>
      <c r="G12" s="1745"/>
    </row>
    <row r="13" spans="2:7" ht="14.5" customHeight="1">
      <c r="B13" s="1755" t="str">
        <f>+PRESUPUESTO!A2</f>
        <v>OBJETO: MEJORAMIENTO Y ADECUACIÓN DE LAS VIAS URBANAS DEL MUNICIPIO DE SANTA FE DE ANTIOQUIA</v>
      </c>
      <c r="C13" s="1757"/>
      <c r="D13" s="1757"/>
      <c r="E13" s="1757"/>
      <c r="F13" s="1757"/>
      <c r="G13" s="1758"/>
    </row>
    <row r="14" spans="2:7" ht="15" thickBot="1">
      <c r="B14" s="1759"/>
      <c r="C14" s="1761"/>
      <c r="D14" s="1761"/>
      <c r="E14" s="1761"/>
      <c r="F14" s="1761"/>
      <c r="G14" s="1762"/>
    </row>
    <row r="15" spans="2:7" ht="15" customHeight="1" thickBot="1">
      <c r="B15" s="167" t="s">
        <v>1</v>
      </c>
      <c r="C15" s="1763"/>
      <c r="D15" s="1763"/>
      <c r="E15" s="1763"/>
      <c r="F15" s="1763"/>
      <c r="G15" s="168" t="s">
        <v>193</v>
      </c>
    </row>
    <row r="16" spans="2:7" ht="35.25" customHeight="1" thickBot="1">
      <c r="B16" s="62" t="s">
        <v>919</v>
      </c>
      <c r="C16" s="1764" t="str">
        <f>+PRESUPUESTO!B8</f>
        <v>Excavación mecanica en material heterogéneo, bajo cualquier grado de humedad, medido in situ, no incluye botada.</v>
      </c>
      <c r="D16" s="1765"/>
      <c r="E16" s="1765"/>
      <c r="F16" s="1765"/>
      <c r="G16" s="169" t="str">
        <f>+PRESUPUESTO!C8</f>
        <v>m³</v>
      </c>
    </row>
    <row r="17" spans="2:7" ht="15" thickBot="1">
      <c r="B17" s="338" t="s">
        <v>896</v>
      </c>
    </row>
    <row r="18" spans="2:7">
      <c r="B18" s="403" t="s">
        <v>897</v>
      </c>
      <c r="C18" s="335" t="s">
        <v>319</v>
      </c>
      <c r="D18" s="335" t="s">
        <v>320</v>
      </c>
      <c r="E18" s="335" t="s">
        <v>898</v>
      </c>
      <c r="F18" s="336" t="s">
        <v>899</v>
      </c>
      <c r="G18" s="139"/>
    </row>
    <row r="19" spans="2:7">
      <c r="B19" s="173"/>
      <c r="C19" s="174"/>
      <c r="D19" s="175"/>
      <c r="E19" s="176"/>
      <c r="F19" s="177"/>
      <c r="G19" s="140"/>
    </row>
    <row r="20" spans="2:7">
      <c r="B20" s="173"/>
      <c r="C20" s="174"/>
      <c r="D20" s="175"/>
      <c r="E20" s="176"/>
      <c r="F20" s="177"/>
      <c r="G20" s="140"/>
    </row>
    <row r="21" spans="2:7">
      <c r="B21" s="173"/>
      <c r="C21" s="174"/>
      <c r="D21" s="175"/>
      <c r="E21" s="176"/>
      <c r="F21" s="177"/>
      <c r="G21" s="140"/>
    </row>
    <row r="22" spans="2:7" ht="15" thickBot="1">
      <c r="B22" s="178"/>
      <c r="C22" s="179"/>
      <c r="D22" s="180"/>
      <c r="E22" s="181"/>
      <c r="F22" s="182"/>
      <c r="G22" s="141"/>
    </row>
    <row r="23" spans="2:7" ht="15" thickBot="1">
      <c r="B23" s="183"/>
      <c r="C23" s="301">
        <f>+G23/$G$39</f>
        <v>0</v>
      </c>
      <c r="D23" s="185"/>
      <c r="E23" s="65"/>
      <c r="F23" s="212" t="s">
        <v>900</v>
      </c>
      <c r="G23" s="339">
        <f>+ROUND(SUM(F19:F22),0)</f>
        <v>0</v>
      </c>
    </row>
    <row r="24" spans="2:7" ht="15" thickBot="1">
      <c r="B24" s="183" t="s">
        <v>901</v>
      </c>
    </row>
    <row r="25" spans="2:7">
      <c r="B25" s="170" t="s">
        <v>897</v>
      </c>
      <c r="C25" s="335" t="s">
        <v>319</v>
      </c>
      <c r="D25" s="335" t="s">
        <v>320</v>
      </c>
      <c r="E25" s="335" t="s">
        <v>898</v>
      </c>
      <c r="F25" s="336" t="s">
        <v>899</v>
      </c>
      <c r="G25" s="139"/>
    </row>
    <row r="26" spans="2:7" ht="15" thickBot="1">
      <c r="B26" s="178" t="s">
        <v>915</v>
      </c>
      <c r="C26" s="179" t="s">
        <v>916</v>
      </c>
      <c r="D26" s="180">
        <v>4.1244999999999997E-2</v>
      </c>
      <c r="E26" s="181">
        <f>+'FP OPERATIVO'!F36</f>
        <v>302186.41694755561</v>
      </c>
      <c r="F26" s="182">
        <f>+ROUND((D26*E26),0)</f>
        <v>12464</v>
      </c>
      <c r="G26" s="142"/>
    </row>
    <row r="27" spans="2:7" ht="15" thickBot="1">
      <c r="B27" s="183"/>
      <c r="C27" s="301">
        <f>+G27/$G$39</f>
        <v>0.4750905279207166</v>
      </c>
      <c r="D27" s="190"/>
      <c r="F27" s="186" t="s">
        <v>900</v>
      </c>
      <c r="G27" s="214">
        <f>+ROUND(SUM(F26),0)</f>
        <v>12464</v>
      </c>
    </row>
    <row r="28" spans="2:7" ht="15" thickBot="1">
      <c r="B28" s="183" t="s">
        <v>920</v>
      </c>
    </row>
    <row r="29" spans="2:7">
      <c r="B29" s="170" t="s">
        <v>897</v>
      </c>
      <c r="C29" s="335" t="s">
        <v>319</v>
      </c>
      <c r="D29" s="335" t="s">
        <v>320</v>
      </c>
      <c r="E29" s="335" t="s">
        <v>898</v>
      </c>
      <c r="F29" s="337" t="s">
        <v>899</v>
      </c>
      <c r="G29" s="143"/>
    </row>
    <row r="30" spans="2:7" ht="29">
      <c r="B30" s="308" t="str">
        <f>+EQUIPOS!A8</f>
        <v>Retroexcavadora sobre oruga, potencia 138 HP, balde de 1,5 m3.</v>
      </c>
      <c r="C30" s="392" t="str">
        <f>+EQUIPOS!B8</f>
        <v>Hr</v>
      </c>
      <c r="D30" s="392">
        <f>1/25</f>
        <v>0.04</v>
      </c>
      <c r="E30" s="408">
        <f>+EQUIPOS!C8</f>
        <v>230000</v>
      </c>
      <c r="F30" s="406">
        <f t="shared" ref="F30:F31" si="0">+ROUND((D30*E30),0)</f>
        <v>9200</v>
      </c>
      <c r="G30" s="162"/>
    </row>
    <row r="31" spans="2:7" ht="29">
      <c r="B31" s="308" t="str">
        <f>+EQUIPOS!A26</f>
        <v>Compresor Neumático con martillo demoledor o perforador en superficie, punta, combustible y operador.</v>
      </c>
      <c r="C31" s="392" t="str">
        <f>+EQUIPOS!B26</f>
        <v>Hr</v>
      </c>
      <c r="D31" s="392">
        <f>1/25</f>
        <v>0.04</v>
      </c>
      <c r="E31" s="408">
        <f>+EQUIPOS!C26</f>
        <v>98705</v>
      </c>
      <c r="F31" s="406">
        <f t="shared" si="0"/>
        <v>3948</v>
      </c>
      <c r="G31" s="162"/>
    </row>
    <row r="32" spans="2:7" ht="15" thickBot="1">
      <c r="B32" s="178" t="s">
        <v>905</v>
      </c>
      <c r="C32" s="179" t="s">
        <v>906</v>
      </c>
      <c r="D32" s="180">
        <v>0.05</v>
      </c>
      <c r="E32" s="192">
        <f>+G27</f>
        <v>12464</v>
      </c>
      <c r="F32" s="193">
        <f>+ROUND((D32*E32),0)</f>
        <v>623</v>
      </c>
      <c r="G32" s="144"/>
    </row>
    <row r="33" spans="2:7" ht="15" thickBot="1">
      <c r="B33" s="183"/>
      <c r="C33" s="301">
        <f>+G33/$G$39</f>
        <v>0.5249094720792834</v>
      </c>
      <c r="D33" s="190"/>
      <c r="F33" s="212" t="s">
        <v>900</v>
      </c>
      <c r="G33" s="191">
        <f>+ROUND(SUM(F30:F32),0)</f>
        <v>13771</v>
      </c>
    </row>
    <row r="34" spans="2:7" ht="15" thickBot="1">
      <c r="B34" s="183" t="s">
        <v>907</v>
      </c>
    </row>
    <row r="35" spans="2:7">
      <c r="B35" s="170" t="s">
        <v>897</v>
      </c>
      <c r="C35" s="335" t="s">
        <v>319</v>
      </c>
      <c r="D35" s="335" t="s">
        <v>320</v>
      </c>
      <c r="E35" s="335" t="s">
        <v>898</v>
      </c>
      <c r="F35" s="337" t="s">
        <v>899</v>
      </c>
      <c r="G35" s="139"/>
    </row>
    <row r="36" spans="2:7" ht="15" thickBot="1">
      <c r="B36" s="178"/>
      <c r="C36" s="179"/>
      <c r="D36" s="180"/>
      <c r="E36" s="192"/>
      <c r="F36" s="193"/>
      <c r="G36" s="142"/>
    </row>
    <row r="37" spans="2:7" ht="15" thickBot="1">
      <c r="C37" s="301">
        <f>+G37/$G$39</f>
        <v>0</v>
      </c>
      <c r="F37" s="212" t="s">
        <v>900</v>
      </c>
      <c r="G37" s="214">
        <f>+ROUND(SUM(F36),0)</f>
        <v>0</v>
      </c>
    </row>
    <row r="38" spans="2:7" ht="15" thickBot="1">
      <c r="F38" s="186"/>
      <c r="G38" s="194"/>
    </row>
    <row r="39" spans="2:7" ht="15" thickBot="1">
      <c r="B39" s="195"/>
      <c r="C39" s="196"/>
      <c r="D39" s="197" t="s">
        <v>908</v>
      </c>
      <c r="E39" s="198"/>
      <c r="F39" s="198"/>
      <c r="G39" s="153">
        <f>ROUNDUP(SUM(G18:G37),0)</f>
        <v>26235</v>
      </c>
    </row>
    <row r="40" spans="2:7">
      <c r="B40" s="199"/>
      <c r="C40" s="201"/>
      <c r="D40" s="253"/>
      <c r="E40" s="253"/>
      <c r="F40" s="253"/>
      <c r="G40" s="196"/>
    </row>
  </sheetData>
  <mergeCells count="12">
    <mergeCell ref="B13:G14"/>
    <mergeCell ref="C15:F15"/>
    <mergeCell ref="C16:F16"/>
    <mergeCell ref="B2:B6"/>
    <mergeCell ref="C2:G6"/>
    <mergeCell ref="B7:D12"/>
    <mergeCell ref="E7:E8"/>
    <mergeCell ref="F7:G8"/>
    <mergeCell ref="F9:G9"/>
    <mergeCell ref="F10:G10"/>
    <mergeCell ref="E11:E12"/>
    <mergeCell ref="F11:G12"/>
  </mergeCells>
  <pageMargins left="0.7" right="0.7" top="0.75" bottom="0.75" header="0.3" footer="0.3"/>
  <pageSetup scale="58" orientation="portrait" r:id="rId1"/>
  <rowBreaks count="1" manualBreakCount="1">
    <brk id="39" min="1" max="6"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1F2FE0-7B30-4FB2-8BE7-B942635E9C26}">
  <sheetPr>
    <tabColor theme="7" tint="0.79998168889431442"/>
  </sheetPr>
  <dimension ref="B1:G39"/>
  <sheetViews>
    <sheetView view="pageBreakPreview" topLeftCell="A9" zoomScale="80" zoomScaleNormal="70" zoomScaleSheetLayoutView="80" workbookViewId="0">
      <selection activeCell="B33" sqref="B33"/>
    </sheetView>
  </sheetViews>
  <sheetFormatPr baseColWidth="10" defaultColWidth="11.453125" defaultRowHeight="14.5"/>
  <cols>
    <col min="1" max="1" width="2.08984375" style="1" customWidth="1"/>
    <col min="2" max="2" width="46.81640625" style="151" customWidth="1"/>
    <col min="3" max="3" width="22.08984375" style="1" customWidth="1"/>
    <col min="4" max="4" width="20.81640625" style="1" customWidth="1"/>
    <col min="5" max="5" width="20.36328125" style="1" customWidth="1"/>
    <col min="6" max="6" width="23.36328125" style="1" customWidth="1"/>
    <col min="7" max="7" width="19.36328125" style="1" bestFit="1" customWidth="1"/>
    <col min="8" max="8" width="11.453125" style="1"/>
    <col min="9" max="10" width="15.6328125" style="1" bestFit="1" customWidth="1"/>
    <col min="11" max="11" width="16.6328125" style="1" bestFit="1" customWidth="1"/>
    <col min="12" max="16384" width="11.453125" style="1"/>
  </cols>
  <sheetData>
    <row r="1" spans="2:7" ht="15" thickBot="1"/>
    <row r="2" spans="2:7" ht="14.5" customHeight="1">
      <c r="B2" s="1721"/>
      <c r="C2" s="1770" t="s">
        <v>909</v>
      </c>
      <c r="D2" s="1770"/>
      <c r="E2" s="1770"/>
      <c r="F2" s="1770"/>
      <c r="G2" s="1771"/>
    </row>
    <row r="3" spans="2:7">
      <c r="B3" s="1722"/>
      <c r="C3" s="1772"/>
      <c r="D3" s="1772"/>
      <c r="E3" s="1772"/>
      <c r="F3" s="1772"/>
      <c r="G3" s="1773"/>
    </row>
    <row r="4" spans="2:7" ht="23" customHeight="1">
      <c r="B4" s="1722"/>
      <c r="C4" s="1772"/>
      <c r="D4" s="1772"/>
      <c r="E4" s="1772"/>
      <c r="F4" s="1772"/>
      <c r="G4" s="1773"/>
    </row>
    <row r="5" spans="2:7">
      <c r="B5" s="1722"/>
      <c r="C5" s="1772"/>
      <c r="D5" s="1772"/>
      <c r="E5" s="1772"/>
      <c r="F5" s="1772"/>
      <c r="G5" s="1773"/>
    </row>
    <row r="6" spans="2:7" ht="38" customHeight="1" thickBot="1">
      <c r="B6" s="1723"/>
      <c r="C6" s="1774"/>
      <c r="D6" s="1774"/>
      <c r="E6" s="1774"/>
      <c r="F6" s="1774"/>
      <c r="G6" s="1775"/>
    </row>
    <row r="7" spans="2:7" ht="14.5" customHeight="1">
      <c r="B7" s="1724" t="s">
        <v>890</v>
      </c>
      <c r="C7" s="1726"/>
      <c r="D7" s="1726"/>
      <c r="E7" s="1733" t="s">
        <v>891</v>
      </c>
      <c r="F7" s="1735"/>
      <c r="G7" s="1736"/>
    </row>
    <row r="8" spans="2:7">
      <c r="B8" s="1727"/>
      <c r="C8" s="1729"/>
      <c r="D8" s="1729"/>
      <c r="E8" s="1734"/>
      <c r="F8" s="1737"/>
      <c r="G8" s="1738"/>
    </row>
    <row r="9" spans="2:7">
      <c r="B9" s="1727"/>
      <c r="C9" s="1729"/>
      <c r="D9" s="1729"/>
      <c r="E9" s="332" t="s">
        <v>892</v>
      </c>
      <c r="F9" s="1739"/>
      <c r="G9" s="1740"/>
    </row>
    <row r="10" spans="2:7">
      <c r="B10" s="1727"/>
      <c r="C10" s="1729"/>
      <c r="D10" s="1729"/>
      <c r="E10" s="332" t="s">
        <v>893</v>
      </c>
      <c r="F10" s="1739"/>
      <c r="G10" s="1740"/>
    </row>
    <row r="11" spans="2:7">
      <c r="B11" s="1727"/>
      <c r="C11" s="1729"/>
      <c r="D11" s="1729"/>
      <c r="E11" s="1734" t="s">
        <v>894</v>
      </c>
      <c r="F11" s="1742"/>
      <c r="G11" s="1743"/>
    </row>
    <row r="12" spans="2:7" ht="15" thickBot="1">
      <c r="B12" s="1730"/>
      <c r="C12" s="1732"/>
      <c r="D12" s="1732"/>
      <c r="E12" s="1741"/>
      <c r="F12" s="1744"/>
      <c r="G12" s="1745"/>
    </row>
    <row r="13" spans="2:7" ht="14.5" customHeight="1">
      <c r="B13" s="1755" t="str">
        <f>+PRESUPUESTO!A2</f>
        <v>OBJETO: MEJORAMIENTO Y ADECUACIÓN DE LAS VIAS URBANAS DEL MUNICIPIO DE SANTA FE DE ANTIOQUIA</v>
      </c>
      <c r="C13" s="1757"/>
      <c r="D13" s="1757"/>
      <c r="E13" s="1757"/>
      <c r="F13" s="1757"/>
      <c r="G13" s="1758"/>
    </row>
    <row r="14" spans="2:7" ht="15" thickBot="1">
      <c r="B14" s="1759"/>
      <c r="C14" s="1761"/>
      <c r="D14" s="1761"/>
      <c r="E14" s="1761"/>
      <c r="F14" s="1761"/>
      <c r="G14" s="1762"/>
    </row>
    <row r="15" spans="2:7" ht="15" customHeight="1" thickBot="1">
      <c r="B15" s="167" t="s">
        <v>1</v>
      </c>
      <c r="C15" s="1763"/>
      <c r="D15" s="1763"/>
      <c r="E15" s="1763"/>
      <c r="F15" s="1763"/>
      <c r="G15" s="168" t="s">
        <v>193</v>
      </c>
    </row>
    <row r="16" spans="2:7" ht="51" customHeight="1" thickBot="1">
      <c r="B16" s="62" t="s">
        <v>1810</v>
      </c>
      <c r="C16" s="1764" t="str">
        <f>+PRESUPUESTO!B9</f>
        <v>Cargue,   transporte  y   botada   de   material proveniente de las excavaciones y demoliciones. Hasta el sitio que indique la interventoria.</v>
      </c>
      <c r="D16" s="1765"/>
      <c r="E16" s="1765"/>
      <c r="F16" s="1765"/>
      <c r="G16" s="169" t="str">
        <f>+PRESUPUESTO!C9</f>
        <v>m³</v>
      </c>
    </row>
    <row r="17" spans="2:7" ht="15" thickBot="1">
      <c r="B17" s="338" t="s">
        <v>896</v>
      </c>
    </row>
    <row r="18" spans="2:7">
      <c r="B18" s="403" t="s">
        <v>897</v>
      </c>
      <c r="C18" s="335" t="s">
        <v>319</v>
      </c>
      <c r="D18" s="335" t="s">
        <v>320</v>
      </c>
      <c r="E18" s="335" t="s">
        <v>898</v>
      </c>
      <c r="F18" s="336" t="s">
        <v>899</v>
      </c>
      <c r="G18" s="139"/>
    </row>
    <row r="19" spans="2:7">
      <c r="B19" s="173"/>
      <c r="C19" s="174"/>
      <c r="D19" s="175"/>
      <c r="E19" s="176"/>
      <c r="F19" s="177"/>
      <c r="G19" s="140"/>
    </row>
    <row r="20" spans="2:7">
      <c r="B20" s="173"/>
      <c r="C20" s="174"/>
      <c r="D20" s="175"/>
      <c r="E20" s="176"/>
      <c r="F20" s="177"/>
      <c r="G20" s="140"/>
    </row>
    <row r="21" spans="2:7">
      <c r="B21" s="173"/>
      <c r="C21" s="174"/>
      <c r="D21" s="175"/>
      <c r="E21" s="176"/>
      <c r="F21" s="177"/>
      <c r="G21" s="140"/>
    </row>
    <row r="22" spans="2:7" ht="15" thickBot="1">
      <c r="B22" s="178"/>
      <c r="C22" s="179"/>
      <c r="D22" s="180"/>
      <c r="E22" s="181"/>
      <c r="F22" s="182"/>
      <c r="G22" s="141"/>
    </row>
    <row r="23" spans="2:7" ht="15" thickBot="1">
      <c r="B23" s="183"/>
      <c r="C23" s="301">
        <f>+G23/$G$38</f>
        <v>0</v>
      </c>
      <c r="D23" s="185"/>
      <c r="E23" s="65"/>
      <c r="F23" s="212" t="s">
        <v>900</v>
      </c>
      <c r="G23" s="339">
        <f>+ROUND(SUM(F19:F22),0)</f>
        <v>0</v>
      </c>
    </row>
    <row r="24" spans="2:7" ht="15" thickBot="1">
      <c r="B24" s="183" t="s">
        <v>901</v>
      </c>
    </row>
    <row r="25" spans="2:7">
      <c r="B25" s="170" t="s">
        <v>897</v>
      </c>
      <c r="C25" s="335" t="s">
        <v>319</v>
      </c>
      <c r="D25" s="335" t="s">
        <v>320</v>
      </c>
      <c r="E25" s="335" t="s">
        <v>898</v>
      </c>
      <c r="F25" s="336" t="s">
        <v>899</v>
      </c>
      <c r="G25" s="139"/>
    </row>
    <row r="26" spans="2:7" ht="15" thickBot="1">
      <c r="B26" s="178" t="s">
        <v>921</v>
      </c>
      <c r="C26" s="179" t="s">
        <v>916</v>
      </c>
      <c r="D26" s="180">
        <v>0.125</v>
      </c>
      <c r="E26" s="181">
        <f>+'FP OPERATIVO'!F39</f>
        <v>104704.08071111111</v>
      </c>
      <c r="F26" s="182">
        <f>+ROUND((D26*E26),0)</f>
        <v>13088</v>
      </c>
      <c r="G26" s="142"/>
    </row>
    <row r="27" spans="2:7" ht="15" thickBot="1">
      <c r="B27" s="183"/>
      <c r="C27" s="301">
        <f>+G27/$G$38</f>
        <v>0.19555050874807631</v>
      </c>
      <c r="D27" s="190"/>
      <c r="F27" s="186" t="s">
        <v>900</v>
      </c>
      <c r="G27" s="214">
        <f>+ROUND(SUM(F26),0)</f>
        <v>13088</v>
      </c>
    </row>
    <row r="28" spans="2:7" ht="15" thickBot="1">
      <c r="B28" s="183" t="s">
        <v>920</v>
      </c>
    </row>
    <row r="29" spans="2:7">
      <c r="B29" s="170" t="s">
        <v>897</v>
      </c>
      <c r="C29" s="335" t="s">
        <v>319</v>
      </c>
      <c r="D29" s="335" t="s">
        <v>320</v>
      </c>
      <c r="E29" s="335" t="s">
        <v>898</v>
      </c>
      <c r="F29" s="337" t="s">
        <v>899</v>
      </c>
      <c r="G29" s="143"/>
    </row>
    <row r="30" spans="2:7">
      <c r="B30" s="308" t="str">
        <f>+EQUIPOS!A7</f>
        <v>Retroexcavadora de llantas</v>
      </c>
      <c r="C30" s="392" t="str">
        <f>+EQUIPOS!B7</f>
        <v>Hr</v>
      </c>
      <c r="D30" s="392">
        <v>0.125</v>
      </c>
      <c r="E30" s="408">
        <f>+EQUIPOS!C7</f>
        <v>131534</v>
      </c>
      <c r="F30" s="406">
        <f t="shared" ref="F30" si="0">+ROUND((D30*E30),0)</f>
        <v>16442</v>
      </c>
      <c r="G30" s="162"/>
    </row>
    <row r="31" spans="2:7" ht="15" thickBot="1">
      <c r="B31" s="178" t="s">
        <v>905</v>
      </c>
      <c r="C31" s="179" t="s">
        <v>906</v>
      </c>
      <c r="D31" s="180">
        <v>0.05</v>
      </c>
      <c r="E31" s="192">
        <f>+G27</f>
        <v>13088</v>
      </c>
      <c r="F31" s="193">
        <f>+ROUND((D31*E31),0)</f>
        <v>654</v>
      </c>
      <c r="G31" s="144"/>
    </row>
    <row r="32" spans="2:7" ht="15" thickBot="1">
      <c r="B32" s="183"/>
      <c r="C32" s="301">
        <f>+G32/$G$38</f>
        <v>0.25543486381090408</v>
      </c>
      <c r="D32" s="190"/>
      <c r="F32" s="212" t="s">
        <v>900</v>
      </c>
      <c r="G32" s="191">
        <f>+ROUND(SUM(F30:F31),0)</f>
        <v>17096</v>
      </c>
    </row>
    <row r="33" spans="2:7" ht="15" thickBot="1">
      <c r="B33" s="183" t="s">
        <v>922</v>
      </c>
    </row>
    <row r="34" spans="2:7">
      <c r="B34" s="170" t="s">
        <v>897</v>
      </c>
      <c r="C34" s="335" t="s">
        <v>319</v>
      </c>
      <c r="D34" s="335" t="s">
        <v>320</v>
      </c>
      <c r="E34" s="335" t="s">
        <v>898</v>
      </c>
      <c r="F34" s="337" t="s">
        <v>899</v>
      </c>
      <c r="G34" s="139"/>
    </row>
    <row r="35" spans="2:7" ht="15" thickBot="1">
      <c r="B35" s="178" t="s">
        <v>923</v>
      </c>
      <c r="C35" s="179" t="s">
        <v>924</v>
      </c>
      <c r="D35" s="180">
        <f>1*7*3</f>
        <v>21</v>
      </c>
      <c r="E35" s="192">
        <v>1749.75</v>
      </c>
      <c r="F35" s="193">
        <f>+D35*E35</f>
        <v>36744.75</v>
      </c>
      <c r="G35" s="142"/>
    </row>
    <row r="36" spans="2:7" ht="15" thickBot="1">
      <c r="C36" s="301">
        <f>+G36/$G$38</f>
        <v>0.54901462744101959</v>
      </c>
      <c r="F36" s="212" t="s">
        <v>900</v>
      </c>
      <c r="G36" s="214">
        <f>+ROUND(SUM(F35),0)</f>
        <v>36745</v>
      </c>
    </row>
    <row r="37" spans="2:7" ht="15" thickBot="1">
      <c r="F37" s="186"/>
      <c r="G37" s="194"/>
    </row>
    <row r="38" spans="2:7" ht="15" thickBot="1">
      <c r="B38" s="195"/>
      <c r="C38" s="196"/>
      <c r="D38" s="197" t="s">
        <v>908</v>
      </c>
      <c r="E38" s="198"/>
      <c r="F38" s="198"/>
      <c r="G38" s="153">
        <f>ROUNDUP(SUM(G18:G36),0)</f>
        <v>66929</v>
      </c>
    </row>
    <row r="39" spans="2:7">
      <c r="B39" s="199"/>
      <c r="C39" s="201"/>
      <c r="D39" s="253"/>
      <c r="E39" s="253"/>
      <c r="F39" s="253"/>
      <c r="G39" s="196"/>
    </row>
  </sheetData>
  <mergeCells count="12">
    <mergeCell ref="B13:G14"/>
    <mergeCell ref="C15:F15"/>
    <mergeCell ref="C16:F16"/>
    <mergeCell ref="B2:B6"/>
    <mergeCell ref="C2:G6"/>
    <mergeCell ref="B7:D12"/>
    <mergeCell ref="E7:E8"/>
    <mergeCell ref="F7:G8"/>
    <mergeCell ref="F9:G9"/>
    <mergeCell ref="F10:G10"/>
    <mergeCell ref="E11:E12"/>
    <mergeCell ref="F11:G12"/>
  </mergeCells>
  <pageMargins left="0.7" right="0.7" top="0.75" bottom="0.75" header="0.3" footer="0.3"/>
  <pageSetup scale="58" orientation="portrait" r:id="rId1"/>
  <rowBreaks count="1" manualBreakCount="1">
    <brk id="38" min="1" max="6"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E6B2AA-430C-4E3A-9432-12735B90A9F6}">
  <sheetPr>
    <tabColor theme="7" tint="0.79998168889431442"/>
  </sheetPr>
  <dimension ref="B1:G41"/>
  <sheetViews>
    <sheetView view="pageBreakPreview" topLeftCell="A4" zoomScale="80" zoomScaleNormal="70" zoomScaleSheetLayoutView="80" workbookViewId="0">
      <selection activeCell="B33" sqref="B33"/>
    </sheetView>
  </sheetViews>
  <sheetFormatPr baseColWidth="10" defaultColWidth="11.453125" defaultRowHeight="14.5"/>
  <cols>
    <col min="1" max="1" width="2.08984375" style="1" customWidth="1"/>
    <col min="2" max="2" width="46.81640625" style="151" customWidth="1"/>
    <col min="3" max="3" width="22.08984375" style="1" customWidth="1"/>
    <col min="4" max="4" width="20.81640625" style="1" customWidth="1"/>
    <col min="5" max="5" width="20.36328125" style="1" customWidth="1"/>
    <col min="6" max="6" width="23.36328125" style="1" customWidth="1"/>
    <col min="7" max="7" width="19.36328125" style="1" bestFit="1" customWidth="1"/>
    <col min="8" max="8" width="11.453125" style="1"/>
    <col min="9" max="10" width="15.6328125" style="1" bestFit="1" customWidth="1"/>
    <col min="11" max="11" width="16.6328125" style="1" bestFit="1" customWidth="1"/>
    <col min="12" max="16384" width="11.453125" style="1"/>
  </cols>
  <sheetData>
    <row r="1" spans="2:7" ht="15" thickBot="1"/>
    <row r="2" spans="2:7" ht="14.5" customHeight="1">
      <c r="B2" s="1721"/>
      <c r="C2" s="1770" t="s">
        <v>909</v>
      </c>
      <c r="D2" s="1770"/>
      <c r="E2" s="1770"/>
      <c r="F2" s="1770"/>
      <c r="G2" s="1771"/>
    </row>
    <row r="3" spans="2:7">
      <c r="B3" s="1722"/>
      <c r="C3" s="1772"/>
      <c r="D3" s="1772"/>
      <c r="E3" s="1772"/>
      <c r="F3" s="1772"/>
      <c r="G3" s="1773"/>
    </row>
    <row r="4" spans="2:7" ht="23" customHeight="1">
      <c r="B4" s="1722"/>
      <c r="C4" s="1772"/>
      <c r="D4" s="1772"/>
      <c r="E4" s="1772"/>
      <c r="F4" s="1772"/>
      <c r="G4" s="1773"/>
    </row>
    <row r="5" spans="2:7">
      <c r="B5" s="1722"/>
      <c r="C5" s="1772"/>
      <c r="D5" s="1772"/>
      <c r="E5" s="1772"/>
      <c r="F5" s="1772"/>
      <c r="G5" s="1773"/>
    </row>
    <row r="6" spans="2:7" ht="38" customHeight="1" thickBot="1">
      <c r="B6" s="1723"/>
      <c r="C6" s="1774"/>
      <c r="D6" s="1774"/>
      <c r="E6" s="1774"/>
      <c r="F6" s="1774"/>
      <c r="G6" s="1775"/>
    </row>
    <row r="7" spans="2:7" ht="14.5" customHeight="1">
      <c r="B7" s="1724" t="s">
        <v>890</v>
      </c>
      <c r="C7" s="1726"/>
      <c r="D7" s="1726"/>
      <c r="E7" s="1733" t="s">
        <v>891</v>
      </c>
      <c r="F7" s="1735"/>
      <c r="G7" s="1736"/>
    </row>
    <row r="8" spans="2:7">
      <c r="B8" s="1727"/>
      <c r="C8" s="1729"/>
      <c r="D8" s="1729"/>
      <c r="E8" s="1734"/>
      <c r="F8" s="1737"/>
      <c r="G8" s="1738"/>
    </row>
    <row r="9" spans="2:7">
      <c r="B9" s="1727"/>
      <c r="C9" s="1729"/>
      <c r="D9" s="1729"/>
      <c r="E9" s="332" t="s">
        <v>892</v>
      </c>
      <c r="F9" s="1739"/>
      <c r="G9" s="1740"/>
    </row>
    <row r="10" spans="2:7">
      <c r="B10" s="1727"/>
      <c r="C10" s="1729"/>
      <c r="D10" s="1729"/>
      <c r="E10" s="332" t="s">
        <v>893</v>
      </c>
      <c r="F10" s="1739"/>
      <c r="G10" s="1740"/>
    </row>
    <row r="11" spans="2:7">
      <c r="B11" s="1727"/>
      <c r="C11" s="1729"/>
      <c r="D11" s="1729"/>
      <c r="E11" s="1734" t="s">
        <v>894</v>
      </c>
      <c r="F11" s="1742"/>
      <c r="G11" s="1743"/>
    </row>
    <row r="12" spans="2:7" ht="15" thickBot="1">
      <c r="B12" s="1730"/>
      <c r="C12" s="1732"/>
      <c r="D12" s="1732"/>
      <c r="E12" s="1741"/>
      <c r="F12" s="1744"/>
      <c r="G12" s="1745"/>
    </row>
    <row r="13" spans="2:7" ht="14.5" customHeight="1">
      <c r="B13" s="1755" t="str">
        <f>+PRESUPUESTO!A2</f>
        <v>OBJETO: MEJORAMIENTO Y ADECUACIÓN DE LAS VIAS URBANAS DEL MUNICIPIO DE SANTA FE DE ANTIOQUIA</v>
      </c>
      <c r="C13" s="1757"/>
      <c r="D13" s="1757"/>
      <c r="E13" s="1757"/>
      <c r="F13" s="1757"/>
      <c r="G13" s="1758"/>
    </row>
    <row r="14" spans="2:7" ht="15" thickBot="1">
      <c r="B14" s="1759"/>
      <c r="C14" s="1761"/>
      <c r="D14" s="1761"/>
      <c r="E14" s="1761"/>
      <c r="F14" s="1761"/>
      <c r="G14" s="1762"/>
    </row>
    <row r="15" spans="2:7" ht="15" customHeight="1" thickBot="1">
      <c r="B15" s="167" t="s">
        <v>1</v>
      </c>
      <c r="C15" s="1763"/>
      <c r="D15" s="1763"/>
      <c r="E15" s="1763"/>
      <c r="F15" s="1763"/>
      <c r="G15" s="168" t="s">
        <v>193</v>
      </c>
    </row>
    <row r="16" spans="2:7" ht="15" thickBot="1">
      <c r="B16" s="62" t="s">
        <v>1774</v>
      </c>
      <c r="C16" s="1764" t="str">
        <f>+PRESUPUESTO!B10</f>
        <v>Confomacion de calzada existente despues de cajeo y al final de instalacio estructura pavimento</v>
      </c>
      <c r="D16" s="1765"/>
      <c r="E16" s="1765"/>
      <c r="F16" s="1765"/>
      <c r="G16" s="169" t="str">
        <f>+PRESUPUESTO!C10</f>
        <v>m2</v>
      </c>
    </row>
    <row r="17" spans="2:7" ht="15" thickBot="1">
      <c r="B17" s="338" t="s">
        <v>896</v>
      </c>
    </row>
    <row r="18" spans="2:7">
      <c r="B18" s="403" t="s">
        <v>897</v>
      </c>
      <c r="C18" s="335" t="s">
        <v>319</v>
      </c>
      <c r="D18" s="335" t="s">
        <v>320</v>
      </c>
      <c r="E18" s="335" t="s">
        <v>898</v>
      </c>
      <c r="F18" s="336" t="s">
        <v>899</v>
      </c>
      <c r="G18" s="139"/>
    </row>
    <row r="19" spans="2:7">
      <c r="B19" s="173" t="str">
        <f>+MATERIALES!B25</f>
        <v>Agua</v>
      </c>
      <c r="C19" s="174" t="str">
        <f>+MATERIALES!C25</f>
        <v>L</v>
      </c>
      <c r="D19" s="175">
        <v>0.28999999999999998</v>
      </c>
      <c r="E19" s="176">
        <f>+MATERIALES!D25</f>
        <v>500</v>
      </c>
      <c r="F19" s="177">
        <f>+ROUND((D19*E19),0)</f>
        <v>145</v>
      </c>
      <c r="G19" s="140"/>
    </row>
    <row r="20" spans="2:7">
      <c r="B20" s="173"/>
      <c r="C20" s="174"/>
      <c r="D20" s="175"/>
      <c r="E20" s="176"/>
      <c r="F20" s="177"/>
      <c r="G20" s="140"/>
    </row>
    <row r="21" spans="2:7">
      <c r="B21" s="173"/>
      <c r="C21" s="174"/>
      <c r="D21" s="175"/>
      <c r="E21" s="176"/>
      <c r="F21" s="177"/>
      <c r="G21" s="140"/>
    </row>
    <row r="22" spans="2:7" ht="15" thickBot="1">
      <c r="B22" s="178"/>
      <c r="C22" s="179"/>
      <c r="D22" s="180"/>
      <c r="E22" s="181"/>
      <c r="F22" s="182"/>
      <c r="G22" s="141"/>
    </row>
    <row r="23" spans="2:7" ht="15" thickBot="1">
      <c r="B23" s="183"/>
      <c r="C23" s="301">
        <f>+G23/$G$40</f>
        <v>6.4645563976816769E-2</v>
      </c>
      <c r="D23" s="185"/>
      <c r="E23" s="65"/>
      <c r="F23" s="212" t="s">
        <v>900</v>
      </c>
      <c r="G23" s="339">
        <f>+ROUND(SUM(F19:F22),0)</f>
        <v>145</v>
      </c>
    </row>
    <row r="24" spans="2:7" ht="15" thickBot="1">
      <c r="B24" s="183" t="s">
        <v>901</v>
      </c>
    </row>
    <row r="25" spans="2:7">
      <c r="B25" s="170" t="s">
        <v>897</v>
      </c>
      <c r="C25" s="335" t="s">
        <v>319</v>
      </c>
      <c r="D25" s="335" t="s">
        <v>320</v>
      </c>
      <c r="E25" s="335" t="s">
        <v>898</v>
      </c>
      <c r="F25" s="336" t="s">
        <v>899</v>
      </c>
      <c r="G25" s="139"/>
    </row>
    <row r="26" spans="2:7" ht="15" thickBot="1">
      <c r="B26" s="178" t="s">
        <v>925</v>
      </c>
      <c r="C26" s="179" t="s">
        <v>916</v>
      </c>
      <c r="D26" s="180">
        <v>3.0833333333333299E-4</v>
      </c>
      <c r="E26" s="181">
        <f>+'FP OPERATIVO'!F36</f>
        <v>302186.41694755561</v>
      </c>
      <c r="F26" s="182">
        <f>+ROUND((D26*E26),0)</f>
        <v>93</v>
      </c>
      <c r="G26" s="142"/>
    </row>
    <row r="27" spans="2:7" ht="15" thickBot="1">
      <c r="B27" s="183"/>
      <c r="C27" s="301">
        <f>+G27/$G$40</f>
        <v>4.1462327240303166E-2</v>
      </c>
      <c r="D27" s="190"/>
      <c r="F27" s="186" t="s">
        <v>900</v>
      </c>
      <c r="G27" s="214">
        <f>+ROUND(SUM(F26),0)</f>
        <v>93</v>
      </c>
    </row>
    <row r="28" spans="2:7" ht="15" thickBot="1">
      <c r="B28" s="183" t="s">
        <v>920</v>
      </c>
    </row>
    <row r="29" spans="2:7">
      <c r="B29" s="170" t="s">
        <v>897</v>
      </c>
      <c r="C29" s="335" t="s">
        <v>319</v>
      </c>
      <c r="D29" s="335" t="s">
        <v>320</v>
      </c>
      <c r="E29" s="335" t="s">
        <v>898</v>
      </c>
      <c r="F29" s="337" t="s">
        <v>899</v>
      </c>
      <c r="G29" s="143"/>
    </row>
    <row r="30" spans="2:7">
      <c r="B30" s="308" t="str">
        <f>+EQUIPOS!A11</f>
        <v>Motoniveladora 120hp</v>
      </c>
      <c r="C30" s="392" t="str">
        <f>+EQUIPOS!B11</f>
        <v>Hr</v>
      </c>
      <c r="D30" s="392">
        <f>1/250</f>
        <v>4.0000000000000001E-3</v>
      </c>
      <c r="E30" s="408">
        <f>+EQUIPOS!C11</f>
        <v>250000</v>
      </c>
      <c r="F30" s="406">
        <f t="shared" ref="F30:F32" si="0">+ROUND((D30*E30),0)</f>
        <v>1000</v>
      </c>
      <c r="G30" s="162"/>
    </row>
    <row r="31" spans="2:7">
      <c r="B31" s="410" t="str">
        <f>+EQUIPOS!A15</f>
        <v>Carrotanque de agua (1000 galones)</v>
      </c>
      <c r="C31" s="392" t="str">
        <f>+EQUIPOS!B15</f>
        <v>Hr</v>
      </c>
      <c r="D31" s="392">
        <f>1/250</f>
        <v>4.0000000000000001E-3</v>
      </c>
      <c r="E31" s="408">
        <f>+EQUIPOS!C15</f>
        <v>100000</v>
      </c>
      <c r="F31" s="406">
        <f t="shared" si="0"/>
        <v>400</v>
      </c>
      <c r="G31" s="162"/>
    </row>
    <row r="32" spans="2:7">
      <c r="B32" s="410" t="str">
        <f>+EQUIPOS!A12</f>
        <v xml:space="preserve">Vibrocompactador </v>
      </c>
      <c r="C32" s="392" t="str">
        <f>+EQUIPOS!B12</f>
        <v>Hr</v>
      </c>
      <c r="D32" s="392">
        <f>1/250</f>
        <v>4.0000000000000001E-3</v>
      </c>
      <c r="E32" s="408">
        <f>+EQUIPOS!C12</f>
        <v>150000</v>
      </c>
      <c r="F32" s="406">
        <f t="shared" si="0"/>
        <v>600</v>
      </c>
      <c r="G32" s="162"/>
    </row>
    <row r="33" spans="2:7" ht="15" thickBot="1">
      <c r="B33" s="178" t="s">
        <v>905</v>
      </c>
      <c r="C33" s="179" t="s">
        <v>906</v>
      </c>
      <c r="D33" s="180">
        <v>0.05</v>
      </c>
      <c r="E33" s="192">
        <f>+G27</f>
        <v>93</v>
      </c>
      <c r="F33" s="193">
        <f>+ROUND((D33*E33),0)</f>
        <v>5</v>
      </c>
      <c r="G33" s="144"/>
    </row>
    <row r="34" spans="2:7" ht="15" thickBot="1">
      <c r="B34" s="183"/>
      <c r="C34" s="301">
        <f>+G34/$G$40</f>
        <v>0.89389210878288006</v>
      </c>
      <c r="D34" s="190"/>
      <c r="F34" s="212" t="s">
        <v>900</v>
      </c>
      <c r="G34" s="191">
        <f>+ROUND(SUM(F30:F33),0)</f>
        <v>2005</v>
      </c>
    </row>
    <row r="35" spans="2:7" ht="15" thickBot="1">
      <c r="B35" s="183" t="s">
        <v>922</v>
      </c>
    </row>
    <row r="36" spans="2:7">
      <c r="B36" s="170" t="s">
        <v>897</v>
      </c>
      <c r="C36" s="335" t="s">
        <v>319</v>
      </c>
      <c r="D36" s="335" t="s">
        <v>320</v>
      </c>
      <c r="E36" s="335" t="s">
        <v>898</v>
      </c>
      <c r="F36" s="337" t="s">
        <v>899</v>
      </c>
      <c r="G36" s="139"/>
    </row>
    <row r="37" spans="2:7" ht="15" thickBot="1">
      <c r="B37" s="178"/>
      <c r="C37" s="179"/>
      <c r="D37" s="180"/>
      <c r="E37" s="192"/>
      <c r="F37" s="193"/>
      <c r="G37" s="142"/>
    </row>
    <row r="38" spans="2:7" ht="15" thickBot="1">
      <c r="C38" s="301">
        <f>+G38/$G$40</f>
        <v>0</v>
      </c>
      <c r="F38" s="212" t="s">
        <v>900</v>
      </c>
      <c r="G38" s="214">
        <f>+ROUND(SUM(F37),0)</f>
        <v>0</v>
      </c>
    </row>
    <row r="39" spans="2:7" ht="15" thickBot="1">
      <c r="F39" s="186"/>
      <c r="G39" s="194"/>
    </row>
    <row r="40" spans="2:7" ht="15" thickBot="1">
      <c r="B40" s="195"/>
      <c r="C40" s="196"/>
      <c r="D40" s="197" t="s">
        <v>908</v>
      </c>
      <c r="E40" s="198"/>
      <c r="F40" s="198"/>
      <c r="G40" s="153">
        <f>ROUNDUP(SUM(G18:G38),0)</f>
        <v>2243</v>
      </c>
    </row>
    <row r="41" spans="2:7">
      <c r="B41" s="199"/>
      <c r="C41" s="201"/>
      <c r="D41" s="253"/>
      <c r="E41" s="253"/>
      <c r="F41" s="253"/>
      <c r="G41" s="196"/>
    </row>
  </sheetData>
  <mergeCells count="12">
    <mergeCell ref="B13:G14"/>
    <mergeCell ref="C15:F15"/>
    <mergeCell ref="C16:F16"/>
    <mergeCell ref="B2:B6"/>
    <mergeCell ref="C2:G6"/>
    <mergeCell ref="B7:D12"/>
    <mergeCell ref="E7:E8"/>
    <mergeCell ref="F7:G8"/>
    <mergeCell ref="F9:G9"/>
    <mergeCell ref="F10:G10"/>
    <mergeCell ref="E11:E12"/>
    <mergeCell ref="F11:G12"/>
  </mergeCells>
  <pageMargins left="0.7" right="0.7" top="0.75" bottom="0.75" header="0.3" footer="0.3"/>
  <pageSetup scale="55" orientation="portrait" r:id="rId1"/>
  <rowBreaks count="1" manualBreakCount="1">
    <brk id="40" min="1" max="6"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C3BAAE-724E-4B4D-ABA0-49D1806143AE}">
  <sheetPr>
    <tabColor theme="7" tint="0.79998168889431442"/>
  </sheetPr>
  <dimension ref="B1:H41"/>
  <sheetViews>
    <sheetView view="pageBreakPreview" topLeftCell="A10" zoomScaleNormal="70" zoomScaleSheetLayoutView="100" workbookViewId="0">
      <selection activeCell="B20" sqref="B20:C20"/>
    </sheetView>
  </sheetViews>
  <sheetFormatPr baseColWidth="10" defaultColWidth="11.453125" defaultRowHeight="14.5"/>
  <cols>
    <col min="1" max="1" width="2.08984375" style="1" customWidth="1"/>
    <col min="2" max="2" width="46.81640625" style="151" customWidth="1"/>
    <col min="3" max="3" width="22.81640625" style="151" customWidth="1"/>
    <col min="4" max="4" width="22.08984375" style="1" customWidth="1"/>
    <col min="5" max="5" width="20.81640625" style="1" customWidth="1"/>
    <col min="6" max="6" width="20.36328125" style="1" customWidth="1"/>
    <col min="7" max="7" width="23.36328125" style="1" customWidth="1"/>
    <col min="8" max="8" width="19.36328125" style="1" bestFit="1" customWidth="1"/>
    <col min="9" max="9" width="11.453125" style="1"/>
    <col min="10" max="11" width="15.6328125" style="1" bestFit="1" customWidth="1"/>
    <col min="12" max="12" width="16.6328125" style="1" bestFit="1" customWidth="1"/>
    <col min="13" max="16384" width="11.453125" style="1"/>
  </cols>
  <sheetData>
    <row r="1" spans="2:8" ht="15" thickBot="1"/>
    <row r="2" spans="2:8" ht="14.5" customHeight="1">
      <c r="B2" s="1721"/>
      <c r="C2" s="1746" t="s">
        <v>909</v>
      </c>
      <c r="D2" s="1747"/>
      <c r="E2" s="1747"/>
      <c r="F2" s="1747"/>
      <c r="G2" s="1747"/>
      <c r="H2" s="1748"/>
    </row>
    <row r="3" spans="2:8">
      <c r="B3" s="1722"/>
      <c r="C3" s="1749"/>
      <c r="D3" s="1750"/>
      <c r="E3" s="1750"/>
      <c r="F3" s="1750"/>
      <c r="G3" s="1750"/>
      <c r="H3" s="1751"/>
    </row>
    <row r="4" spans="2:8" ht="23" customHeight="1">
      <c r="B4" s="1722"/>
      <c r="C4" s="1749"/>
      <c r="D4" s="1750"/>
      <c r="E4" s="1750"/>
      <c r="F4" s="1750"/>
      <c r="G4" s="1750"/>
      <c r="H4" s="1751"/>
    </row>
    <row r="5" spans="2:8">
      <c r="B5" s="1722"/>
      <c r="C5" s="1749"/>
      <c r="D5" s="1750"/>
      <c r="E5" s="1750"/>
      <c r="F5" s="1750"/>
      <c r="G5" s="1750"/>
      <c r="H5" s="1751"/>
    </row>
    <row r="6" spans="2:8" ht="38" customHeight="1" thickBot="1">
      <c r="B6" s="1723"/>
      <c r="C6" s="1752"/>
      <c r="D6" s="1753"/>
      <c r="E6" s="1753"/>
      <c r="F6" s="1753"/>
      <c r="G6" s="1753"/>
      <c r="H6" s="1754"/>
    </row>
    <row r="7" spans="2:8" ht="14.5" customHeight="1">
      <c r="B7" s="1724" t="s">
        <v>890</v>
      </c>
      <c r="C7" s="1725"/>
      <c r="D7" s="1726"/>
      <c r="E7" s="1726"/>
      <c r="F7" s="1733" t="s">
        <v>891</v>
      </c>
      <c r="G7" s="1735"/>
      <c r="H7" s="1736"/>
    </row>
    <row r="8" spans="2:8">
      <c r="B8" s="1727"/>
      <c r="C8" s="1728"/>
      <c r="D8" s="1729"/>
      <c r="E8" s="1729"/>
      <c r="F8" s="1734"/>
      <c r="G8" s="1737"/>
      <c r="H8" s="1738"/>
    </row>
    <row r="9" spans="2:8">
      <c r="B9" s="1727"/>
      <c r="C9" s="1728"/>
      <c r="D9" s="1729"/>
      <c r="E9" s="1729"/>
      <c r="F9" s="332" t="s">
        <v>892</v>
      </c>
      <c r="G9" s="1739"/>
      <c r="H9" s="1740"/>
    </row>
    <row r="10" spans="2:8">
      <c r="B10" s="1727"/>
      <c r="C10" s="1728"/>
      <c r="D10" s="1729"/>
      <c r="E10" s="1729"/>
      <c r="F10" s="332" t="s">
        <v>893</v>
      </c>
      <c r="G10" s="1739"/>
      <c r="H10" s="1740"/>
    </row>
    <row r="11" spans="2:8">
      <c r="B11" s="1727"/>
      <c r="C11" s="1728"/>
      <c r="D11" s="1729"/>
      <c r="E11" s="1729"/>
      <c r="F11" s="1734" t="s">
        <v>894</v>
      </c>
      <c r="G11" s="1742"/>
      <c r="H11" s="1743"/>
    </row>
    <row r="12" spans="2:8" ht="15" thickBot="1">
      <c r="B12" s="1730"/>
      <c r="C12" s="1731"/>
      <c r="D12" s="1732"/>
      <c r="E12" s="1732"/>
      <c r="F12" s="1741"/>
      <c r="G12" s="1744"/>
      <c r="H12" s="1745"/>
    </row>
    <row r="13" spans="2:8" ht="14.5" customHeight="1">
      <c r="B13" s="1755" t="str">
        <f>+PRESUPUESTO!A2</f>
        <v>OBJETO: MEJORAMIENTO Y ADECUACIÓN DE LAS VIAS URBANAS DEL MUNICIPIO DE SANTA FE DE ANTIOQUIA</v>
      </c>
      <c r="C13" s="1756"/>
      <c r="D13" s="1757"/>
      <c r="E13" s="1757"/>
      <c r="F13" s="1757"/>
      <c r="G13" s="1757"/>
      <c r="H13" s="1758"/>
    </row>
    <row r="14" spans="2:8" ht="15" thickBot="1">
      <c r="B14" s="1759"/>
      <c r="C14" s="1760"/>
      <c r="D14" s="1761"/>
      <c r="E14" s="1761"/>
      <c r="F14" s="1761"/>
      <c r="G14" s="1761"/>
      <c r="H14" s="1762"/>
    </row>
    <row r="15" spans="2:8" ht="15" customHeight="1" thickBot="1">
      <c r="B15" s="167" t="s">
        <v>1</v>
      </c>
      <c r="C15" s="393"/>
      <c r="D15" s="1763"/>
      <c r="E15" s="1763"/>
      <c r="F15" s="1763"/>
      <c r="G15" s="1763"/>
      <c r="H15" s="168" t="s">
        <v>193</v>
      </c>
    </row>
    <row r="16" spans="2:8" ht="69" customHeight="1" thickBot="1">
      <c r="B16" s="62" t="s">
        <v>1811</v>
      </c>
      <c r="C16" s="1778" t="str">
        <f>+PRESUPUESTO!B11</f>
        <v>Suministro, transporte y colocación de base granular de máximo Ø 1½", reacomodado con medios mecánicos y compactado al  100% mínimo del ensayo del proctor modificado, según normas para la construcción de pavimentos, y todo lo necesario para su correcta construcción y funcionamiento Su medida sera tomada en sitio ya compactado, debe cumplir con los requisitos de invias 301</v>
      </c>
      <c r="D16" s="1779"/>
      <c r="E16" s="1779"/>
      <c r="F16" s="1779"/>
      <c r="G16" s="1780"/>
      <c r="H16" s="169" t="str">
        <f>+PRESUPUESTO!C11</f>
        <v>m³</v>
      </c>
    </row>
    <row r="17" spans="2:8" ht="15" thickBot="1">
      <c r="B17" s="338" t="s">
        <v>896</v>
      </c>
      <c r="C17" s="338"/>
    </row>
    <row r="18" spans="2:8">
      <c r="B18" s="1781" t="s">
        <v>897</v>
      </c>
      <c r="C18" s="1782"/>
      <c r="D18" s="335" t="s">
        <v>319</v>
      </c>
      <c r="E18" s="335" t="s">
        <v>320</v>
      </c>
      <c r="F18" s="335" t="s">
        <v>898</v>
      </c>
      <c r="G18" s="336" t="s">
        <v>899</v>
      </c>
      <c r="H18" s="139"/>
    </row>
    <row r="19" spans="2:8">
      <c r="B19" s="1711" t="str">
        <f>+MATERIALES!B25</f>
        <v>Agua</v>
      </c>
      <c r="C19" s="1712"/>
      <c r="D19" s="174" t="str">
        <f>+MATERIALES!C25</f>
        <v>L</v>
      </c>
      <c r="E19" s="175">
        <v>0.28999999999999998</v>
      </c>
      <c r="F19" s="176">
        <f>+MATERIALES!D25</f>
        <v>500</v>
      </c>
      <c r="G19" s="177">
        <f>+ROUND((E19*F19),0)</f>
        <v>145</v>
      </c>
      <c r="H19" s="140"/>
    </row>
    <row r="20" spans="2:8">
      <c r="B20" s="1711" t="str">
        <f>+MATERIALES!B13</f>
        <v>Base granular</v>
      </c>
      <c r="C20" s="1712"/>
      <c r="D20" s="174" t="str">
        <f>+MATERIALES!C14</f>
        <v>m3</v>
      </c>
      <c r="E20" s="175">
        <v>1.25</v>
      </c>
      <c r="F20" s="176">
        <v>112500</v>
      </c>
      <c r="G20" s="177">
        <f>+ROUND((E20*F20),0)</f>
        <v>140625</v>
      </c>
      <c r="H20" s="140"/>
    </row>
    <row r="21" spans="2:8">
      <c r="B21" s="1711"/>
      <c r="C21" s="1712"/>
      <c r="D21" s="174"/>
      <c r="E21" s="175"/>
      <c r="F21" s="176"/>
      <c r="G21" s="177"/>
      <c r="H21" s="140"/>
    </row>
    <row r="22" spans="2:8" ht="15" thickBot="1">
      <c r="B22" s="1717"/>
      <c r="C22" s="1718"/>
      <c r="D22" s="179"/>
      <c r="E22" s="180"/>
      <c r="F22" s="181"/>
      <c r="G22" s="182"/>
      <c r="H22" s="141"/>
    </row>
    <row r="23" spans="2:8" ht="15" thickBot="1">
      <c r="B23" s="183"/>
      <c r="C23" s="183"/>
      <c r="D23" s="301">
        <f>+H23/$H$40</f>
        <v>0.3328793102632861</v>
      </c>
      <c r="E23" s="185"/>
      <c r="F23" s="65"/>
      <c r="G23" s="212" t="s">
        <v>900</v>
      </c>
      <c r="H23" s="339">
        <f>+ROUND(SUM(G19:G22),0)</f>
        <v>140770</v>
      </c>
    </row>
    <row r="24" spans="2:8" ht="15" thickBot="1">
      <c r="B24" s="183" t="s">
        <v>901</v>
      </c>
      <c r="C24" s="183"/>
    </row>
    <row r="25" spans="2:8">
      <c r="B25" s="1776" t="s">
        <v>897</v>
      </c>
      <c r="C25" s="1777"/>
      <c r="D25" s="335" t="s">
        <v>319</v>
      </c>
      <c r="E25" s="335" t="s">
        <v>320</v>
      </c>
      <c r="F25" s="335" t="s">
        <v>898</v>
      </c>
      <c r="G25" s="336" t="s">
        <v>899</v>
      </c>
      <c r="H25" s="139"/>
    </row>
    <row r="26" spans="2:8" ht="15" thickBot="1">
      <c r="B26" s="1717" t="s">
        <v>925</v>
      </c>
      <c r="C26" s="1718"/>
      <c r="D26" s="179" t="s">
        <v>916</v>
      </c>
      <c r="E26" s="180">
        <v>2.5000000000000001E-2</v>
      </c>
      <c r="F26" s="181">
        <f>+'FP OPERATIVO'!F36</f>
        <v>302186.41694755561</v>
      </c>
      <c r="G26" s="182">
        <f>+ROUND((E26*F26),0)</f>
        <v>7555</v>
      </c>
      <c r="H26" s="142"/>
    </row>
    <row r="27" spans="2:8" ht="15" thickBot="1">
      <c r="B27" s="183"/>
      <c r="C27" s="183"/>
      <c r="D27" s="301">
        <f>+H27/$H$40</f>
        <v>1.7865334865661196E-2</v>
      </c>
      <c r="E27" s="190"/>
      <c r="G27" s="186" t="s">
        <v>900</v>
      </c>
      <c r="H27" s="214">
        <f>+ROUND(SUM(G26),0)</f>
        <v>7555</v>
      </c>
    </row>
    <row r="28" spans="2:8" ht="15" thickBot="1">
      <c r="B28" s="183" t="s">
        <v>920</v>
      </c>
      <c r="C28" s="183"/>
    </row>
    <row r="29" spans="2:8">
      <c r="B29" s="1776" t="s">
        <v>897</v>
      </c>
      <c r="C29" s="1777"/>
      <c r="D29" s="335" t="s">
        <v>319</v>
      </c>
      <c r="E29" s="335" t="s">
        <v>320</v>
      </c>
      <c r="F29" s="335" t="s">
        <v>898</v>
      </c>
      <c r="G29" s="337" t="s">
        <v>899</v>
      </c>
      <c r="H29" s="143"/>
    </row>
    <row r="30" spans="2:8">
      <c r="B30" s="1715" t="str">
        <f>+EQUIPOS!A11</f>
        <v>Motoniveladora 120hp</v>
      </c>
      <c r="C30" s="1716"/>
      <c r="D30" s="392" t="str">
        <f>+EQUIPOS!B11</f>
        <v>Hr</v>
      </c>
      <c r="E30" s="392">
        <f>1/65.08</f>
        <v>1.5365703749231715E-2</v>
      </c>
      <c r="F30" s="408">
        <f>+EQUIPOS!C11</f>
        <v>250000</v>
      </c>
      <c r="G30" s="406">
        <f t="shared" ref="G30:G32" si="0">+ROUND((E30*F30),0)</f>
        <v>3841</v>
      </c>
      <c r="H30" s="162"/>
    </row>
    <row r="31" spans="2:8">
      <c r="B31" s="1715" t="str">
        <f>+EQUIPOS!A15</f>
        <v>Carrotanque de agua (1000 galones)</v>
      </c>
      <c r="C31" s="1716"/>
      <c r="D31" s="392" t="str">
        <f>+EQUIPOS!B15</f>
        <v>Hr</v>
      </c>
      <c r="E31" s="392">
        <f>1/65.08</f>
        <v>1.5365703749231715E-2</v>
      </c>
      <c r="F31" s="408">
        <f>+EQUIPOS!C15</f>
        <v>100000</v>
      </c>
      <c r="G31" s="406">
        <f t="shared" si="0"/>
        <v>1537</v>
      </c>
      <c r="H31" s="162"/>
    </row>
    <row r="32" spans="2:8">
      <c r="B32" s="1715" t="str">
        <f>+EQUIPOS!A12</f>
        <v xml:space="preserve">Vibrocompactador </v>
      </c>
      <c r="C32" s="1716"/>
      <c r="D32" s="392" t="str">
        <f>+EQUIPOS!B12</f>
        <v>Hr</v>
      </c>
      <c r="E32" s="392">
        <f>1/65.08</f>
        <v>1.5365703749231715E-2</v>
      </c>
      <c r="F32" s="408">
        <f>+EQUIPOS!C12</f>
        <v>150000</v>
      </c>
      <c r="G32" s="406">
        <f t="shared" si="0"/>
        <v>2305</v>
      </c>
      <c r="H32" s="162"/>
    </row>
    <row r="33" spans="2:8" ht="15" thickBot="1">
      <c r="B33" s="1717" t="s">
        <v>905</v>
      </c>
      <c r="C33" s="1718"/>
      <c r="D33" s="179" t="s">
        <v>906</v>
      </c>
      <c r="E33" s="180">
        <v>0.05</v>
      </c>
      <c r="F33" s="192">
        <f>+H27</f>
        <v>7555</v>
      </c>
      <c r="G33" s="193">
        <f>+ROUND((E33*F33),0)</f>
        <v>378</v>
      </c>
      <c r="H33" s="144"/>
    </row>
    <row r="34" spans="2:8" ht="15" thickBot="1">
      <c r="B34" s="183"/>
      <c r="C34" s="183"/>
      <c r="D34" s="301">
        <f>+H34/$H$40</f>
        <v>1.9061874831514877E-2</v>
      </c>
      <c r="E34" s="190"/>
      <c r="G34" s="212" t="s">
        <v>900</v>
      </c>
      <c r="H34" s="191">
        <f>+ROUND(SUM(G30:G33),0)</f>
        <v>8061</v>
      </c>
    </row>
    <row r="35" spans="2:8" ht="15" thickBot="1">
      <c r="B35" s="183" t="s">
        <v>922</v>
      </c>
      <c r="C35" s="183"/>
    </row>
    <row r="36" spans="2:8">
      <c r="B36" s="415" t="s">
        <v>897</v>
      </c>
      <c r="C36" s="335" t="s">
        <v>319</v>
      </c>
      <c r="D36" s="335" t="s">
        <v>320</v>
      </c>
      <c r="E36" s="335" t="s">
        <v>926</v>
      </c>
      <c r="F36" s="335" t="s">
        <v>898</v>
      </c>
      <c r="G36" s="337" t="s">
        <v>899</v>
      </c>
      <c r="H36" s="139"/>
    </row>
    <row r="37" spans="2:8" ht="15" thickBot="1">
      <c r="B37" s="218" t="str">
        <f>+TRANSPORTES!B9</f>
        <v>Transporte de material de base y subbase</v>
      </c>
      <c r="C37" s="416" t="s">
        <v>924</v>
      </c>
      <c r="D37" s="179">
        <v>1.3</v>
      </c>
      <c r="E37" s="417">
        <v>41</v>
      </c>
      <c r="F37" s="192">
        <f>+TRANSPORTES!D9</f>
        <v>5000</v>
      </c>
      <c r="G37" s="193">
        <f>+D37*E37*F37</f>
        <v>266500</v>
      </c>
      <c r="H37" s="142"/>
    </row>
    <row r="38" spans="2:8" ht="15" thickBot="1">
      <c r="D38" s="301">
        <f>+H38/$H$40</f>
        <v>0.63019348003953779</v>
      </c>
      <c r="G38" s="212" t="s">
        <v>900</v>
      </c>
      <c r="H38" s="214">
        <f>+ROUND(SUM(G37),0)</f>
        <v>266500</v>
      </c>
    </row>
    <row r="39" spans="2:8" ht="15" thickBot="1">
      <c r="G39" s="186"/>
      <c r="H39" s="194"/>
    </row>
    <row r="40" spans="2:8" ht="15" thickBot="1">
      <c r="B40" s="195"/>
      <c r="C40" s="195"/>
      <c r="D40" s="196"/>
      <c r="E40" s="197" t="s">
        <v>908</v>
      </c>
      <c r="F40" s="198"/>
      <c r="G40" s="198"/>
      <c r="H40" s="153">
        <f>ROUNDUP(SUM(H18:H38),0)</f>
        <v>422886</v>
      </c>
    </row>
    <row r="41" spans="2:8">
      <c r="B41" s="199"/>
      <c r="C41" s="199"/>
      <c r="D41" s="201"/>
      <c r="E41" s="253"/>
      <c r="F41" s="253"/>
      <c r="G41" s="253"/>
      <c r="H41" s="196"/>
    </row>
  </sheetData>
  <mergeCells count="24">
    <mergeCell ref="B20:C20"/>
    <mergeCell ref="B2:B6"/>
    <mergeCell ref="C2:H6"/>
    <mergeCell ref="B7:E12"/>
    <mergeCell ref="F7:F8"/>
    <mergeCell ref="G7:H8"/>
    <mergeCell ref="G9:H9"/>
    <mergeCell ref="G10:H10"/>
    <mergeCell ref="F11:F12"/>
    <mergeCell ref="G11:H12"/>
    <mergeCell ref="B13:H14"/>
    <mergeCell ref="D15:G15"/>
    <mergeCell ref="C16:G16"/>
    <mergeCell ref="B18:C18"/>
    <mergeCell ref="B19:C19"/>
    <mergeCell ref="B31:C31"/>
    <mergeCell ref="B32:C32"/>
    <mergeCell ref="B33:C33"/>
    <mergeCell ref="B21:C21"/>
    <mergeCell ref="B22:C22"/>
    <mergeCell ref="B25:C25"/>
    <mergeCell ref="B26:C26"/>
    <mergeCell ref="B29:C29"/>
    <mergeCell ref="B30:C30"/>
  </mergeCells>
  <pageMargins left="0.7" right="0.7" top="0.75" bottom="0.75" header="0.3" footer="0.3"/>
  <pageSetup scale="51" orientation="portrait" r:id="rId1"/>
  <rowBreaks count="1" manualBreakCount="1">
    <brk id="40" min="1" max="6"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039377-0F1A-4D58-BADE-09A47099D305}">
  <sheetPr>
    <tabColor theme="7" tint="0.79998168889431442"/>
  </sheetPr>
  <dimension ref="B1:H46"/>
  <sheetViews>
    <sheetView view="pageBreakPreview" topLeftCell="B1" zoomScale="119" zoomScaleNormal="70" zoomScaleSheetLayoutView="80" workbookViewId="0">
      <selection activeCell="E6" sqref="E6"/>
    </sheetView>
  </sheetViews>
  <sheetFormatPr baseColWidth="10" defaultColWidth="11.453125" defaultRowHeight="14.5"/>
  <cols>
    <col min="1" max="1" width="2.08984375" style="1" customWidth="1"/>
    <col min="2" max="2" width="46.81640625" style="151" customWidth="1"/>
    <col min="3" max="3" width="22.81640625" style="151" customWidth="1"/>
    <col min="4" max="4" width="22.08984375" style="1" customWidth="1"/>
    <col min="5" max="5" width="20.81640625" style="1" customWidth="1"/>
    <col min="6" max="6" width="20.36328125" style="1" customWidth="1"/>
    <col min="7" max="7" width="23.36328125" style="1" customWidth="1"/>
    <col min="8" max="8" width="19.36328125" style="1" bestFit="1" customWidth="1"/>
    <col min="9" max="9" width="11.453125" style="1"/>
    <col min="10" max="11" width="15.6328125" style="1" bestFit="1" customWidth="1"/>
    <col min="12" max="12" width="16.6328125" style="1" bestFit="1" customWidth="1"/>
    <col min="13" max="16384" width="11.453125" style="1"/>
  </cols>
  <sheetData>
    <row r="1" spans="2:8" ht="15" thickBot="1"/>
    <row r="2" spans="2:8" ht="14.5" customHeight="1">
      <c r="B2" s="1721"/>
      <c r="C2" s="1746" t="s">
        <v>909</v>
      </c>
      <c r="D2" s="1747"/>
      <c r="E2" s="1747"/>
      <c r="F2" s="1747"/>
      <c r="G2" s="1747"/>
      <c r="H2" s="1748"/>
    </row>
    <row r="3" spans="2:8">
      <c r="B3" s="1722"/>
      <c r="C3" s="1749"/>
      <c r="D3" s="1750"/>
      <c r="E3" s="1750"/>
      <c r="F3" s="1750"/>
      <c r="G3" s="1750"/>
      <c r="H3" s="1751"/>
    </row>
    <row r="4" spans="2:8" ht="23" customHeight="1">
      <c r="B4" s="1722"/>
      <c r="C4" s="1749"/>
      <c r="D4" s="1750"/>
      <c r="E4" s="1750"/>
      <c r="F4" s="1750"/>
      <c r="G4" s="1750"/>
      <c r="H4" s="1751"/>
    </row>
    <row r="5" spans="2:8">
      <c r="B5" s="1722"/>
      <c r="C5" s="1749"/>
      <c r="D5" s="1750"/>
      <c r="E5" s="1750"/>
      <c r="F5" s="1750"/>
      <c r="G5" s="1750"/>
      <c r="H5" s="1751"/>
    </row>
    <row r="6" spans="2:8" ht="38" customHeight="1" thickBot="1">
      <c r="B6" s="1723"/>
      <c r="C6" s="1752"/>
      <c r="D6" s="1753"/>
      <c r="E6" s="1753"/>
      <c r="F6" s="1753"/>
      <c r="G6" s="1753"/>
      <c r="H6" s="1754"/>
    </row>
    <row r="7" spans="2:8" ht="14.5" customHeight="1">
      <c r="B7" s="1724" t="s">
        <v>890</v>
      </c>
      <c r="C7" s="1725"/>
      <c r="D7" s="1726"/>
      <c r="E7" s="1726"/>
      <c r="F7" s="1733" t="s">
        <v>891</v>
      </c>
      <c r="G7" s="1735"/>
      <c r="H7" s="1736"/>
    </row>
    <row r="8" spans="2:8">
      <c r="B8" s="1727"/>
      <c r="C8" s="1728"/>
      <c r="D8" s="1729"/>
      <c r="E8" s="1729"/>
      <c r="F8" s="1734"/>
      <c r="G8" s="1737"/>
      <c r="H8" s="1738"/>
    </row>
    <row r="9" spans="2:8">
      <c r="B9" s="1727"/>
      <c r="C9" s="1728"/>
      <c r="D9" s="1729"/>
      <c r="E9" s="1729"/>
      <c r="F9" s="332" t="s">
        <v>892</v>
      </c>
      <c r="G9" s="1739"/>
      <c r="H9" s="1740"/>
    </row>
    <row r="10" spans="2:8">
      <c r="B10" s="1727"/>
      <c r="C10" s="1728"/>
      <c r="D10" s="1729"/>
      <c r="E10" s="1729"/>
      <c r="F10" s="332" t="s">
        <v>893</v>
      </c>
      <c r="G10" s="1739"/>
      <c r="H10" s="1740"/>
    </row>
    <row r="11" spans="2:8">
      <c r="B11" s="1727"/>
      <c r="C11" s="1728"/>
      <c r="D11" s="1729"/>
      <c r="E11" s="1729"/>
      <c r="F11" s="1734" t="s">
        <v>894</v>
      </c>
      <c r="G11" s="1742"/>
      <c r="H11" s="1743"/>
    </row>
    <row r="12" spans="2:8" ht="15" thickBot="1">
      <c r="B12" s="1730"/>
      <c r="C12" s="1731"/>
      <c r="D12" s="1732"/>
      <c r="E12" s="1732"/>
      <c r="F12" s="1741"/>
      <c r="G12" s="1744"/>
      <c r="H12" s="1745"/>
    </row>
    <row r="13" spans="2:8" ht="14.5" customHeight="1">
      <c r="B13" s="1755" t="str">
        <f>+PRESUPUESTO!A2</f>
        <v>OBJETO: MEJORAMIENTO Y ADECUACIÓN DE LAS VIAS URBANAS DEL MUNICIPIO DE SANTA FE DE ANTIOQUIA</v>
      </c>
      <c r="C13" s="1756"/>
      <c r="D13" s="1757"/>
      <c r="E13" s="1757"/>
      <c r="F13" s="1757"/>
      <c r="G13" s="1757"/>
      <c r="H13" s="1758"/>
    </row>
    <row r="14" spans="2:8" ht="15" thickBot="1">
      <c r="B14" s="1759"/>
      <c r="C14" s="1760"/>
      <c r="D14" s="1761"/>
      <c r="E14" s="1761"/>
      <c r="F14" s="1761"/>
      <c r="G14" s="1761"/>
      <c r="H14" s="1762"/>
    </row>
    <row r="15" spans="2:8" ht="15" customHeight="1" thickBot="1">
      <c r="B15" s="167" t="s">
        <v>1</v>
      </c>
      <c r="C15" s="393"/>
      <c r="D15" s="1763"/>
      <c r="E15" s="1763"/>
      <c r="F15" s="1763"/>
      <c r="G15" s="1763"/>
      <c r="H15" s="168" t="s">
        <v>193</v>
      </c>
    </row>
    <row r="16" spans="2:8" ht="31.5" customHeight="1" thickBot="1">
      <c r="B16" s="62" t="s">
        <v>207</v>
      </c>
      <c r="C16" s="1778" t="str">
        <f>+PRESUPUESTO!B13</f>
        <v>Suministro, transporte y colocación de mezcla asfáltica en caliente MDC - 19. Compactada con medios mecánicos. Según normas para la construcción de pavimentos. Según Normas INVIAS.</v>
      </c>
      <c r="D16" s="1779"/>
      <c r="E16" s="1779"/>
      <c r="F16" s="1779"/>
      <c r="G16" s="1780"/>
      <c r="H16" s="169" t="str">
        <f>+PRESUPUESTO!C13</f>
        <v>m3</v>
      </c>
    </row>
    <row r="17" spans="2:8" ht="15" thickBot="1">
      <c r="B17" s="338" t="s">
        <v>896</v>
      </c>
      <c r="C17" s="338"/>
    </row>
    <row r="18" spans="2:8">
      <c r="B18" s="1781" t="s">
        <v>897</v>
      </c>
      <c r="C18" s="1782"/>
      <c r="D18" s="335" t="s">
        <v>319</v>
      </c>
      <c r="E18" s="335" t="s">
        <v>320</v>
      </c>
      <c r="F18" s="335" t="s">
        <v>898</v>
      </c>
      <c r="G18" s="336" t="s">
        <v>899</v>
      </c>
      <c r="H18" s="139"/>
    </row>
    <row r="19" spans="2:8">
      <c r="B19" s="1711" t="str">
        <f>+MATERIALES!B15</f>
        <v>Mezcla densa en caliente</v>
      </c>
      <c r="C19" s="1712"/>
      <c r="D19" s="174" t="str">
        <f>+MATERIALES!C15</f>
        <v>m3</v>
      </c>
      <c r="E19" s="175">
        <v>1.1000000000000001</v>
      </c>
      <c r="F19" s="176">
        <f>+MATERIALES!D15</f>
        <v>1220000</v>
      </c>
      <c r="G19" s="177">
        <f>+ROUND((E19*F19),0)</f>
        <v>1342000</v>
      </c>
      <c r="H19" s="140"/>
    </row>
    <row r="20" spans="2:8">
      <c r="B20" s="1711"/>
      <c r="C20" s="1712"/>
      <c r="D20" s="174"/>
      <c r="E20" s="175"/>
      <c r="F20" s="176"/>
      <c r="G20" s="177"/>
      <c r="H20" s="140"/>
    </row>
    <row r="21" spans="2:8">
      <c r="B21" s="1711"/>
      <c r="C21" s="1712"/>
      <c r="D21" s="174"/>
      <c r="E21" s="175"/>
      <c r="F21" s="176"/>
      <c r="G21" s="177"/>
      <c r="H21" s="140"/>
    </row>
    <row r="22" spans="2:8" ht="15" thickBot="1">
      <c r="B22" s="1717"/>
      <c r="C22" s="1718"/>
      <c r="D22" s="179"/>
      <c r="E22" s="180"/>
      <c r="F22" s="181"/>
      <c r="G22" s="182"/>
      <c r="H22" s="141"/>
    </row>
    <row r="23" spans="2:8" ht="15" thickBot="1">
      <c r="B23" s="183"/>
      <c r="C23" s="183"/>
      <c r="D23" s="301">
        <f>+H23/$H$45</f>
        <v>0.678541651182063</v>
      </c>
      <c r="E23" s="185"/>
      <c r="F23" s="65"/>
      <c r="G23" s="212" t="s">
        <v>900</v>
      </c>
      <c r="H23" s="339">
        <f>+ROUND(SUM(G19:G22),0)</f>
        <v>1342000</v>
      </c>
    </row>
    <row r="24" spans="2:8" ht="15" thickBot="1">
      <c r="B24" s="183" t="s">
        <v>901</v>
      </c>
      <c r="C24" s="183"/>
    </row>
    <row r="25" spans="2:8">
      <c r="B25" s="1776" t="s">
        <v>897</v>
      </c>
      <c r="C25" s="1777"/>
      <c r="D25" s="335" t="s">
        <v>319</v>
      </c>
      <c r="E25" s="335" t="s">
        <v>320</v>
      </c>
      <c r="F25" s="335" t="s">
        <v>898</v>
      </c>
      <c r="G25" s="337" t="s">
        <v>899</v>
      </c>
      <c r="H25" s="143"/>
    </row>
    <row r="26" spans="2:8">
      <c r="B26" s="1783" t="s">
        <v>928</v>
      </c>
      <c r="C26" s="1784"/>
      <c r="D26" s="392" t="s">
        <v>916</v>
      </c>
      <c r="E26" s="392">
        <f>1/6.6</f>
        <v>0.15151515151515152</v>
      </c>
      <c r="F26" s="408">
        <f>+'FP OPERATIVO'!F42</f>
        <v>190938.2033777778</v>
      </c>
      <c r="G26" s="425">
        <f>+E26*F26</f>
        <v>28930.030814814818</v>
      </c>
      <c r="H26" s="162"/>
    </row>
    <row r="27" spans="2:8">
      <c r="B27" s="1783" t="s">
        <v>929</v>
      </c>
      <c r="C27" s="1784"/>
      <c r="D27" s="392" t="s">
        <v>916</v>
      </c>
      <c r="E27" s="392">
        <f>1/6.6</f>
        <v>0.15151515151515152</v>
      </c>
      <c r="F27" s="408">
        <f>+'FP OPERATIVO'!F39</f>
        <v>104704.08071111111</v>
      </c>
      <c r="G27" s="425">
        <f>+E27*F27</f>
        <v>15864.254653198654</v>
      </c>
      <c r="H27" s="162"/>
    </row>
    <row r="28" spans="2:8" ht="15" thickBot="1">
      <c r="B28" s="1785" t="s">
        <v>930</v>
      </c>
      <c r="C28" s="1786"/>
      <c r="D28" s="179" t="s">
        <v>916</v>
      </c>
      <c r="E28" s="424">
        <f>1/6.6</f>
        <v>0.15151515151515152</v>
      </c>
      <c r="F28" s="181">
        <f>+'FP OPERATIVO'!F41</f>
        <v>363782.78195555561</v>
      </c>
      <c r="G28" s="189">
        <f>+E28*F28</f>
        <v>55118.603326599339</v>
      </c>
      <c r="H28" s="144"/>
    </row>
    <row r="29" spans="2:8" ht="15" thickBot="1">
      <c r="B29" s="183"/>
      <c r="C29" s="183"/>
      <c r="D29" s="301">
        <f>+H29/$H$45</f>
        <v>5.0517982112185889E-2</v>
      </c>
      <c r="E29" s="190"/>
      <c r="G29" s="186" t="s">
        <v>900</v>
      </c>
      <c r="H29" s="214">
        <f>+ROUND(SUM(G26:G28),0)</f>
        <v>99913</v>
      </c>
    </row>
    <row r="30" spans="2:8" ht="15" thickBot="1">
      <c r="B30" s="183" t="s">
        <v>920</v>
      </c>
      <c r="C30" s="183"/>
    </row>
    <row r="31" spans="2:8">
      <c r="B31" s="1776" t="s">
        <v>897</v>
      </c>
      <c r="C31" s="1777"/>
      <c r="D31" s="335" t="s">
        <v>319</v>
      </c>
      <c r="E31" s="335" t="s">
        <v>320</v>
      </c>
      <c r="F31" s="335" t="s">
        <v>898</v>
      </c>
      <c r="G31" s="337" t="s">
        <v>899</v>
      </c>
      <c r="H31" s="143"/>
    </row>
    <row r="32" spans="2:8">
      <c r="B32" s="1715" t="str">
        <f>+EQUIPOS!A21</f>
        <v>Compactador neumático de Potencia 70 HP, peso de 13 ton</v>
      </c>
      <c r="C32" s="1716"/>
      <c r="D32" s="392" t="str">
        <f>+EQUIPOS!B21</f>
        <v>Hr</v>
      </c>
      <c r="E32" s="418">
        <f>1/9.5</f>
        <v>0.10526315789473684</v>
      </c>
      <c r="F32" s="408">
        <f>+EQUIPOS!C21</f>
        <v>150000</v>
      </c>
      <c r="G32" s="406">
        <f t="shared" ref="G32:G34" si="0">+ROUND((E32*F32),0)</f>
        <v>15789</v>
      </c>
      <c r="H32" s="162"/>
    </row>
    <row r="33" spans="2:8">
      <c r="B33" s="1715" t="str">
        <f>+EQUIPOS!A22</f>
        <v>Compactador de Rodillo POTENCIA: 99HP, PESO: 8 ton</v>
      </c>
      <c r="C33" s="1716"/>
      <c r="D33" s="392" t="str">
        <f>+EQUIPOS!B22</f>
        <v>Hr</v>
      </c>
      <c r="E33" s="418">
        <f t="shared" ref="E33:E34" si="1">1/9.5</f>
        <v>0.10526315789473684</v>
      </c>
      <c r="F33" s="408">
        <f>+EQUIPOS!C22</f>
        <v>150000</v>
      </c>
      <c r="G33" s="406">
        <f t="shared" si="0"/>
        <v>15789</v>
      </c>
      <c r="H33" s="162"/>
    </row>
    <row r="34" spans="2:8">
      <c r="B34" s="1715" t="str">
        <f>+EQUIPOS!A13</f>
        <v>Finisher de Pavimento</v>
      </c>
      <c r="C34" s="1716"/>
      <c r="D34" s="392" t="str">
        <f>+EQUIPOS!B13</f>
        <v>Hr</v>
      </c>
      <c r="E34" s="418">
        <f t="shared" si="1"/>
        <v>0.10526315789473684</v>
      </c>
      <c r="F34" s="408">
        <f>+EQUIPOS!C13</f>
        <v>225000</v>
      </c>
      <c r="G34" s="406">
        <f t="shared" si="0"/>
        <v>23684</v>
      </c>
      <c r="H34" s="162"/>
    </row>
    <row r="35" spans="2:8" ht="15" thickBot="1">
      <c r="B35" s="1717" t="s">
        <v>905</v>
      </c>
      <c r="C35" s="1718"/>
      <c r="D35" s="179" t="s">
        <v>906</v>
      </c>
      <c r="E35" s="180">
        <v>0.05</v>
      </c>
      <c r="F35" s="192">
        <f>+H29</f>
        <v>99913</v>
      </c>
      <c r="G35" s="193">
        <f>+ROUND((E35*F35),0)</f>
        <v>4996</v>
      </c>
      <c r="H35" s="144"/>
    </row>
    <row r="36" spans="2:8" ht="15" thickBot="1">
      <c r="B36" s="183"/>
      <c r="C36" s="183"/>
      <c r="D36" s="301">
        <f>+H36/$H$45</f>
        <v>3.0467632501437223E-2</v>
      </c>
      <c r="E36" s="190"/>
      <c r="G36" s="212" t="s">
        <v>900</v>
      </c>
      <c r="H36" s="191">
        <f>+ROUND(SUM(G32:G35),0)</f>
        <v>60258</v>
      </c>
    </row>
    <row r="37" spans="2:8" ht="15" thickBot="1">
      <c r="B37" s="183" t="s">
        <v>922</v>
      </c>
      <c r="C37" s="183"/>
    </row>
    <row r="38" spans="2:8">
      <c r="B38" s="419" t="s">
        <v>897</v>
      </c>
      <c r="C38" s="335" t="s">
        <v>319</v>
      </c>
      <c r="D38" s="335" t="s">
        <v>320</v>
      </c>
      <c r="E38" s="335" t="s">
        <v>926</v>
      </c>
      <c r="F38" s="335" t="s">
        <v>898</v>
      </c>
      <c r="G38" s="337" t="s">
        <v>899</v>
      </c>
      <c r="H38" s="143"/>
    </row>
    <row r="39" spans="2:8">
      <c r="B39" s="426" t="str">
        <f>+TRANSPORTES!B22</f>
        <v>Transporte Mezcla asfaltica</v>
      </c>
      <c r="C39" s="427" t="str">
        <f>+TRANSPORTES!C22</f>
        <v>m3/km</v>
      </c>
      <c r="D39" s="427">
        <v>2.4</v>
      </c>
      <c r="E39" s="427">
        <v>55</v>
      </c>
      <c r="F39" s="428">
        <f>+TRANSPORTES!D22</f>
        <v>3300</v>
      </c>
      <c r="G39" s="429">
        <f>+D39*E39*F39</f>
        <v>435600</v>
      </c>
      <c r="H39" s="162"/>
    </row>
    <row r="40" spans="2:8">
      <c r="B40" s="420" t="str">
        <f>+TRANSPORTES!B19</f>
        <v>Transporte Finsher</v>
      </c>
      <c r="C40" s="392" t="str">
        <f>+TRANSPORTES!C18</f>
        <v>Viaje</v>
      </c>
      <c r="D40" s="392">
        <v>8.0000000000000002E-3</v>
      </c>
      <c r="E40" s="392"/>
      <c r="F40" s="399">
        <f>+TRANSPORTES!D19</f>
        <v>3000000</v>
      </c>
      <c r="G40" s="406">
        <f t="shared" ref="G40:G41" si="2">+D40*F40</f>
        <v>24000</v>
      </c>
      <c r="H40" s="162"/>
    </row>
    <row r="41" spans="2:8">
      <c r="B41" s="420" t="str">
        <f>+TRANSPORTES!B20</f>
        <v>Transporte Compactador de Rodillo</v>
      </c>
      <c r="C41" s="392" t="str">
        <f>+TRANSPORTES!C19</f>
        <v>Viaje</v>
      </c>
      <c r="D41" s="392">
        <v>8.0000000000000002E-3</v>
      </c>
      <c r="E41" s="392"/>
      <c r="F41" s="399">
        <f>+TRANSPORTES!D20</f>
        <v>1000000</v>
      </c>
      <c r="G41" s="406">
        <f t="shared" si="2"/>
        <v>8000</v>
      </c>
      <c r="H41" s="162"/>
    </row>
    <row r="42" spans="2:8" ht="15" thickBot="1">
      <c r="B42" s="421" t="str">
        <f>+TRANSPORTES!B21</f>
        <v>Transporte Compactador de Cilindro</v>
      </c>
      <c r="C42" s="416" t="s">
        <v>927</v>
      </c>
      <c r="D42" s="179">
        <v>8.0000000000000002E-3</v>
      </c>
      <c r="E42" s="417"/>
      <c r="F42" s="423">
        <f>+TRANSPORTES!D21</f>
        <v>1000000</v>
      </c>
      <c r="G42" s="422">
        <f>+D42*F42</f>
        <v>8000</v>
      </c>
      <c r="H42" s="144"/>
    </row>
    <row r="43" spans="2:8" ht="15" thickBot="1">
      <c r="D43" s="301">
        <f>+H43/$H$45</f>
        <v>0.24047273420431384</v>
      </c>
      <c r="G43" s="212" t="s">
        <v>900</v>
      </c>
      <c r="H43" s="214">
        <f>+ROUND(SUM(G39:G42),0)</f>
        <v>475600</v>
      </c>
    </row>
    <row r="44" spans="2:8" ht="15" thickBot="1">
      <c r="G44" s="186"/>
      <c r="H44" s="194"/>
    </row>
    <row r="45" spans="2:8" ht="15" thickBot="1">
      <c r="B45" s="195"/>
      <c r="C45" s="195"/>
      <c r="D45" s="196"/>
      <c r="E45" s="197" t="s">
        <v>908</v>
      </c>
      <c r="F45" s="198"/>
      <c r="G45" s="198"/>
      <c r="H45" s="153">
        <f>ROUNDUP(SUM(H18:H43),0)</f>
        <v>1977771</v>
      </c>
    </row>
    <row r="46" spans="2:8">
      <c r="B46" s="199"/>
      <c r="C46" s="199"/>
      <c r="D46" s="201"/>
      <c r="E46" s="253"/>
      <c r="F46" s="253"/>
      <c r="G46" s="253"/>
      <c r="H46" s="196"/>
    </row>
  </sheetData>
  <mergeCells count="26">
    <mergeCell ref="B20:C20"/>
    <mergeCell ref="B2:B6"/>
    <mergeCell ref="C2:H6"/>
    <mergeCell ref="B7:E12"/>
    <mergeCell ref="F7:F8"/>
    <mergeCell ref="G7:H8"/>
    <mergeCell ref="G9:H9"/>
    <mergeCell ref="G10:H10"/>
    <mergeCell ref="F11:F12"/>
    <mergeCell ref="G11:H12"/>
    <mergeCell ref="B13:H14"/>
    <mergeCell ref="D15:G15"/>
    <mergeCell ref="C16:G16"/>
    <mergeCell ref="B18:C18"/>
    <mergeCell ref="B19:C19"/>
    <mergeCell ref="B21:C21"/>
    <mergeCell ref="B22:C22"/>
    <mergeCell ref="B25:C25"/>
    <mergeCell ref="B28:C28"/>
    <mergeCell ref="B31:C31"/>
    <mergeCell ref="B33:C33"/>
    <mergeCell ref="B34:C34"/>
    <mergeCell ref="B35:C35"/>
    <mergeCell ref="B26:C26"/>
    <mergeCell ref="B27:C27"/>
    <mergeCell ref="B32:C32"/>
  </mergeCells>
  <pageMargins left="0.7" right="0.7" top="0.75" bottom="0.75" header="0.3" footer="0.3"/>
  <pageSetup scale="51" orientation="portrait" r:id="rId1"/>
  <rowBreaks count="1" manualBreakCount="1">
    <brk id="45" min="1" max="6"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602484-5C5C-4B43-98A5-917B8A3AD0D2}">
  <sheetPr>
    <tabColor theme="7" tint="0.79998168889431442"/>
  </sheetPr>
  <dimension ref="B1:H43"/>
  <sheetViews>
    <sheetView view="pageBreakPreview" topLeftCell="A9" zoomScale="80" zoomScaleNormal="70" zoomScaleSheetLayoutView="80" workbookViewId="0">
      <selection activeCell="E6" sqref="E6"/>
    </sheetView>
  </sheetViews>
  <sheetFormatPr baseColWidth="10" defaultColWidth="11.453125" defaultRowHeight="14.5"/>
  <cols>
    <col min="1" max="1" width="2.08984375" style="1" customWidth="1"/>
    <col min="2" max="2" width="46.81640625" style="151" customWidth="1"/>
    <col min="3" max="3" width="22.81640625" style="151" customWidth="1"/>
    <col min="4" max="4" width="22.08984375" style="1" customWidth="1"/>
    <col min="5" max="5" width="20.81640625" style="1" customWidth="1"/>
    <col min="6" max="6" width="20.36328125" style="1" customWidth="1"/>
    <col min="7" max="7" width="23.36328125" style="1" customWidth="1"/>
    <col min="8" max="8" width="19.36328125" style="1" bestFit="1" customWidth="1"/>
    <col min="9" max="9" width="11.453125" style="1"/>
    <col min="10" max="11" width="15.6328125" style="1" bestFit="1" customWidth="1"/>
    <col min="12" max="12" width="16.6328125" style="1" bestFit="1" customWidth="1"/>
    <col min="13" max="16384" width="11.453125" style="1"/>
  </cols>
  <sheetData>
    <row r="1" spans="2:8" ht="15" thickBot="1"/>
    <row r="2" spans="2:8" ht="14.5" customHeight="1">
      <c r="B2" s="1721"/>
      <c r="C2" s="1746" t="s">
        <v>909</v>
      </c>
      <c r="D2" s="1747"/>
      <c r="E2" s="1747"/>
      <c r="F2" s="1747"/>
      <c r="G2" s="1747"/>
      <c r="H2" s="1748"/>
    </row>
    <row r="3" spans="2:8">
      <c r="B3" s="1722"/>
      <c r="C3" s="1749"/>
      <c r="D3" s="1750"/>
      <c r="E3" s="1750"/>
      <c r="F3" s="1750"/>
      <c r="G3" s="1750"/>
      <c r="H3" s="1751"/>
    </row>
    <row r="4" spans="2:8" ht="23" customHeight="1">
      <c r="B4" s="1722"/>
      <c r="C4" s="1749"/>
      <c r="D4" s="1750"/>
      <c r="E4" s="1750"/>
      <c r="F4" s="1750"/>
      <c r="G4" s="1750"/>
      <c r="H4" s="1751"/>
    </row>
    <row r="5" spans="2:8">
      <c r="B5" s="1722"/>
      <c r="C5" s="1749"/>
      <c r="D5" s="1750"/>
      <c r="E5" s="1750"/>
      <c r="F5" s="1750"/>
      <c r="G5" s="1750"/>
      <c r="H5" s="1751"/>
    </row>
    <row r="6" spans="2:8" ht="38" customHeight="1" thickBot="1">
      <c r="B6" s="1723"/>
      <c r="C6" s="1752"/>
      <c r="D6" s="1753"/>
      <c r="E6" s="1753"/>
      <c r="F6" s="1753"/>
      <c r="G6" s="1753"/>
      <c r="H6" s="1754"/>
    </row>
    <row r="7" spans="2:8" ht="14.5" customHeight="1">
      <c r="B7" s="1724" t="s">
        <v>890</v>
      </c>
      <c r="C7" s="1725"/>
      <c r="D7" s="1726"/>
      <c r="E7" s="1726"/>
      <c r="F7" s="1733" t="s">
        <v>891</v>
      </c>
      <c r="G7" s="1735"/>
      <c r="H7" s="1736"/>
    </row>
    <row r="8" spans="2:8">
      <c r="B8" s="1727"/>
      <c r="C8" s="1728"/>
      <c r="D8" s="1729"/>
      <c r="E8" s="1729"/>
      <c r="F8" s="1734"/>
      <c r="G8" s="1737"/>
      <c r="H8" s="1738"/>
    </row>
    <row r="9" spans="2:8">
      <c r="B9" s="1727"/>
      <c r="C9" s="1728"/>
      <c r="D9" s="1729"/>
      <c r="E9" s="1729"/>
      <c r="F9" s="332" t="s">
        <v>892</v>
      </c>
      <c r="G9" s="1739"/>
      <c r="H9" s="1740"/>
    </row>
    <row r="10" spans="2:8">
      <c r="B10" s="1727"/>
      <c r="C10" s="1728"/>
      <c r="D10" s="1729"/>
      <c r="E10" s="1729"/>
      <c r="F10" s="332" t="s">
        <v>893</v>
      </c>
      <c r="G10" s="1739"/>
      <c r="H10" s="1740"/>
    </row>
    <row r="11" spans="2:8">
      <c r="B11" s="1727"/>
      <c r="C11" s="1728"/>
      <c r="D11" s="1729"/>
      <c r="E11" s="1729"/>
      <c r="F11" s="1734" t="s">
        <v>894</v>
      </c>
      <c r="G11" s="1742"/>
      <c r="H11" s="1743"/>
    </row>
    <row r="12" spans="2:8" ht="15" thickBot="1">
      <c r="B12" s="1730"/>
      <c r="C12" s="1731"/>
      <c r="D12" s="1732"/>
      <c r="E12" s="1732"/>
      <c r="F12" s="1741"/>
      <c r="G12" s="1744"/>
      <c r="H12" s="1745"/>
    </row>
    <row r="13" spans="2:8" ht="14.5" customHeight="1">
      <c r="B13" s="1755" t="str">
        <f>+PRESUPUESTO!A2</f>
        <v>OBJETO: MEJORAMIENTO Y ADECUACIÓN DE LAS VIAS URBANAS DEL MUNICIPIO DE SANTA FE DE ANTIOQUIA</v>
      </c>
      <c r="C13" s="1756"/>
      <c r="D13" s="1757"/>
      <c r="E13" s="1757"/>
      <c r="F13" s="1757"/>
      <c r="G13" s="1757"/>
      <c r="H13" s="1758"/>
    </row>
    <row r="14" spans="2:8" ht="15" thickBot="1">
      <c r="B14" s="1759"/>
      <c r="C14" s="1760"/>
      <c r="D14" s="1761"/>
      <c r="E14" s="1761"/>
      <c r="F14" s="1761"/>
      <c r="G14" s="1761"/>
      <c r="H14" s="1762"/>
    </row>
    <row r="15" spans="2:8" ht="15" customHeight="1" thickBot="1">
      <c r="B15" s="167" t="s">
        <v>1</v>
      </c>
      <c r="C15" s="393"/>
      <c r="D15" s="1763"/>
      <c r="E15" s="1763"/>
      <c r="F15" s="1763"/>
      <c r="G15" s="1763"/>
      <c r="H15" s="168" t="s">
        <v>193</v>
      </c>
    </row>
    <row r="16" spans="2:8" ht="31.5" customHeight="1" thickBot="1">
      <c r="B16" s="62" t="s">
        <v>209</v>
      </c>
      <c r="C16" s="1778" t="str">
        <f>+PRESUPUESTO!B14</f>
        <v>Suministro, transporte y colocación de emulsión asfáltica catiónica de rompimiento lento C.R.L. para imprimación de superficie a pavimentar. Incluye todo lo necesario para su correcta construcción y funcionamiento.</v>
      </c>
      <c r="D16" s="1779"/>
      <c r="E16" s="1779"/>
      <c r="F16" s="1779"/>
      <c r="G16" s="1780"/>
      <c r="H16" s="169" t="str">
        <f>+PRESUPUESTO!C14</f>
        <v>m2</v>
      </c>
    </row>
    <row r="17" spans="2:8" ht="15" thickBot="1">
      <c r="B17" s="338" t="s">
        <v>896</v>
      </c>
      <c r="C17" s="338"/>
    </row>
    <row r="18" spans="2:8">
      <c r="B18" s="1781" t="s">
        <v>897</v>
      </c>
      <c r="C18" s="1782"/>
      <c r="D18" s="335" t="s">
        <v>319</v>
      </c>
      <c r="E18" s="335" t="s">
        <v>320</v>
      </c>
      <c r="F18" s="335" t="s">
        <v>898</v>
      </c>
      <c r="G18" s="336" t="s">
        <v>899</v>
      </c>
      <c r="H18" s="139"/>
    </row>
    <row r="19" spans="2:8">
      <c r="B19" s="1711" t="str">
        <f>+MATERIALES!B16</f>
        <v>Emulsion Asfaltica CRL-0 o CRL-1</v>
      </c>
      <c r="C19" s="1712"/>
      <c r="D19" s="174" t="str">
        <f>+MATERIALES!C16</f>
        <v>gl</v>
      </c>
      <c r="E19" s="175">
        <v>0.4</v>
      </c>
      <c r="F19" s="176">
        <f>+MATERIALES!D16</f>
        <v>14000</v>
      </c>
      <c r="G19" s="177">
        <f>+ROUND((E19*F19),0)</f>
        <v>5600</v>
      </c>
      <c r="H19" s="140"/>
    </row>
    <row r="20" spans="2:8">
      <c r="B20" s="1711"/>
      <c r="C20" s="1712"/>
      <c r="D20" s="174"/>
      <c r="E20" s="175"/>
      <c r="F20" s="176"/>
      <c r="G20" s="177"/>
      <c r="H20" s="140"/>
    </row>
    <row r="21" spans="2:8">
      <c r="B21" s="1711"/>
      <c r="C21" s="1712"/>
      <c r="D21" s="174"/>
      <c r="E21" s="175"/>
      <c r="F21" s="176"/>
      <c r="G21" s="177"/>
      <c r="H21" s="140"/>
    </row>
    <row r="22" spans="2:8" ht="15" thickBot="1">
      <c r="B22" s="1717"/>
      <c r="C22" s="1718"/>
      <c r="D22" s="179"/>
      <c r="E22" s="180"/>
      <c r="F22" s="181"/>
      <c r="G22" s="182"/>
      <c r="H22" s="141"/>
    </row>
    <row r="23" spans="2:8" ht="15" thickBot="1">
      <c r="B23" s="183"/>
      <c r="C23" s="183"/>
      <c r="D23" s="301">
        <f>+H23/$H$42</f>
        <v>0.67543119044747313</v>
      </c>
      <c r="E23" s="185"/>
      <c r="F23" s="65"/>
      <c r="G23" s="212" t="s">
        <v>900</v>
      </c>
      <c r="H23" s="339">
        <f>+ROUND(SUM(G19:G22),0)</f>
        <v>5600</v>
      </c>
    </row>
    <row r="24" spans="2:8" ht="15" thickBot="1">
      <c r="B24" s="183" t="s">
        <v>901</v>
      </c>
      <c r="C24" s="183"/>
    </row>
    <row r="25" spans="2:8">
      <c r="B25" s="1776" t="s">
        <v>897</v>
      </c>
      <c r="C25" s="1777"/>
      <c r="D25" s="335" t="s">
        <v>319</v>
      </c>
      <c r="E25" s="335" t="s">
        <v>320</v>
      </c>
      <c r="F25" s="335" t="s">
        <v>898</v>
      </c>
      <c r="G25" s="337" t="s">
        <v>899</v>
      </c>
      <c r="H25" s="143"/>
    </row>
    <row r="26" spans="2:8">
      <c r="B26" s="1783" t="s">
        <v>931</v>
      </c>
      <c r="C26" s="1784"/>
      <c r="D26" s="392" t="s">
        <v>916</v>
      </c>
      <c r="E26" s="392">
        <f>1/100</f>
        <v>0.01</v>
      </c>
      <c r="F26" s="408">
        <f>+'FP OPERATIVO'!F40</f>
        <v>111248.2135697778</v>
      </c>
      <c r="G26" s="425">
        <f>+E26*F26</f>
        <v>1112.4821356977779</v>
      </c>
      <c r="H26" s="162"/>
    </row>
    <row r="27" spans="2:8" ht="15" thickBot="1">
      <c r="B27" s="183"/>
      <c r="C27" s="183"/>
      <c r="D27" s="301">
        <f>+H27/$H$42</f>
        <v>0.13412133638885537</v>
      </c>
      <c r="E27" s="190"/>
      <c r="G27" s="186" t="s">
        <v>900</v>
      </c>
      <c r="H27" s="214">
        <f>+ROUND(SUM(G26:G26),0)</f>
        <v>1112</v>
      </c>
    </row>
    <row r="28" spans="2:8" ht="15" thickBot="1">
      <c r="B28" s="183" t="s">
        <v>920</v>
      </c>
      <c r="C28" s="183"/>
    </row>
    <row r="29" spans="2:8">
      <c r="B29" s="1776" t="s">
        <v>897</v>
      </c>
      <c r="C29" s="1777"/>
      <c r="D29" s="335" t="s">
        <v>319</v>
      </c>
      <c r="E29" s="335" t="s">
        <v>320</v>
      </c>
      <c r="F29" s="335" t="s">
        <v>898</v>
      </c>
      <c r="G29" s="337" t="s">
        <v>899</v>
      </c>
      <c r="H29" s="143"/>
    </row>
    <row r="30" spans="2:8">
      <c r="B30" s="1715" t="str">
        <f>+EQUIPOS!A16</f>
        <v>Carro Irrigador</v>
      </c>
      <c r="C30" s="1716"/>
      <c r="D30" s="392" t="str">
        <f>+EQUIPOS!B21</f>
        <v>Hr</v>
      </c>
      <c r="E30" s="418">
        <v>6.6E-3</v>
      </c>
      <c r="F30" s="408">
        <f>+EQUIPOS!C16</f>
        <v>150000</v>
      </c>
      <c r="G30" s="406">
        <f t="shared" ref="G30" si="0">+ROUND((E30*F30),0)</f>
        <v>990</v>
      </c>
      <c r="H30" s="162"/>
    </row>
    <row r="31" spans="2:8">
      <c r="B31" s="1715" t="str">
        <f>+EQUIPOS!A17</f>
        <v>Compresor (barrido y soplador)</v>
      </c>
      <c r="C31" s="1716"/>
      <c r="D31" s="392" t="str">
        <f>+EQUIPOS!B22</f>
        <v>Hr</v>
      </c>
      <c r="E31" s="418">
        <v>6.6666666666700004E-3</v>
      </c>
      <c r="F31" s="408">
        <f>+EQUIPOS!C17</f>
        <v>80000</v>
      </c>
      <c r="G31" s="406">
        <f t="shared" ref="G31" si="1">+ROUND((E31*F31),0)</f>
        <v>533</v>
      </c>
      <c r="H31" s="162"/>
    </row>
    <row r="32" spans="2:8" ht="15" thickBot="1">
      <c r="B32" s="1717" t="s">
        <v>905</v>
      </c>
      <c r="C32" s="1718"/>
      <c r="D32" s="179" t="s">
        <v>906</v>
      </c>
      <c r="E32" s="180">
        <v>0.05</v>
      </c>
      <c r="F32" s="192">
        <f>+H27</f>
        <v>1112</v>
      </c>
      <c r="G32" s="193">
        <f>+ROUND((E32*F32),0)</f>
        <v>56</v>
      </c>
      <c r="H32" s="144"/>
    </row>
    <row r="33" spans="2:8" ht="15" thickBot="1">
      <c r="B33" s="183"/>
      <c r="C33" s="183"/>
      <c r="D33" s="301">
        <f>+H33/$H$42</f>
        <v>0.19044747316367144</v>
      </c>
      <c r="E33" s="190"/>
      <c r="G33" s="212" t="s">
        <v>900</v>
      </c>
      <c r="H33" s="191">
        <f>+ROUND(SUM(G30:G32),0)</f>
        <v>1579</v>
      </c>
    </row>
    <row r="34" spans="2:8" ht="15" thickBot="1">
      <c r="B34" s="183" t="s">
        <v>922</v>
      </c>
      <c r="C34" s="183"/>
    </row>
    <row r="35" spans="2:8">
      <c r="B35" s="419" t="s">
        <v>897</v>
      </c>
      <c r="C35" s="335" t="s">
        <v>319</v>
      </c>
      <c r="D35" s="335" t="s">
        <v>320</v>
      </c>
      <c r="E35" s="335" t="s">
        <v>926</v>
      </c>
      <c r="F35" s="335" t="s">
        <v>898</v>
      </c>
      <c r="G35" s="337" t="s">
        <v>899</v>
      </c>
      <c r="H35" s="143"/>
    </row>
    <row r="36" spans="2:8">
      <c r="B36" s="426"/>
      <c r="C36" s="427"/>
      <c r="D36" s="427"/>
      <c r="E36" s="427"/>
      <c r="F36" s="428"/>
      <c r="G36" s="429"/>
      <c r="H36" s="162"/>
    </row>
    <row r="37" spans="2:8">
      <c r="B37" s="420"/>
      <c r="C37" s="392"/>
      <c r="D37" s="392"/>
      <c r="E37" s="392"/>
      <c r="F37" s="399"/>
      <c r="G37" s="406"/>
      <c r="H37" s="162"/>
    </row>
    <row r="38" spans="2:8">
      <c r="B38" s="420"/>
      <c r="C38" s="392"/>
      <c r="D38" s="392"/>
      <c r="E38" s="392"/>
      <c r="F38" s="399"/>
      <c r="G38" s="406"/>
      <c r="H38" s="162"/>
    </row>
    <row r="39" spans="2:8" ht="15" thickBot="1">
      <c r="B39" s="421"/>
      <c r="C39" s="416"/>
      <c r="D39" s="179"/>
      <c r="E39" s="417"/>
      <c r="F39" s="423"/>
      <c r="G39" s="422"/>
      <c r="H39" s="144"/>
    </row>
    <row r="40" spans="2:8" ht="15" thickBot="1">
      <c r="D40" s="301">
        <f>+H40/$H$42</f>
        <v>0</v>
      </c>
      <c r="G40" s="212" t="s">
        <v>900</v>
      </c>
      <c r="H40" s="214">
        <f>+ROUND(SUM(G36:G39),0)</f>
        <v>0</v>
      </c>
    </row>
    <row r="41" spans="2:8" ht="15" thickBot="1">
      <c r="G41" s="186"/>
      <c r="H41" s="194"/>
    </row>
    <row r="42" spans="2:8" ht="15" thickBot="1">
      <c r="B42" s="195"/>
      <c r="C42" s="195"/>
      <c r="D42" s="196"/>
      <c r="E42" s="197" t="s">
        <v>908</v>
      </c>
      <c r="F42" s="198"/>
      <c r="G42" s="198"/>
      <c r="H42" s="153">
        <f>ROUNDUP(SUM(H18:H40),0)</f>
        <v>8291</v>
      </c>
    </row>
    <row r="43" spans="2:8">
      <c r="B43" s="199"/>
      <c r="C43" s="199"/>
      <c r="D43" s="201"/>
      <c r="E43" s="253"/>
      <c r="F43" s="253"/>
      <c r="G43" s="253"/>
      <c r="H43" s="196"/>
    </row>
  </sheetData>
  <mergeCells count="23">
    <mergeCell ref="B20:C20"/>
    <mergeCell ref="B2:B6"/>
    <mergeCell ref="C2:H6"/>
    <mergeCell ref="B7:E12"/>
    <mergeCell ref="F7:F8"/>
    <mergeCell ref="G7:H8"/>
    <mergeCell ref="G9:H9"/>
    <mergeCell ref="G10:H10"/>
    <mergeCell ref="F11:F12"/>
    <mergeCell ref="G11:H12"/>
    <mergeCell ref="B13:H14"/>
    <mergeCell ref="D15:G15"/>
    <mergeCell ref="C16:G16"/>
    <mergeCell ref="B18:C18"/>
    <mergeCell ref="B19:C19"/>
    <mergeCell ref="B29:C29"/>
    <mergeCell ref="B30:C30"/>
    <mergeCell ref="B32:C32"/>
    <mergeCell ref="B31:C31"/>
    <mergeCell ref="B21:C21"/>
    <mergeCell ref="B22:C22"/>
    <mergeCell ref="B25:C25"/>
    <mergeCell ref="B26:C26"/>
  </mergeCells>
  <pageMargins left="0.7" right="0.7" top="0.75" bottom="0.75" header="0.3" footer="0.3"/>
  <pageSetup scale="51" orientation="portrait" r:id="rId1"/>
  <rowBreaks count="1" manualBreakCount="1">
    <brk id="42" min="1" max="6"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B5774F-DC74-4569-89BB-44663CB4865B}">
  <sheetPr>
    <tabColor theme="7" tint="0.79998168889431442"/>
  </sheetPr>
  <dimension ref="B1:I43"/>
  <sheetViews>
    <sheetView view="pageBreakPreview" topLeftCell="A11" zoomScaleNormal="70" zoomScaleSheetLayoutView="100" workbookViewId="0">
      <selection activeCell="B19" sqref="B19:F19"/>
    </sheetView>
  </sheetViews>
  <sheetFormatPr baseColWidth="10" defaultColWidth="11.453125" defaultRowHeight="14.5"/>
  <cols>
    <col min="1" max="1" width="2.08984375" style="1" customWidth="1"/>
    <col min="2" max="2" width="46.81640625" style="151" customWidth="1"/>
    <col min="3" max="3" width="22.81640625" style="151" customWidth="1"/>
    <col min="4" max="4" width="22.08984375" style="1" customWidth="1"/>
    <col min="5" max="5" width="20.81640625" style="1" customWidth="1"/>
    <col min="6" max="6" width="20.36328125" style="1" customWidth="1"/>
    <col min="7" max="7" width="23.36328125" style="1" customWidth="1"/>
    <col min="8" max="8" width="19.36328125" style="1" bestFit="1" customWidth="1"/>
    <col min="9" max="9" width="11.453125" style="1"/>
    <col min="10" max="11" width="15.6328125" style="1" bestFit="1" customWidth="1"/>
    <col min="12" max="12" width="16.6328125" style="1" bestFit="1" customWidth="1"/>
    <col min="13" max="16384" width="11.453125" style="1"/>
  </cols>
  <sheetData>
    <row r="1" spans="2:8" ht="15" thickBot="1"/>
    <row r="2" spans="2:8" ht="14.5" customHeight="1">
      <c r="B2" s="1721"/>
      <c r="C2" s="1746" t="s">
        <v>909</v>
      </c>
      <c r="D2" s="1747"/>
      <c r="E2" s="1747"/>
      <c r="F2" s="1747"/>
      <c r="G2" s="1747"/>
      <c r="H2" s="1748"/>
    </row>
    <row r="3" spans="2:8">
      <c r="B3" s="1722"/>
      <c r="C3" s="1749"/>
      <c r="D3" s="1750"/>
      <c r="E3" s="1750"/>
      <c r="F3" s="1750"/>
      <c r="G3" s="1750"/>
      <c r="H3" s="1751"/>
    </row>
    <row r="4" spans="2:8" ht="23" customHeight="1">
      <c r="B4" s="1722"/>
      <c r="C4" s="1749"/>
      <c r="D4" s="1750"/>
      <c r="E4" s="1750"/>
      <c r="F4" s="1750"/>
      <c r="G4" s="1750"/>
      <c r="H4" s="1751"/>
    </row>
    <row r="5" spans="2:8">
      <c r="B5" s="1722"/>
      <c r="C5" s="1749"/>
      <c r="D5" s="1750"/>
      <c r="E5" s="1750"/>
      <c r="F5" s="1750"/>
      <c r="G5" s="1750"/>
      <c r="H5" s="1751"/>
    </row>
    <row r="6" spans="2:8" ht="38" customHeight="1" thickBot="1">
      <c r="B6" s="1723"/>
      <c r="C6" s="1752"/>
      <c r="D6" s="1753"/>
      <c r="E6" s="1753"/>
      <c r="F6" s="1753"/>
      <c r="G6" s="1753"/>
      <c r="H6" s="1754"/>
    </row>
    <row r="7" spans="2:8" ht="14.5" customHeight="1">
      <c r="B7" s="1724" t="s">
        <v>890</v>
      </c>
      <c r="C7" s="1725"/>
      <c r="D7" s="1726"/>
      <c r="E7" s="1726"/>
      <c r="F7" s="1733" t="s">
        <v>891</v>
      </c>
      <c r="G7" s="1735"/>
      <c r="H7" s="1736"/>
    </row>
    <row r="8" spans="2:8">
      <c r="B8" s="1727"/>
      <c r="C8" s="1728"/>
      <c r="D8" s="1729"/>
      <c r="E8" s="1729"/>
      <c r="F8" s="1734"/>
      <c r="G8" s="1737"/>
      <c r="H8" s="1738"/>
    </row>
    <row r="9" spans="2:8">
      <c r="B9" s="1727"/>
      <c r="C9" s="1728"/>
      <c r="D9" s="1729"/>
      <c r="E9" s="1729"/>
      <c r="F9" s="332" t="s">
        <v>892</v>
      </c>
      <c r="G9" s="1739"/>
      <c r="H9" s="1740"/>
    </row>
    <row r="10" spans="2:8">
      <c r="B10" s="1727"/>
      <c r="C10" s="1728"/>
      <c r="D10" s="1729"/>
      <c r="E10" s="1729"/>
      <c r="F10" s="332" t="s">
        <v>893</v>
      </c>
      <c r="G10" s="1739"/>
      <c r="H10" s="1740"/>
    </row>
    <row r="11" spans="2:8">
      <c r="B11" s="1727"/>
      <c r="C11" s="1728"/>
      <c r="D11" s="1729"/>
      <c r="E11" s="1729"/>
      <c r="F11" s="1734" t="s">
        <v>894</v>
      </c>
      <c r="G11" s="1742"/>
      <c r="H11" s="1743"/>
    </row>
    <row r="12" spans="2:8" ht="15" thickBot="1">
      <c r="B12" s="1730"/>
      <c r="C12" s="1731"/>
      <c r="D12" s="1732"/>
      <c r="E12" s="1732"/>
      <c r="F12" s="1741"/>
      <c r="G12" s="1744"/>
      <c r="H12" s="1745"/>
    </row>
    <row r="13" spans="2:8" ht="14.5" customHeight="1">
      <c r="B13" s="1755" t="str">
        <f>+PRESUPUESTO!A2</f>
        <v>OBJETO: MEJORAMIENTO Y ADECUACIÓN DE LAS VIAS URBANAS DEL MUNICIPIO DE SANTA FE DE ANTIOQUIA</v>
      </c>
      <c r="C13" s="1756"/>
      <c r="D13" s="1757"/>
      <c r="E13" s="1757"/>
      <c r="F13" s="1757"/>
      <c r="G13" s="1757"/>
      <c r="H13" s="1758"/>
    </row>
    <row r="14" spans="2:8" ht="15" thickBot="1">
      <c r="B14" s="1759"/>
      <c r="C14" s="1760"/>
      <c r="D14" s="1761"/>
      <c r="E14" s="1761"/>
      <c r="F14" s="1761"/>
      <c r="G14" s="1761"/>
      <c r="H14" s="1762"/>
    </row>
    <row r="15" spans="2:8" ht="15" customHeight="1" thickBot="1">
      <c r="B15" s="167" t="s">
        <v>1</v>
      </c>
      <c r="C15" s="393"/>
      <c r="D15" s="1763"/>
      <c r="E15" s="1763"/>
      <c r="F15" s="1763"/>
      <c r="G15" s="1763"/>
      <c r="H15" s="168" t="s">
        <v>193</v>
      </c>
    </row>
    <row r="16" spans="2:8" ht="64.5" customHeight="1" thickBot="1">
      <c r="B16" s="62" t="s">
        <v>212</v>
      </c>
      <c r="C16" s="1778" t="str">
        <f>+PRESUPUESTO!B16</f>
        <v xml:space="preserve">Concreto clase D (210 kg/cm2 ó 3000 PSI) - para anden </v>
      </c>
      <c r="D16" s="1779"/>
      <c r="E16" s="1779"/>
      <c r="F16" s="1779"/>
      <c r="G16" s="1780"/>
      <c r="H16" s="169" t="str">
        <f>+PRESUPUESTO!C16</f>
        <v>m3</v>
      </c>
    </row>
    <row r="17" spans="2:9" ht="15" thickBot="1">
      <c r="B17" s="338" t="s">
        <v>896</v>
      </c>
      <c r="C17" s="338"/>
    </row>
    <row r="18" spans="2:9">
      <c r="B18" s="1781" t="s">
        <v>897</v>
      </c>
      <c r="C18" s="1782"/>
      <c r="D18" s="335" t="s">
        <v>319</v>
      </c>
      <c r="E18" s="335" t="s">
        <v>320</v>
      </c>
      <c r="F18" s="335" t="s">
        <v>898</v>
      </c>
      <c r="G18" s="337" t="s">
        <v>899</v>
      </c>
      <c r="H18" s="139"/>
    </row>
    <row r="19" spans="2:9">
      <c r="B19" s="217" t="str">
        <f>+'CONCRETOS Y MORTERO'!B61</f>
        <v>Concreto 3.000 psi</v>
      </c>
      <c r="C19" s="1492"/>
      <c r="D19" s="174" t="str">
        <f>+'CONCRETOS Y MORTERO'!C64</f>
        <v>m³</v>
      </c>
      <c r="E19" s="175">
        <v>1.05</v>
      </c>
      <c r="F19" s="176">
        <f>+'CONCRETOS Y MORTERO'!G75</f>
        <v>591127</v>
      </c>
      <c r="G19" s="215">
        <f t="shared" ref="G19:G24" si="0">+ROUND((E19*F19),0)</f>
        <v>620683</v>
      </c>
      <c r="H19" s="140"/>
    </row>
    <row r="20" spans="2:9">
      <c r="B20" s="1711" t="str">
        <f>+MATERIALES!B40</f>
        <v>Formaleta MDF 1.83mX2.44m</v>
      </c>
      <c r="C20" s="1712"/>
      <c r="D20" s="174" t="str">
        <f>+MATERIALES!C40</f>
        <v>Und</v>
      </c>
      <c r="E20" s="175">
        <v>0.5</v>
      </c>
      <c r="F20" s="176">
        <f>+MATERIALES!D40</f>
        <v>275000</v>
      </c>
      <c r="G20" s="215">
        <f t="shared" si="0"/>
        <v>137500</v>
      </c>
      <c r="H20" s="140"/>
    </row>
    <row r="21" spans="2:9">
      <c r="B21" s="1711" t="str">
        <f>+MATERIALES!B20</f>
        <v>Larguero madera común 4cmx8cmx2.80m.</v>
      </c>
      <c r="C21" s="1712"/>
      <c r="D21" s="174" t="str">
        <f>+MATERIALES!C20</f>
        <v>Und</v>
      </c>
      <c r="E21" s="175">
        <v>2</v>
      </c>
      <c r="F21" s="176">
        <f>+MATERIALES!D20</f>
        <v>13500</v>
      </c>
      <c r="G21" s="215">
        <f t="shared" si="0"/>
        <v>27000</v>
      </c>
      <c r="H21" s="140"/>
    </row>
    <row r="22" spans="2:9">
      <c r="B22" s="1711" t="str">
        <f>+MATERIALES!B23</f>
        <v>Clavos 2"</v>
      </c>
      <c r="C22" s="1712"/>
      <c r="D22" s="174" t="str">
        <f>+MATERIALES!C23</f>
        <v>lb</v>
      </c>
      <c r="E22" s="175">
        <v>0.5</v>
      </c>
      <c r="F22" s="176">
        <f>+MATERIALES!D23</f>
        <v>5500</v>
      </c>
      <c r="G22" s="215">
        <f t="shared" si="0"/>
        <v>2750</v>
      </c>
      <c r="H22" s="140"/>
    </row>
    <row r="23" spans="2:9" ht="62.5" customHeight="1">
      <c r="B23" s="1711" t="str">
        <f>+MATERIALES!B44</f>
        <v>Separol o equivalente (Desmoldante para evitar adherencia de concretos a formaletas.Presentación 15Kg. Rendimiento metal :45g/m2 madera:55g/m2 (15 kg)). para metal puro, para madera diluir hasta 5 partes de agua segun porosidad de la madera.</v>
      </c>
      <c r="C23" s="1712"/>
      <c r="D23" s="174" t="str">
        <f>+MATERIALES!C44</f>
        <v>Und</v>
      </c>
      <c r="E23" s="175">
        <v>0.01</v>
      </c>
      <c r="F23" s="176">
        <f>+MATERIALES!D44</f>
        <v>380900</v>
      </c>
      <c r="G23" s="215">
        <f t="shared" si="0"/>
        <v>3809</v>
      </c>
      <c r="H23" s="140"/>
    </row>
    <row r="24" spans="2:9" ht="15" thickBot="1">
      <c r="B24" s="1717" t="str">
        <f>+MATERIALES!B30</f>
        <v>Antisol blanco</v>
      </c>
      <c r="C24" s="1718"/>
      <c r="D24" s="179" t="str">
        <f>+MATERIALES!C30</f>
        <v>kg</v>
      </c>
      <c r="E24" s="180">
        <v>0.5</v>
      </c>
      <c r="F24" s="181">
        <f>+MATERIALES!D30</f>
        <v>17500</v>
      </c>
      <c r="G24" s="189">
        <f t="shared" si="0"/>
        <v>8750</v>
      </c>
      <c r="H24" s="141"/>
    </row>
    <row r="25" spans="2:9" ht="15" thickBot="1">
      <c r="B25" s="183"/>
      <c r="C25" s="183"/>
      <c r="D25" s="301">
        <f>+H25/$H$42</f>
        <v>0.85566987167495978</v>
      </c>
      <c r="E25" s="185"/>
      <c r="F25" s="65"/>
      <c r="G25" s="212" t="s">
        <v>900</v>
      </c>
      <c r="H25" s="339">
        <f>+ROUND(SUM(G19:G24),0)</f>
        <v>800492</v>
      </c>
    </row>
    <row r="26" spans="2:9" ht="15" thickBot="1">
      <c r="B26" s="183" t="s">
        <v>901</v>
      </c>
      <c r="C26" s="183"/>
    </row>
    <row r="27" spans="2:9">
      <c r="B27" s="1776" t="s">
        <v>897</v>
      </c>
      <c r="C27" s="1777"/>
      <c r="D27" s="335" t="s">
        <v>319</v>
      </c>
      <c r="E27" s="335" t="s">
        <v>320</v>
      </c>
      <c r="F27" s="335" t="s">
        <v>898</v>
      </c>
      <c r="G27" s="337" t="s">
        <v>899</v>
      </c>
      <c r="H27" s="143"/>
    </row>
    <row r="28" spans="2:9">
      <c r="B28" s="1783" t="s">
        <v>932</v>
      </c>
      <c r="C28" s="1784"/>
      <c r="D28" s="392" t="s">
        <v>916</v>
      </c>
      <c r="E28" s="392">
        <f>1/6</f>
        <v>0.16666666666666666</v>
      </c>
      <c r="F28" s="408">
        <f>+'FP OPERATIVO'!F42+'FP OPERATIVO'!F39*5</f>
        <v>714458.60693333333</v>
      </c>
      <c r="G28" s="425">
        <f>+E28*F28</f>
        <v>119076.43448888889</v>
      </c>
      <c r="H28" s="162"/>
      <c r="I28" s="1">
        <f>1/E28</f>
        <v>6</v>
      </c>
    </row>
    <row r="29" spans="2:9">
      <c r="B29" s="1715"/>
      <c r="C29" s="1716"/>
      <c r="D29" s="392"/>
      <c r="E29" s="392"/>
      <c r="F29" s="408"/>
      <c r="G29" s="425"/>
      <c r="H29" s="162"/>
    </row>
    <row r="30" spans="2:9" ht="15" thickBot="1">
      <c r="B30" s="1717"/>
      <c r="C30" s="1718"/>
      <c r="D30" s="179"/>
      <c r="E30" s="424"/>
      <c r="F30" s="181"/>
      <c r="G30" s="189"/>
      <c r="H30" s="144"/>
    </row>
    <row r="31" spans="2:9" ht="15" thickBot="1">
      <c r="B31" s="183"/>
      <c r="C31" s="183"/>
      <c r="D31" s="301">
        <f>+H31/$H$42</f>
        <v>0.12728390244945298</v>
      </c>
      <c r="E31" s="190"/>
      <c r="G31" s="186" t="s">
        <v>900</v>
      </c>
      <c r="H31" s="214">
        <f>+ROUND(SUM(G28:G30),0)</f>
        <v>119076</v>
      </c>
    </row>
    <row r="32" spans="2:9" ht="15" thickBot="1">
      <c r="B32" s="183" t="s">
        <v>920</v>
      </c>
      <c r="C32" s="183"/>
    </row>
    <row r="33" spans="2:8">
      <c r="B33" s="1776" t="s">
        <v>897</v>
      </c>
      <c r="C33" s="1777"/>
      <c r="D33" s="335" t="s">
        <v>319</v>
      </c>
      <c r="E33" s="335" t="s">
        <v>320</v>
      </c>
      <c r="F33" s="335" t="s">
        <v>898</v>
      </c>
      <c r="G33" s="337" t="s">
        <v>899</v>
      </c>
      <c r="H33" s="143"/>
    </row>
    <row r="34" spans="2:8">
      <c r="B34" s="1787" t="str">
        <f>+EQUIPOS!A18</f>
        <v>Vibrador para concreto a gasolina</v>
      </c>
      <c r="C34" s="1788"/>
      <c r="D34" s="391" t="str">
        <f>+EQUIPOS!B18</f>
        <v>Día</v>
      </c>
      <c r="E34" s="391">
        <v>0.1</v>
      </c>
      <c r="F34" s="404">
        <f>+EQUIPOS!C18</f>
        <v>100000</v>
      </c>
      <c r="G34" s="405">
        <f>+ROUND((E34*F34),0)</f>
        <v>10000</v>
      </c>
      <c r="H34" s="162"/>
    </row>
    <row r="35" spans="2:8" ht="15" thickBot="1">
      <c r="B35" s="1717" t="s">
        <v>905</v>
      </c>
      <c r="C35" s="1718"/>
      <c r="D35" s="179" t="s">
        <v>906</v>
      </c>
      <c r="E35" s="180">
        <v>0.05</v>
      </c>
      <c r="F35" s="192">
        <f>+H31</f>
        <v>119076</v>
      </c>
      <c r="G35" s="193">
        <f>+ROUND((E35*F35),0)</f>
        <v>5954</v>
      </c>
      <c r="H35" s="144"/>
    </row>
    <row r="36" spans="2:8" ht="15" thickBot="1">
      <c r="B36" s="183"/>
      <c r="C36" s="183"/>
      <c r="D36" s="301">
        <f>+H36/$H$42</f>
        <v>6.3644089084621842E-3</v>
      </c>
      <c r="E36" s="190"/>
      <c r="G36" s="212" t="s">
        <v>900</v>
      </c>
      <c r="H36" s="191">
        <f>+ROUND(SUM(G35:G35),0)</f>
        <v>5954</v>
      </c>
    </row>
    <row r="37" spans="2:8" ht="15" thickBot="1">
      <c r="B37" s="183" t="s">
        <v>922</v>
      </c>
      <c r="C37" s="183"/>
    </row>
    <row r="38" spans="2:8">
      <c r="B38" s="419" t="s">
        <v>897</v>
      </c>
      <c r="C38" s="335" t="s">
        <v>319</v>
      </c>
      <c r="D38" s="335" t="s">
        <v>320</v>
      </c>
      <c r="E38" s="335" t="s">
        <v>926</v>
      </c>
      <c r="F38" s="335" t="s">
        <v>898</v>
      </c>
      <c r="G38" s="337" t="s">
        <v>899</v>
      </c>
      <c r="H38" s="143"/>
    </row>
    <row r="39" spans="2:8">
      <c r="B39" s="426" t="s">
        <v>933</v>
      </c>
      <c r="C39" s="427" t="s">
        <v>23</v>
      </c>
      <c r="D39" s="427">
        <v>1.2491000000000001</v>
      </c>
      <c r="E39" s="427"/>
      <c r="F39" s="428">
        <v>8000</v>
      </c>
      <c r="G39" s="429">
        <f>+D39*F39</f>
        <v>9992.8000000000011</v>
      </c>
      <c r="H39" s="162"/>
    </row>
    <row r="40" spans="2:8" ht="15" thickBot="1">
      <c r="D40" s="301">
        <f>+H40/$H$42</f>
        <v>1.0681816967125059E-2</v>
      </c>
      <c r="G40" s="212" t="s">
        <v>900</v>
      </c>
      <c r="H40" s="214">
        <f>+ROUND(SUM(G39:G39),0)</f>
        <v>9993</v>
      </c>
    </row>
    <row r="41" spans="2:8" ht="15" thickBot="1">
      <c r="G41" s="186"/>
      <c r="H41" s="194"/>
    </row>
    <row r="42" spans="2:8" ht="15" thickBot="1">
      <c r="B42" s="195"/>
      <c r="C42" s="195"/>
      <c r="D42" s="196"/>
      <c r="E42" s="197" t="s">
        <v>908</v>
      </c>
      <c r="F42" s="198"/>
      <c r="G42" s="198"/>
      <c r="H42" s="153">
        <f>ROUNDUP(SUM(H18:H40),0)</f>
        <v>935515</v>
      </c>
    </row>
    <row r="43" spans="2:8">
      <c r="B43" s="199"/>
      <c r="C43" s="199"/>
      <c r="D43" s="201"/>
      <c r="E43" s="253"/>
      <c r="F43" s="253"/>
      <c r="G43" s="253"/>
      <c r="H43" s="196"/>
    </row>
  </sheetData>
  <mergeCells count="25">
    <mergeCell ref="B2:B6"/>
    <mergeCell ref="C2:H6"/>
    <mergeCell ref="B7:E12"/>
    <mergeCell ref="F7:F8"/>
    <mergeCell ref="G7:H8"/>
    <mergeCell ref="G9:H9"/>
    <mergeCell ref="G10:H10"/>
    <mergeCell ref="F11:F12"/>
    <mergeCell ref="G11:H12"/>
    <mergeCell ref="B28:C28"/>
    <mergeCell ref="B13:H14"/>
    <mergeCell ref="D15:G15"/>
    <mergeCell ref="C16:G16"/>
    <mergeCell ref="B18:C18"/>
    <mergeCell ref="B20:C20"/>
    <mergeCell ref="B21:C21"/>
    <mergeCell ref="B23:C23"/>
    <mergeCell ref="B22:C22"/>
    <mergeCell ref="B24:C24"/>
    <mergeCell ref="B27:C27"/>
    <mergeCell ref="B33:C33"/>
    <mergeCell ref="B35:C35"/>
    <mergeCell ref="B30:C30"/>
    <mergeCell ref="B29:C29"/>
    <mergeCell ref="B34:C34"/>
  </mergeCells>
  <pageMargins left="0.7" right="0.7" top="0.75" bottom="0.75" header="0.3" footer="0.3"/>
  <pageSetup scale="51" orientation="portrait" r:id="rId1"/>
  <rowBreaks count="1" manualBreakCount="1">
    <brk id="42" min="1" max="6"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7ED6FC-A4C2-467C-B78B-88C3A3484483}">
  <sheetPr>
    <tabColor theme="7" tint="0.79998168889431442"/>
  </sheetPr>
  <dimension ref="B1:H43"/>
  <sheetViews>
    <sheetView view="pageBreakPreview" topLeftCell="A10" zoomScale="80" zoomScaleNormal="70" zoomScaleSheetLayoutView="80" workbookViewId="0">
      <selection activeCell="C2" sqref="C2:H6"/>
    </sheetView>
  </sheetViews>
  <sheetFormatPr baseColWidth="10" defaultColWidth="11.453125" defaultRowHeight="14.5"/>
  <cols>
    <col min="1" max="1" width="2.08984375" style="1" customWidth="1"/>
    <col min="2" max="2" width="46.81640625" style="151" customWidth="1"/>
    <col min="3" max="3" width="22.81640625" style="151" customWidth="1"/>
    <col min="4" max="4" width="22.08984375" style="1" customWidth="1"/>
    <col min="5" max="5" width="20.81640625" style="1" customWidth="1"/>
    <col min="6" max="6" width="20.36328125" style="1" customWidth="1"/>
    <col min="7" max="7" width="23.36328125" style="1" customWidth="1"/>
    <col min="8" max="8" width="19.36328125" style="1" bestFit="1" customWidth="1"/>
    <col min="9" max="9" width="11.453125" style="1"/>
    <col min="10" max="11" width="15.6328125" style="1" bestFit="1" customWidth="1"/>
    <col min="12" max="12" width="16.6328125" style="1" bestFit="1" customWidth="1"/>
    <col min="13" max="16384" width="11.453125" style="1"/>
  </cols>
  <sheetData>
    <row r="1" spans="2:8" ht="15" thickBot="1"/>
    <row r="2" spans="2:8" ht="14.5" customHeight="1">
      <c r="B2" s="1721"/>
      <c r="C2" s="1746" t="s">
        <v>909</v>
      </c>
      <c r="D2" s="1747"/>
      <c r="E2" s="1747"/>
      <c r="F2" s="1747"/>
      <c r="G2" s="1747"/>
      <c r="H2" s="1748"/>
    </row>
    <row r="3" spans="2:8">
      <c r="B3" s="1722"/>
      <c r="C3" s="1749"/>
      <c r="D3" s="1750"/>
      <c r="E3" s="1750"/>
      <c r="F3" s="1750"/>
      <c r="G3" s="1750"/>
      <c r="H3" s="1751"/>
    </row>
    <row r="4" spans="2:8" ht="23" customHeight="1">
      <c r="B4" s="1722"/>
      <c r="C4" s="1749"/>
      <c r="D4" s="1750"/>
      <c r="E4" s="1750"/>
      <c r="F4" s="1750"/>
      <c r="G4" s="1750"/>
      <c r="H4" s="1751"/>
    </row>
    <row r="5" spans="2:8">
      <c r="B5" s="1722"/>
      <c r="C5" s="1749"/>
      <c r="D5" s="1750"/>
      <c r="E5" s="1750"/>
      <c r="F5" s="1750"/>
      <c r="G5" s="1750"/>
      <c r="H5" s="1751"/>
    </row>
    <row r="6" spans="2:8" ht="38" customHeight="1" thickBot="1">
      <c r="B6" s="1723"/>
      <c r="C6" s="1752"/>
      <c r="D6" s="1753"/>
      <c r="E6" s="1753"/>
      <c r="F6" s="1753"/>
      <c r="G6" s="1753"/>
      <c r="H6" s="1754"/>
    </row>
    <row r="7" spans="2:8" ht="14.5" customHeight="1">
      <c r="B7" s="1724" t="s">
        <v>890</v>
      </c>
      <c r="C7" s="1725"/>
      <c r="D7" s="1726"/>
      <c r="E7" s="1726"/>
      <c r="F7" s="1733" t="s">
        <v>891</v>
      </c>
      <c r="G7" s="1735"/>
      <c r="H7" s="1736"/>
    </row>
    <row r="8" spans="2:8">
      <c r="B8" s="1727"/>
      <c r="C8" s="1728"/>
      <c r="D8" s="1729"/>
      <c r="E8" s="1729"/>
      <c r="F8" s="1734"/>
      <c r="G8" s="1737"/>
      <c r="H8" s="1738"/>
    </row>
    <row r="9" spans="2:8">
      <c r="B9" s="1727"/>
      <c r="C9" s="1728"/>
      <c r="D9" s="1729"/>
      <c r="E9" s="1729"/>
      <c r="F9" s="332" t="s">
        <v>892</v>
      </c>
      <c r="G9" s="1739"/>
      <c r="H9" s="1740"/>
    </row>
    <row r="10" spans="2:8">
      <c r="B10" s="1727"/>
      <c r="C10" s="1728"/>
      <c r="D10" s="1729"/>
      <c r="E10" s="1729"/>
      <c r="F10" s="332" t="s">
        <v>893</v>
      </c>
      <c r="G10" s="1739"/>
      <c r="H10" s="1740"/>
    </row>
    <row r="11" spans="2:8">
      <c r="B11" s="1727"/>
      <c r="C11" s="1728"/>
      <c r="D11" s="1729"/>
      <c r="E11" s="1729"/>
      <c r="F11" s="1734" t="s">
        <v>894</v>
      </c>
      <c r="G11" s="1742"/>
      <c r="H11" s="1743"/>
    </row>
    <row r="12" spans="2:8" ht="15" thickBot="1">
      <c r="B12" s="1730"/>
      <c r="C12" s="1731"/>
      <c r="D12" s="1732"/>
      <c r="E12" s="1732"/>
      <c r="F12" s="1741"/>
      <c r="G12" s="1744"/>
      <c r="H12" s="1745"/>
    </row>
    <row r="13" spans="2:8" ht="14.5" customHeight="1">
      <c r="B13" s="1755" t="str">
        <f>+PRESUPUESTO!A2</f>
        <v>OBJETO: MEJORAMIENTO Y ADECUACIÓN DE LAS VIAS URBANAS DEL MUNICIPIO DE SANTA FE DE ANTIOQUIA</v>
      </c>
      <c r="C13" s="1756"/>
      <c r="D13" s="1757"/>
      <c r="E13" s="1757"/>
      <c r="F13" s="1757"/>
      <c r="G13" s="1757"/>
      <c r="H13" s="1758"/>
    </row>
    <row r="14" spans="2:8" ht="15" thickBot="1">
      <c r="B14" s="1759"/>
      <c r="C14" s="1760"/>
      <c r="D14" s="1761"/>
      <c r="E14" s="1761"/>
      <c r="F14" s="1761"/>
      <c r="G14" s="1761"/>
      <c r="H14" s="1762"/>
    </row>
    <row r="15" spans="2:8" ht="15" customHeight="1" thickBot="1">
      <c r="B15" s="167" t="s">
        <v>1</v>
      </c>
      <c r="C15" s="393"/>
      <c r="D15" s="1763"/>
      <c r="E15" s="1763"/>
      <c r="F15" s="1763"/>
      <c r="G15" s="1763"/>
      <c r="H15" s="168" t="s">
        <v>193</v>
      </c>
    </row>
    <row r="16" spans="2:8" ht="64.5" customHeight="1" thickBot="1">
      <c r="B16" s="62" t="s">
        <v>213</v>
      </c>
      <c r="C16" s="1778" t="str">
        <f>+PRESUPUESTO!B17</f>
        <v>Suministro, transporte y colocación de cordón prefabricado de 0.15 x 0.45 x 0.80 m de concreto de 21 Mpa, tres caras, juntas ranuradas, referencia Bordillo Barrera Recto Tipo U10 (según M.E.P). Incluye excavación, conformación del terreno, ajustes de concreto o pavimento donde sea necesario, mortero 1:4 de asiento y pega en las longitudes más adecuadas para el desarrollo de la obra, y todo lo necesario para su correcta construcción y funcionamiento. Según diseño.</v>
      </c>
      <c r="D16" s="1779"/>
      <c r="E16" s="1779"/>
      <c r="F16" s="1779"/>
      <c r="G16" s="1780"/>
      <c r="H16" s="169" t="str">
        <f>+PRESUPUESTO!C17</f>
        <v>ml</v>
      </c>
    </row>
    <row r="17" spans="2:8" ht="15" thickBot="1">
      <c r="B17" s="338" t="s">
        <v>896</v>
      </c>
      <c r="C17" s="338"/>
    </row>
    <row r="18" spans="2:8">
      <c r="B18" s="1781" t="s">
        <v>897</v>
      </c>
      <c r="C18" s="1782"/>
      <c r="D18" s="335" t="s">
        <v>319</v>
      </c>
      <c r="E18" s="335" t="s">
        <v>320</v>
      </c>
      <c r="F18" s="335" t="s">
        <v>898</v>
      </c>
      <c r="G18" s="337" t="s">
        <v>899</v>
      </c>
      <c r="H18" s="139"/>
    </row>
    <row r="19" spans="2:8">
      <c r="B19" s="1711" t="str">
        <f>+MATERIALES!B26</f>
        <v>Cordón Prefabricado de 15 x 45 x 80 cm</v>
      </c>
      <c r="C19" s="1712"/>
      <c r="D19" s="174" t="s">
        <v>319</v>
      </c>
      <c r="E19" s="175">
        <f>1/0.8</f>
        <v>1.25</v>
      </c>
      <c r="F19" s="176">
        <f>+MATERIALES!D26</f>
        <v>45000</v>
      </c>
      <c r="G19" s="215">
        <f t="shared" ref="G19:G24" si="0">+ROUND((E19*F19),0)</f>
        <v>56250</v>
      </c>
      <c r="H19" s="140"/>
    </row>
    <row r="20" spans="2:8">
      <c r="B20" s="1711"/>
      <c r="C20" s="1712"/>
      <c r="D20" s="174"/>
      <c r="E20" s="175"/>
      <c r="F20" s="176"/>
      <c r="G20" s="215">
        <f t="shared" si="0"/>
        <v>0</v>
      </c>
      <c r="H20" s="140"/>
    </row>
    <row r="21" spans="2:8">
      <c r="B21" s="1711"/>
      <c r="C21" s="1712"/>
      <c r="D21" s="174"/>
      <c r="E21" s="175"/>
      <c r="F21" s="176"/>
      <c r="G21" s="215">
        <f t="shared" si="0"/>
        <v>0</v>
      </c>
      <c r="H21" s="140"/>
    </row>
    <row r="22" spans="2:8">
      <c r="B22" s="1711"/>
      <c r="C22" s="1712"/>
      <c r="D22" s="174"/>
      <c r="E22" s="175"/>
      <c r="F22" s="176"/>
      <c r="G22" s="215">
        <f t="shared" si="0"/>
        <v>0</v>
      </c>
      <c r="H22" s="140"/>
    </row>
    <row r="23" spans="2:8" ht="65.25" customHeight="1">
      <c r="B23" s="1711"/>
      <c r="C23" s="1712"/>
      <c r="D23" s="174"/>
      <c r="E23" s="175"/>
      <c r="F23" s="176"/>
      <c r="G23" s="215">
        <f t="shared" si="0"/>
        <v>0</v>
      </c>
      <c r="H23" s="140"/>
    </row>
    <row r="24" spans="2:8" ht="15" thickBot="1">
      <c r="B24" s="1717"/>
      <c r="C24" s="1718"/>
      <c r="D24" s="179"/>
      <c r="E24" s="180"/>
      <c r="F24" s="181"/>
      <c r="G24" s="189">
        <f t="shared" si="0"/>
        <v>0</v>
      </c>
      <c r="H24" s="141"/>
    </row>
    <row r="25" spans="2:8" ht="15" thickBot="1">
      <c r="B25" s="183"/>
      <c r="C25" s="183"/>
      <c r="D25" s="301">
        <f>+H25/$H$42</f>
        <v>0.48384599504541703</v>
      </c>
      <c r="E25" s="185"/>
      <c r="F25" s="65"/>
      <c r="G25" s="212" t="s">
        <v>900</v>
      </c>
      <c r="H25" s="339">
        <f>+ROUND(SUM(G19:G24),0)</f>
        <v>56250</v>
      </c>
    </row>
    <row r="26" spans="2:8" ht="15" thickBot="1">
      <c r="B26" s="183" t="s">
        <v>901</v>
      </c>
      <c r="C26" s="183"/>
    </row>
    <row r="27" spans="2:8">
      <c r="B27" s="1776" t="s">
        <v>897</v>
      </c>
      <c r="C27" s="1777"/>
      <c r="D27" s="335" t="s">
        <v>319</v>
      </c>
      <c r="E27" s="335" t="s">
        <v>320</v>
      </c>
      <c r="F27" s="335" t="s">
        <v>898</v>
      </c>
      <c r="G27" s="337" t="s">
        <v>899</v>
      </c>
      <c r="H27" s="143"/>
    </row>
    <row r="28" spans="2:8">
      <c r="B28" s="1783" t="s">
        <v>1770</v>
      </c>
      <c r="C28" s="1784"/>
      <c r="D28" s="392" t="s">
        <v>916</v>
      </c>
      <c r="E28" s="392">
        <f>1/15</f>
        <v>6.6666666666666666E-2</v>
      </c>
      <c r="F28" s="408">
        <f>+'FP OPERATIVO'!F42+'FP OPERATIVO'!F39*5</f>
        <v>714458.60693333333</v>
      </c>
      <c r="G28" s="425">
        <f>+E28*F28</f>
        <v>47630.573795555552</v>
      </c>
      <c r="H28" s="162"/>
    </row>
    <row r="29" spans="2:8">
      <c r="B29" s="1715"/>
      <c r="C29" s="1716"/>
      <c r="D29" s="392"/>
      <c r="E29" s="392"/>
      <c r="F29" s="408"/>
      <c r="G29" s="425"/>
      <c r="H29" s="162"/>
    </row>
    <row r="30" spans="2:8" ht="15" thickBot="1">
      <c r="B30" s="1717"/>
      <c r="C30" s="1718"/>
      <c r="D30" s="179"/>
      <c r="E30" s="424"/>
      <c r="F30" s="181"/>
      <c r="G30" s="189"/>
      <c r="H30" s="144"/>
    </row>
    <row r="31" spans="2:8" ht="15" thickBot="1">
      <c r="B31" s="183"/>
      <c r="C31" s="183"/>
      <c r="D31" s="301">
        <f>+H31/$H$42</f>
        <v>0.40970788604459124</v>
      </c>
      <c r="E31" s="190"/>
      <c r="G31" s="186" t="s">
        <v>900</v>
      </c>
      <c r="H31" s="214">
        <f>+ROUND(SUM(G28:G30),0)</f>
        <v>47631</v>
      </c>
    </row>
    <row r="32" spans="2:8" ht="15" thickBot="1">
      <c r="B32" s="183" t="s">
        <v>920</v>
      </c>
      <c r="C32" s="183"/>
    </row>
    <row r="33" spans="2:8">
      <c r="B33" s="1776" t="s">
        <v>897</v>
      </c>
      <c r="C33" s="1777"/>
      <c r="D33" s="335" t="s">
        <v>319</v>
      </c>
      <c r="E33" s="335" t="s">
        <v>320</v>
      </c>
      <c r="F33" s="335" t="s">
        <v>898</v>
      </c>
      <c r="G33" s="337" t="s">
        <v>899</v>
      </c>
      <c r="H33" s="143"/>
    </row>
    <row r="34" spans="2:8">
      <c r="B34" s="1787"/>
      <c r="C34" s="1788"/>
      <c r="D34" s="391"/>
      <c r="E34" s="391"/>
      <c r="F34" s="404"/>
      <c r="G34" s="405">
        <f>+ROUND((E34*F34),0)</f>
        <v>0</v>
      </c>
      <c r="H34" s="162"/>
    </row>
    <row r="35" spans="2:8" ht="15" thickBot="1">
      <c r="B35" s="1717" t="s">
        <v>905</v>
      </c>
      <c r="C35" s="1718"/>
      <c r="D35" s="179" t="s">
        <v>906</v>
      </c>
      <c r="E35" s="180">
        <v>0.05</v>
      </c>
      <c r="F35" s="192">
        <f>+H31</f>
        <v>47631</v>
      </c>
      <c r="G35" s="193">
        <f>+ROUND((E35*F35),0)</f>
        <v>2382</v>
      </c>
      <c r="H35" s="144"/>
    </row>
    <row r="36" spans="2:8" ht="15" thickBot="1">
      <c r="B36" s="183"/>
      <c r="C36" s="183"/>
      <c r="D36" s="301">
        <f>+H36/$H$42</f>
        <v>2.0489265070189926E-2</v>
      </c>
      <c r="E36" s="190"/>
      <c r="G36" s="212" t="s">
        <v>900</v>
      </c>
      <c r="H36" s="191">
        <f>+ROUND(SUM(G35:G35),0)</f>
        <v>2382</v>
      </c>
    </row>
    <row r="37" spans="2:8" ht="15" thickBot="1">
      <c r="B37" s="183" t="s">
        <v>922</v>
      </c>
      <c r="C37" s="183"/>
    </row>
    <row r="38" spans="2:8">
      <c r="B38" s="419" t="s">
        <v>897</v>
      </c>
      <c r="C38" s="335" t="s">
        <v>319</v>
      </c>
      <c r="D38" s="335" t="s">
        <v>320</v>
      </c>
      <c r="E38" s="335" t="s">
        <v>926</v>
      </c>
      <c r="F38" s="335" t="s">
        <v>898</v>
      </c>
      <c r="G38" s="337" t="s">
        <v>899</v>
      </c>
      <c r="H38" s="143"/>
    </row>
    <row r="39" spans="2:8">
      <c r="B39" s="426" t="s">
        <v>933</v>
      </c>
      <c r="C39" s="427" t="s">
        <v>23</v>
      </c>
      <c r="D39" s="427">
        <v>1.2491000000000001</v>
      </c>
      <c r="E39" s="427"/>
      <c r="F39" s="428">
        <v>8000</v>
      </c>
      <c r="G39" s="429">
        <f>+D39*F39</f>
        <v>9992.8000000000011</v>
      </c>
      <c r="H39" s="162"/>
    </row>
    <row r="40" spans="2:8" ht="15" thickBot="1">
      <c r="D40" s="301">
        <f>+H40/$H$42</f>
        <v>8.5956853839801811E-2</v>
      </c>
      <c r="G40" s="212" t="s">
        <v>900</v>
      </c>
      <c r="H40" s="214">
        <f>+ROUND(SUM(G39:G39),0)</f>
        <v>9993</v>
      </c>
    </row>
    <row r="41" spans="2:8" ht="15" thickBot="1">
      <c r="G41" s="186"/>
      <c r="H41" s="194"/>
    </row>
    <row r="42" spans="2:8" ht="15" thickBot="1">
      <c r="B42" s="195"/>
      <c r="C42" s="195"/>
      <c r="D42" s="196"/>
      <c r="E42" s="197" t="s">
        <v>908</v>
      </c>
      <c r="F42" s="198"/>
      <c r="G42" s="198"/>
      <c r="H42" s="153">
        <f>ROUNDUP(SUM(H18:H40),0)</f>
        <v>116256</v>
      </c>
    </row>
    <row r="43" spans="2:8">
      <c r="B43" s="199"/>
      <c r="C43" s="199"/>
      <c r="D43" s="201"/>
      <c r="E43" s="253"/>
      <c r="F43" s="253"/>
      <c r="G43" s="253"/>
      <c r="H43" s="196"/>
    </row>
  </sheetData>
  <mergeCells count="26">
    <mergeCell ref="B20:C20"/>
    <mergeCell ref="B2:B6"/>
    <mergeCell ref="C2:H6"/>
    <mergeCell ref="B7:E12"/>
    <mergeCell ref="F7:F8"/>
    <mergeCell ref="G7:H8"/>
    <mergeCell ref="G9:H9"/>
    <mergeCell ref="G10:H10"/>
    <mergeCell ref="F11:F12"/>
    <mergeCell ref="G11:H12"/>
    <mergeCell ref="B13:H14"/>
    <mergeCell ref="D15:G15"/>
    <mergeCell ref="C16:G16"/>
    <mergeCell ref="B18:C18"/>
    <mergeCell ref="B19:C19"/>
    <mergeCell ref="B21:C21"/>
    <mergeCell ref="B22:C22"/>
    <mergeCell ref="B24:C24"/>
    <mergeCell ref="B27:C27"/>
    <mergeCell ref="B28:C28"/>
    <mergeCell ref="B30:C30"/>
    <mergeCell ref="B33:C33"/>
    <mergeCell ref="B34:C34"/>
    <mergeCell ref="B35:C35"/>
    <mergeCell ref="B23:C23"/>
    <mergeCell ref="B29:C29"/>
  </mergeCells>
  <pageMargins left="0.7" right="0.7" top="0.75" bottom="0.75" header="0.3" footer="0.3"/>
  <pageSetup scale="51" orientation="portrait" r:id="rId1"/>
  <rowBreaks count="1" manualBreakCount="1">
    <brk id="42" min="1" max="6" man="1"/>
  </row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A1F73F-FB5B-4176-A3DD-F6031A1194DF}">
  <sheetPr>
    <tabColor theme="7" tint="0.79998168889431442"/>
  </sheetPr>
  <dimension ref="B1:H39"/>
  <sheetViews>
    <sheetView view="pageBreakPreview" topLeftCell="A11" zoomScale="80" zoomScaleNormal="70" zoomScaleSheetLayoutView="80" workbookViewId="0">
      <selection activeCell="E25" sqref="E25"/>
    </sheetView>
  </sheetViews>
  <sheetFormatPr baseColWidth="10" defaultColWidth="11.453125" defaultRowHeight="14.5"/>
  <cols>
    <col min="1" max="1" width="2.08984375" style="1" customWidth="1"/>
    <col min="2" max="2" width="46.81640625" style="151" customWidth="1"/>
    <col min="3" max="3" width="22.81640625" style="151" customWidth="1"/>
    <col min="4" max="4" width="22.08984375" style="1" customWidth="1"/>
    <col min="5" max="5" width="20.81640625" style="1" customWidth="1"/>
    <col min="6" max="6" width="20.36328125" style="1" customWidth="1"/>
    <col min="7" max="7" width="23.36328125" style="1" customWidth="1"/>
    <col min="8" max="8" width="19.36328125" style="1" bestFit="1" customWidth="1"/>
    <col min="9" max="9" width="11.453125" style="1"/>
    <col min="10" max="11" width="15.6328125" style="1" bestFit="1" customWidth="1"/>
    <col min="12" max="12" width="16.6328125" style="1" bestFit="1" customWidth="1"/>
    <col min="13" max="16384" width="11.453125" style="1"/>
  </cols>
  <sheetData>
    <row r="1" spans="2:8" ht="15" thickBot="1"/>
    <row r="2" spans="2:8" ht="14.5" customHeight="1">
      <c r="B2" s="1721"/>
      <c r="C2" s="1746" t="s">
        <v>909</v>
      </c>
      <c r="D2" s="1747"/>
      <c r="E2" s="1747"/>
      <c r="F2" s="1747"/>
      <c r="G2" s="1747"/>
      <c r="H2" s="1748"/>
    </row>
    <row r="3" spans="2:8">
      <c r="B3" s="1722"/>
      <c r="C3" s="1749"/>
      <c r="D3" s="1750"/>
      <c r="E3" s="1750"/>
      <c r="F3" s="1750"/>
      <c r="G3" s="1750"/>
      <c r="H3" s="1751"/>
    </row>
    <row r="4" spans="2:8" ht="23" customHeight="1">
      <c r="B4" s="1722"/>
      <c r="C4" s="1749"/>
      <c r="D4" s="1750"/>
      <c r="E4" s="1750"/>
      <c r="F4" s="1750"/>
      <c r="G4" s="1750"/>
      <c r="H4" s="1751"/>
    </row>
    <row r="5" spans="2:8">
      <c r="B5" s="1722"/>
      <c r="C5" s="1749"/>
      <c r="D5" s="1750"/>
      <c r="E5" s="1750"/>
      <c r="F5" s="1750"/>
      <c r="G5" s="1750"/>
      <c r="H5" s="1751"/>
    </row>
    <row r="6" spans="2:8" ht="38" customHeight="1" thickBot="1">
      <c r="B6" s="1723"/>
      <c r="C6" s="1752"/>
      <c r="D6" s="1753"/>
      <c r="E6" s="1753"/>
      <c r="F6" s="1753"/>
      <c r="G6" s="1753"/>
      <c r="H6" s="1754"/>
    </row>
    <row r="7" spans="2:8" ht="14.5" customHeight="1">
      <c r="B7" s="1724" t="s">
        <v>890</v>
      </c>
      <c r="C7" s="1725"/>
      <c r="D7" s="1726"/>
      <c r="E7" s="1726"/>
      <c r="F7" s="1733" t="s">
        <v>891</v>
      </c>
      <c r="G7" s="1735"/>
      <c r="H7" s="1736"/>
    </row>
    <row r="8" spans="2:8">
      <c r="B8" s="1727"/>
      <c r="C8" s="1728"/>
      <c r="D8" s="1729"/>
      <c r="E8" s="1729"/>
      <c r="F8" s="1734"/>
      <c r="G8" s="1737"/>
      <c r="H8" s="1738"/>
    </row>
    <row r="9" spans="2:8">
      <c r="B9" s="1727"/>
      <c r="C9" s="1728"/>
      <c r="D9" s="1729"/>
      <c r="E9" s="1729"/>
      <c r="F9" s="332" t="s">
        <v>892</v>
      </c>
      <c r="G9" s="1739"/>
      <c r="H9" s="1740"/>
    </row>
    <row r="10" spans="2:8">
      <c r="B10" s="1727"/>
      <c r="C10" s="1728"/>
      <c r="D10" s="1729"/>
      <c r="E10" s="1729"/>
      <c r="F10" s="332" t="s">
        <v>893</v>
      </c>
      <c r="G10" s="1739"/>
      <c r="H10" s="1740"/>
    </row>
    <row r="11" spans="2:8">
      <c r="B11" s="1727"/>
      <c r="C11" s="1728"/>
      <c r="D11" s="1729"/>
      <c r="E11" s="1729"/>
      <c r="F11" s="1734" t="s">
        <v>894</v>
      </c>
      <c r="G11" s="1742"/>
      <c r="H11" s="1743"/>
    </row>
    <row r="12" spans="2:8" ht="15" thickBot="1">
      <c r="B12" s="1730"/>
      <c r="C12" s="1731"/>
      <c r="D12" s="1732"/>
      <c r="E12" s="1732"/>
      <c r="F12" s="1741"/>
      <c r="G12" s="1744"/>
      <c r="H12" s="1745"/>
    </row>
    <row r="13" spans="2:8" ht="14.5" customHeight="1">
      <c r="B13" s="1755" t="str">
        <f>+PRESUPUESTO!A2</f>
        <v>OBJETO: MEJORAMIENTO Y ADECUACIÓN DE LAS VIAS URBANAS DEL MUNICIPIO DE SANTA FE DE ANTIOQUIA</v>
      </c>
      <c r="C13" s="1756"/>
      <c r="D13" s="1757"/>
      <c r="E13" s="1757"/>
      <c r="F13" s="1757"/>
      <c r="G13" s="1757"/>
      <c r="H13" s="1758"/>
    </row>
    <row r="14" spans="2:8" ht="15" thickBot="1">
      <c r="B14" s="1759"/>
      <c r="C14" s="1760"/>
      <c r="D14" s="1761"/>
      <c r="E14" s="1761"/>
      <c r="F14" s="1761"/>
      <c r="G14" s="1761"/>
      <c r="H14" s="1762"/>
    </row>
    <row r="15" spans="2:8" ht="15" customHeight="1" thickBot="1">
      <c r="B15" s="167" t="s">
        <v>1</v>
      </c>
      <c r="C15" s="393"/>
      <c r="D15" s="1763"/>
      <c r="E15" s="1763"/>
      <c r="F15" s="1763"/>
      <c r="G15" s="1763"/>
      <c r="H15" s="168" t="s">
        <v>193</v>
      </c>
    </row>
    <row r="16" spans="2:8" ht="64.5" customHeight="1" thickBot="1">
      <c r="B16" s="62" t="s">
        <v>1792</v>
      </c>
      <c r="C16" s="1778" t="str">
        <f>BALANCE!C33</f>
        <v>Suministro, transporte e instalación de malla electrosoldada. Hueco 15X15Cm. Diametro 4.0Mm (Xx-084) en el area de anden</v>
      </c>
      <c r="D16" s="1779"/>
      <c r="E16" s="1779"/>
      <c r="F16" s="1779"/>
      <c r="G16" s="1780"/>
      <c r="H16" s="169" t="str">
        <f>BALANCE!D33</f>
        <v>m2</v>
      </c>
    </row>
    <row r="17" spans="2:8" ht="15" thickBot="1">
      <c r="B17" s="338" t="s">
        <v>896</v>
      </c>
      <c r="C17" s="338"/>
    </row>
    <row r="18" spans="2:8">
      <c r="B18" s="1781" t="s">
        <v>897</v>
      </c>
      <c r="C18" s="1782"/>
      <c r="D18" s="335" t="s">
        <v>319</v>
      </c>
      <c r="E18" s="335" t="s">
        <v>320</v>
      </c>
      <c r="F18" s="335" t="s">
        <v>898</v>
      </c>
      <c r="G18" s="337" t="s">
        <v>899</v>
      </c>
      <c r="H18" s="139"/>
    </row>
    <row r="19" spans="2:8">
      <c r="B19" s="1711" t="str">
        <f>+MATERIALES!B46</f>
        <v>Malla electrosoldada D-84</v>
      </c>
      <c r="C19" s="1712"/>
      <c r="D19" s="174" t="str">
        <f>+MATERIALES!C46</f>
        <v>M2</v>
      </c>
      <c r="E19" s="175">
        <v>1.0126500000000001</v>
      </c>
      <c r="F19" s="176">
        <f>+MATERIALES!D46</f>
        <v>11621</v>
      </c>
      <c r="G19" s="215">
        <f>+ROUND((E19*F19),0)</f>
        <v>11768</v>
      </c>
      <c r="H19" s="140"/>
    </row>
    <row r="20" spans="2:8">
      <c r="B20" s="1711" t="str">
        <f>+MATERIALES!B39</f>
        <v>Alambre recocido C 18</v>
      </c>
      <c r="C20" s="1712"/>
      <c r="D20" s="174" t="str">
        <f>+MATERIALES!C39</f>
        <v>kg</v>
      </c>
      <c r="E20" s="175">
        <v>0.03</v>
      </c>
      <c r="F20" s="176">
        <f>+MATERIALES!D39</f>
        <v>17900</v>
      </c>
      <c r="G20" s="215">
        <f>+ROUND((E20*F20),0)</f>
        <v>537</v>
      </c>
      <c r="H20" s="140"/>
    </row>
    <row r="21" spans="2:8" ht="15" thickBot="1">
      <c r="B21" s="183"/>
      <c r="C21" s="183"/>
      <c r="D21" s="301">
        <f>+H21/$H$38</f>
        <v>0.22191963641610157</v>
      </c>
      <c r="E21" s="185"/>
      <c r="F21" s="65"/>
      <c r="G21" s="212" t="s">
        <v>900</v>
      </c>
      <c r="H21" s="339">
        <f>+ROUND(SUM(G19:G20),0)</f>
        <v>12305</v>
      </c>
    </row>
    <row r="22" spans="2:8" ht="15" thickBot="1">
      <c r="B22" s="183" t="s">
        <v>901</v>
      </c>
      <c r="C22" s="183"/>
    </row>
    <row r="23" spans="2:8">
      <c r="B23" s="1776" t="s">
        <v>897</v>
      </c>
      <c r="C23" s="1777"/>
      <c r="D23" s="335" t="s">
        <v>319</v>
      </c>
      <c r="E23" s="335" t="s">
        <v>320</v>
      </c>
      <c r="F23" s="335" t="s">
        <v>898</v>
      </c>
      <c r="G23" s="337" t="s">
        <v>899</v>
      </c>
      <c r="H23" s="143"/>
    </row>
    <row r="24" spans="2:8">
      <c r="B24" s="1783" t="s">
        <v>1809</v>
      </c>
      <c r="C24" s="1784"/>
      <c r="D24" s="392" t="s">
        <v>916</v>
      </c>
      <c r="E24" s="392">
        <v>1.2500000000000001E-2</v>
      </c>
      <c r="F24" s="408">
        <f>'FP OPERATIVO'!F42+'FP OPERATIVO'!F40+('FP OPERATIVO'!F39*2)</f>
        <v>511594.57836977782</v>
      </c>
      <c r="G24" s="425">
        <f>+E24*F24</f>
        <v>6394.9322296222235</v>
      </c>
      <c r="H24" s="162"/>
    </row>
    <row r="25" spans="2:8">
      <c r="B25" s="1715"/>
      <c r="C25" s="1716"/>
      <c r="D25" s="392"/>
      <c r="E25" s="392"/>
      <c r="F25" s="408"/>
      <c r="G25" s="425"/>
      <c r="H25" s="162"/>
    </row>
    <row r="26" spans="2:8" ht="15" thickBot="1">
      <c r="B26" s="1717"/>
      <c r="C26" s="1718"/>
      <c r="D26" s="179"/>
      <c r="E26" s="424"/>
      <c r="F26" s="181"/>
      <c r="G26" s="189"/>
      <c r="H26" s="144"/>
    </row>
    <row r="27" spans="2:8" ht="15" thickBot="1">
      <c r="B27" s="183"/>
      <c r="C27" s="183"/>
      <c r="D27" s="301">
        <f>+H27/$H$38</f>
        <v>0.11533328524022507</v>
      </c>
      <c r="E27" s="190"/>
      <c r="G27" s="186" t="s">
        <v>900</v>
      </c>
      <c r="H27" s="214">
        <f>+ROUND(SUM(G24:G26),0)</f>
        <v>6395</v>
      </c>
    </row>
    <row r="28" spans="2:8" ht="15" thickBot="1">
      <c r="B28" s="183" t="s">
        <v>920</v>
      </c>
      <c r="C28" s="183"/>
    </row>
    <row r="29" spans="2:8">
      <c r="B29" s="1776" t="s">
        <v>897</v>
      </c>
      <c r="C29" s="1777"/>
      <c r="D29" s="335" t="s">
        <v>319</v>
      </c>
      <c r="E29" s="335" t="s">
        <v>320</v>
      </c>
      <c r="F29" s="335" t="s">
        <v>898</v>
      </c>
      <c r="G29" s="337" t="s">
        <v>899</v>
      </c>
      <c r="H29" s="143"/>
    </row>
    <row r="30" spans="2:8">
      <c r="B30" s="1787" t="str">
        <f>+EQUIPOS!A23</f>
        <v>Tronzadora de metal (incluye disco de corte)</v>
      </c>
      <c r="C30" s="1788"/>
      <c r="D30" s="391" t="str">
        <f>+EQUIPOS!B23</f>
        <v>Día</v>
      </c>
      <c r="E30" s="391">
        <v>0.01</v>
      </c>
      <c r="F30" s="404">
        <f>+EQUIPOS!C23</f>
        <v>42800</v>
      </c>
      <c r="G30" s="405">
        <f>+ROUND((E30*F30),0)</f>
        <v>428</v>
      </c>
      <c r="H30" s="162"/>
    </row>
    <row r="31" spans="2:8" ht="15" thickBot="1">
      <c r="B31" s="1717" t="s">
        <v>905</v>
      </c>
      <c r="C31" s="1718"/>
      <c r="D31" s="179" t="s">
        <v>906</v>
      </c>
      <c r="E31" s="180">
        <v>0.05</v>
      </c>
      <c r="F31" s="192">
        <f>+H27</f>
        <v>6395</v>
      </c>
      <c r="G31" s="193">
        <f>+ROUND((E31*F31),0)</f>
        <v>320</v>
      </c>
      <c r="H31" s="144"/>
    </row>
    <row r="32" spans="2:8" ht="15" thickBot="1">
      <c r="B32" s="183"/>
      <c r="C32" s="183"/>
      <c r="D32" s="301">
        <f>+H32/$H$38</f>
        <v>1.3490116866253066E-2</v>
      </c>
      <c r="E32" s="190"/>
      <c r="G32" s="212" t="s">
        <v>900</v>
      </c>
      <c r="H32" s="191">
        <f>+ROUND(SUM(G30:G31),0)</f>
        <v>748</v>
      </c>
    </row>
    <row r="33" spans="2:8" ht="15" thickBot="1">
      <c r="B33" s="183" t="s">
        <v>922</v>
      </c>
      <c r="C33" s="183"/>
    </row>
    <row r="34" spans="2:8">
      <c r="B34" s="419" t="s">
        <v>897</v>
      </c>
      <c r="C34" s="335" t="s">
        <v>319</v>
      </c>
      <c r="D34" s="335" t="s">
        <v>320</v>
      </c>
      <c r="E34" s="335" t="s">
        <v>926</v>
      </c>
      <c r="F34" s="335" t="s">
        <v>898</v>
      </c>
      <c r="G34" s="337" t="s">
        <v>899</v>
      </c>
      <c r="H34" s="143"/>
    </row>
    <row r="35" spans="2:8">
      <c r="B35" s="426"/>
      <c r="C35" s="427" t="s">
        <v>1801</v>
      </c>
      <c r="D35" s="427">
        <v>0.12</v>
      </c>
      <c r="E35" s="427">
        <v>60</v>
      </c>
      <c r="F35" s="428">
        <v>5000</v>
      </c>
      <c r="G35" s="399">
        <f>+ROUND((D35*E35*F35),0)</f>
        <v>36000</v>
      </c>
      <c r="H35" s="162"/>
    </row>
    <row r="36" spans="2:8" ht="15" thickBot="1">
      <c r="D36" s="301">
        <f>+H36/$H$38</f>
        <v>0.64925696147742029</v>
      </c>
      <c r="G36" s="212" t="s">
        <v>900</v>
      </c>
      <c r="H36" s="214">
        <f>+ROUND(SUM(G35:G35),0)</f>
        <v>36000</v>
      </c>
    </row>
    <row r="37" spans="2:8" ht="15" thickBot="1">
      <c r="G37" s="186"/>
      <c r="H37" s="194"/>
    </row>
    <row r="38" spans="2:8" ht="15" thickBot="1">
      <c r="B38" s="195"/>
      <c r="C38" s="195"/>
      <c r="D38" s="196"/>
      <c r="E38" s="197" t="s">
        <v>908</v>
      </c>
      <c r="F38" s="198"/>
      <c r="G38" s="198"/>
      <c r="H38" s="153">
        <f>ROUNDUP(SUM(H18:H36),0)</f>
        <v>55448</v>
      </c>
    </row>
    <row r="39" spans="2:8">
      <c r="B39" s="199"/>
      <c r="C39" s="199"/>
      <c r="D39" s="201"/>
      <c r="E39" s="253"/>
      <c r="F39" s="253"/>
      <c r="G39" s="253"/>
      <c r="H39" s="196"/>
    </row>
  </sheetData>
  <mergeCells count="22">
    <mergeCell ref="B20:C20"/>
    <mergeCell ref="B2:B6"/>
    <mergeCell ref="C2:H6"/>
    <mergeCell ref="B7:E12"/>
    <mergeCell ref="F7:F8"/>
    <mergeCell ref="G7:H8"/>
    <mergeCell ref="G9:H9"/>
    <mergeCell ref="G10:H10"/>
    <mergeCell ref="F11:F12"/>
    <mergeCell ref="G11:H12"/>
    <mergeCell ref="B13:H14"/>
    <mergeCell ref="D15:G15"/>
    <mergeCell ref="C16:G16"/>
    <mergeCell ref="B18:C18"/>
    <mergeCell ref="B19:C19"/>
    <mergeCell ref="B31:C31"/>
    <mergeCell ref="B23:C23"/>
    <mergeCell ref="B24:C24"/>
    <mergeCell ref="B25:C25"/>
    <mergeCell ref="B26:C26"/>
    <mergeCell ref="B29:C29"/>
    <mergeCell ref="B30:C30"/>
  </mergeCells>
  <pageMargins left="0.7" right="0.7" top="0.75" bottom="0.75" header="0.3" footer="0.3"/>
  <pageSetup scale="51" orientation="portrait" r:id="rId1"/>
  <rowBreaks count="1" manualBreakCount="1">
    <brk id="38" min="1" max="6" man="1"/>
  </row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C294EE-50D2-4323-B20D-400166B499A0}">
  <sheetPr>
    <tabColor theme="7" tint="0.79998168889431442"/>
  </sheetPr>
  <dimension ref="B1:H38"/>
  <sheetViews>
    <sheetView view="pageBreakPreview" topLeftCell="A9" zoomScale="80" zoomScaleNormal="70" zoomScaleSheetLayoutView="80" workbookViewId="0">
      <selection activeCell="J19" sqref="J19"/>
    </sheetView>
  </sheetViews>
  <sheetFormatPr baseColWidth="10" defaultColWidth="11.453125" defaultRowHeight="14.5"/>
  <cols>
    <col min="1" max="1" width="2.08984375" style="1" customWidth="1"/>
    <col min="2" max="2" width="46.81640625" style="151" customWidth="1"/>
    <col min="3" max="3" width="22.81640625" style="151" customWidth="1"/>
    <col min="4" max="4" width="22.08984375" style="1" customWidth="1"/>
    <col min="5" max="5" width="20.81640625" style="1" customWidth="1"/>
    <col min="6" max="6" width="20.36328125" style="1" customWidth="1"/>
    <col min="7" max="7" width="23.36328125" style="1" customWidth="1"/>
    <col min="8" max="8" width="19.36328125" style="1" bestFit="1" customWidth="1"/>
    <col min="9" max="9" width="11.453125" style="1"/>
    <col min="10" max="11" width="15.6328125" style="1" bestFit="1" customWidth="1"/>
    <col min="12" max="12" width="16.6328125" style="1" bestFit="1" customWidth="1"/>
    <col min="13" max="16384" width="11.453125" style="1"/>
  </cols>
  <sheetData>
    <row r="1" spans="2:8" ht="15" thickBot="1"/>
    <row r="2" spans="2:8" ht="14.5" customHeight="1">
      <c r="B2" s="1721"/>
      <c r="C2" s="1746" t="s">
        <v>909</v>
      </c>
      <c r="D2" s="1747"/>
      <c r="E2" s="1747"/>
      <c r="F2" s="1747"/>
      <c r="G2" s="1747"/>
      <c r="H2" s="1748"/>
    </row>
    <row r="3" spans="2:8">
      <c r="B3" s="1722"/>
      <c r="C3" s="1749"/>
      <c r="D3" s="1750"/>
      <c r="E3" s="1750"/>
      <c r="F3" s="1750"/>
      <c r="G3" s="1750"/>
      <c r="H3" s="1751"/>
    </row>
    <row r="4" spans="2:8" ht="23" customHeight="1">
      <c r="B4" s="1722"/>
      <c r="C4" s="1749"/>
      <c r="D4" s="1750"/>
      <c r="E4" s="1750"/>
      <c r="F4" s="1750"/>
      <c r="G4" s="1750"/>
      <c r="H4" s="1751"/>
    </row>
    <row r="5" spans="2:8">
      <c r="B5" s="1722"/>
      <c r="C5" s="1749"/>
      <c r="D5" s="1750"/>
      <c r="E5" s="1750"/>
      <c r="F5" s="1750"/>
      <c r="G5" s="1750"/>
      <c r="H5" s="1751"/>
    </row>
    <row r="6" spans="2:8" ht="38" customHeight="1" thickBot="1">
      <c r="B6" s="1723"/>
      <c r="C6" s="1752"/>
      <c r="D6" s="1753"/>
      <c r="E6" s="1753"/>
      <c r="F6" s="1753"/>
      <c r="G6" s="1753"/>
      <c r="H6" s="1754"/>
    </row>
    <row r="7" spans="2:8" ht="14.5" customHeight="1">
      <c r="B7" s="1724" t="s">
        <v>890</v>
      </c>
      <c r="C7" s="1725"/>
      <c r="D7" s="1726"/>
      <c r="E7" s="1726"/>
      <c r="F7" s="1733" t="s">
        <v>891</v>
      </c>
      <c r="G7" s="1735"/>
      <c r="H7" s="1736"/>
    </row>
    <row r="8" spans="2:8">
      <c r="B8" s="1727"/>
      <c r="C8" s="1728"/>
      <c r="D8" s="1729"/>
      <c r="E8" s="1729"/>
      <c r="F8" s="1734"/>
      <c r="G8" s="1737"/>
      <c r="H8" s="1738"/>
    </row>
    <row r="9" spans="2:8">
      <c r="B9" s="1727"/>
      <c r="C9" s="1728"/>
      <c r="D9" s="1729"/>
      <c r="E9" s="1729"/>
      <c r="F9" s="332" t="s">
        <v>892</v>
      </c>
      <c r="G9" s="1739"/>
      <c r="H9" s="1740"/>
    </row>
    <row r="10" spans="2:8">
      <c r="B10" s="1727"/>
      <c r="C10" s="1728"/>
      <c r="D10" s="1729"/>
      <c r="E10" s="1729"/>
      <c r="F10" s="332" t="s">
        <v>893</v>
      </c>
      <c r="G10" s="1739"/>
      <c r="H10" s="1740"/>
    </row>
    <row r="11" spans="2:8">
      <c r="B11" s="1727"/>
      <c r="C11" s="1728"/>
      <c r="D11" s="1729"/>
      <c r="E11" s="1729"/>
      <c r="F11" s="1734" t="s">
        <v>894</v>
      </c>
      <c r="G11" s="1742"/>
      <c r="H11" s="1743"/>
    </row>
    <row r="12" spans="2:8" ht="15" thickBot="1">
      <c r="B12" s="1730"/>
      <c r="C12" s="1731"/>
      <c r="D12" s="1732"/>
      <c r="E12" s="1732"/>
      <c r="F12" s="1741"/>
      <c r="G12" s="1744"/>
      <c r="H12" s="1745"/>
    </row>
    <row r="13" spans="2:8" ht="14.5" customHeight="1">
      <c r="B13" s="1755" t="str">
        <f>+PRESUPUESTO!A2</f>
        <v>OBJETO: MEJORAMIENTO Y ADECUACIÓN DE LAS VIAS URBANAS DEL MUNICIPIO DE SANTA FE DE ANTIOQUIA</v>
      </c>
      <c r="C13" s="1756"/>
      <c r="D13" s="1757"/>
      <c r="E13" s="1757"/>
      <c r="F13" s="1757"/>
      <c r="G13" s="1757"/>
      <c r="H13" s="1758"/>
    </row>
    <row r="14" spans="2:8" ht="15" thickBot="1">
      <c r="B14" s="1759"/>
      <c r="C14" s="1760"/>
      <c r="D14" s="1761"/>
      <c r="E14" s="1761"/>
      <c r="F14" s="1761"/>
      <c r="G14" s="1761"/>
      <c r="H14" s="1762"/>
    </row>
    <row r="15" spans="2:8" ht="15" customHeight="1" thickBot="1">
      <c r="B15" s="167" t="s">
        <v>1</v>
      </c>
      <c r="C15" s="393"/>
      <c r="D15" s="1763"/>
      <c r="E15" s="1763"/>
      <c r="F15" s="1763"/>
      <c r="G15" s="1763"/>
      <c r="H15" s="168" t="s">
        <v>193</v>
      </c>
    </row>
    <row r="16" spans="2:8" ht="64.5" customHeight="1" thickBot="1">
      <c r="B16" s="62" t="s">
        <v>214</v>
      </c>
      <c r="C16" s="1778" t="str">
        <f>BALANCE!C34</f>
        <v>Suministro, transporte e aplicación de antisol sobre concreto para anden</v>
      </c>
      <c r="D16" s="1779"/>
      <c r="E16" s="1779"/>
      <c r="F16" s="1779"/>
      <c r="G16" s="1780"/>
      <c r="H16" s="169" t="s">
        <v>987</v>
      </c>
    </row>
    <row r="17" spans="2:8" ht="15" thickBot="1">
      <c r="B17" s="338" t="s">
        <v>896</v>
      </c>
      <c r="C17" s="338"/>
    </row>
    <row r="18" spans="2:8">
      <c r="B18" s="1781" t="s">
        <v>897</v>
      </c>
      <c r="C18" s="1782"/>
      <c r="D18" s="335" t="s">
        <v>319</v>
      </c>
      <c r="E18" s="335" t="s">
        <v>320</v>
      </c>
      <c r="F18" s="335" t="s">
        <v>898</v>
      </c>
      <c r="G18" s="337" t="s">
        <v>899</v>
      </c>
      <c r="H18" s="139"/>
    </row>
    <row r="19" spans="2:8" ht="15" thickBot="1">
      <c r="B19" s="1717" t="str">
        <f>+MATERIALES!B30</f>
        <v>Antisol blanco</v>
      </c>
      <c r="C19" s="1718"/>
      <c r="D19" s="179" t="str">
        <f>+MATERIALES!C30</f>
        <v>kg</v>
      </c>
      <c r="E19" s="180">
        <v>0.21</v>
      </c>
      <c r="F19" s="181">
        <f>+MATERIALES!D30</f>
        <v>17500</v>
      </c>
      <c r="G19" s="189">
        <f t="shared" ref="G19" si="0">+ROUND((E19*F19),0)</f>
        <v>3675</v>
      </c>
      <c r="H19" s="141"/>
    </row>
    <row r="20" spans="2:8" ht="15" thickBot="1">
      <c r="B20" s="183"/>
      <c r="C20" s="183"/>
      <c r="D20" s="301">
        <f>+H20/$H$37</f>
        <v>9.4882784261076117E-2</v>
      </c>
      <c r="E20" s="185"/>
      <c r="F20" s="65"/>
      <c r="G20" s="212" t="s">
        <v>900</v>
      </c>
      <c r="H20" s="339">
        <f>+ROUND(SUM(G19:G19),0)</f>
        <v>3675</v>
      </c>
    </row>
    <row r="21" spans="2:8" ht="15" thickBot="1">
      <c r="B21" s="183" t="s">
        <v>901</v>
      </c>
      <c r="C21" s="183"/>
    </row>
    <row r="22" spans="2:8">
      <c r="B22" s="1776" t="s">
        <v>897</v>
      </c>
      <c r="C22" s="1777"/>
      <c r="D22" s="335" t="s">
        <v>319</v>
      </c>
      <c r="E22" s="335" t="s">
        <v>320</v>
      </c>
      <c r="F22" s="335" t="s">
        <v>898</v>
      </c>
      <c r="G22" s="337" t="s">
        <v>899</v>
      </c>
      <c r="H22" s="143"/>
    </row>
    <row r="23" spans="2:8">
      <c r="B23" s="1783" t="s">
        <v>1812</v>
      </c>
      <c r="C23" s="1784"/>
      <c r="D23" s="392" t="s">
        <v>916</v>
      </c>
      <c r="E23" s="392">
        <f>1/8</f>
        <v>0.125</v>
      </c>
      <c r="F23" s="408">
        <f>+'FP OPERATIVO'!F42</f>
        <v>190938.2033777778</v>
      </c>
      <c r="G23" s="425">
        <f>+E23*F23</f>
        <v>23867.275422222225</v>
      </c>
      <c r="H23" s="162"/>
    </row>
    <row r="24" spans="2:8">
      <c r="B24" s="1715"/>
      <c r="C24" s="1716"/>
      <c r="D24" s="392"/>
      <c r="E24" s="392"/>
      <c r="F24" s="408"/>
      <c r="G24" s="425"/>
      <c r="H24" s="162"/>
    </row>
    <row r="25" spans="2:8" ht="15" thickBot="1">
      <c r="B25" s="1717"/>
      <c r="C25" s="1718"/>
      <c r="D25" s="179"/>
      <c r="E25" s="424"/>
      <c r="F25" s="181"/>
      <c r="G25" s="189"/>
      <c r="H25" s="144"/>
    </row>
    <row r="26" spans="2:8" ht="15" thickBot="1">
      <c r="B26" s="183"/>
      <c r="C26" s="183"/>
      <c r="D26" s="301">
        <f>+H26/$H$37</f>
        <v>0.6162088195807085</v>
      </c>
      <c r="E26" s="190"/>
      <c r="G26" s="186" t="s">
        <v>900</v>
      </c>
      <c r="H26" s="214">
        <f>+ROUND(SUM(G23:G25),0)</f>
        <v>23867</v>
      </c>
    </row>
    <row r="27" spans="2:8" ht="15" thickBot="1">
      <c r="B27" s="183" t="s">
        <v>920</v>
      </c>
      <c r="C27" s="183"/>
    </row>
    <row r="28" spans="2:8">
      <c r="B28" s="1776" t="s">
        <v>897</v>
      </c>
      <c r="C28" s="1777"/>
      <c r="D28" s="335" t="s">
        <v>319</v>
      </c>
      <c r="E28" s="335" t="s">
        <v>320</v>
      </c>
      <c r="F28" s="335" t="s">
        <v>898</v>
      </c>
      <c r="G28" s="337" t="s">
        <v>899</v>
      </c>
      <c r="H28" s="143"/>
    </row>
    <row r="29" spans="2:8">
      <c r="B29" s="1787" t="str">
        <f>EQUIPOS!A33</f>
        <v>Aspersor manual 16 l</v>
      </c>
      <c r="C29" s="1788"/>
      <c r="D29" s="391" t="str">
        <f>+EQUIPOS!B18</f>
        <v>Día</v>
      </c>
      <c r="E29" s="391">
        <f>1/8</f>
        <v>0.125</v>
      </c>
      <c r="F29" s="404">
        <v>5000</v>
      </c>
      <c r="G29" s="405">
        <f>+ROUND((E29*F29),0)</f>
        <v>625</v>
      </c>
      <c r="H29" s="162"/>
    </row>
    <row r="30" spans="2:8" ht="15" thickBot="1">
      <c r="B30" s="1717" t="s">
        <v>905</v>
      </c>
      <c r="C30" s="1718"/>
      <c r="D30" s="179" t="s">
        <v>906</v>
      </c>
      <c r="E30" s="180">
        <v>0.05</v>
      </c>
      <c r="F30" s="192">
        <f>+H26</f>
        <v>23867</v>
      </c>
      <c r="G30" s="193">
        <f>+ROUND((E30*F30),0)</f>
        <v>1193</v>
      </c>
      <c r="H30" s="144"/>
    </row>
    <row r="31" spans="2:8" ht="15" thickBot="1">
      <c r="B31" s="183"/>
      <c r="C31" s="183"/>
      <c r="D31" s="301">
        <f>+H31/$H$37</f>
        <v>3.0801404523391512E-2</v>
      </c>
      <c r="E31" s="190"/>
      <c r="G31" s="212" t="s">
        <v>900</v>
      </c>
      <c r="H31" s="191">
        <f>+ROUND(SUM(G30:G30),0)</f>
        <v>1193</v>
      </c>
    </row>
    <row r="32" spans="2:8" ht="15" thickBot="1">
      <c r="B32" s="183" t="s">
        <v>922</v>
      </c>
      <c r="C32" s="183"/>
    </row>
    <row r="33" spans="2:8">
      <c r="B33" s="419" t="s">
        <v>897</v>
      </c>
      <c r="C33" s="335" t="s">
        <v>319</v>
      </c>
      <c r="D33" s="335" t="s">
        <v>320</v>
      </c>
      <c r="E33" s="335" t="s">
        <v>926</v>
      </c>
      <c r="F33" s="335" t="s">
        <v>898</v>
      </c>
      <c r="G33" s="337" t="s">
        <v>899</v>
      </c>
      <c r="H33" s="143"/>
    </row>
    <row r="34" spans="2:8">
      <c r="B34" s="426" t="s">
        <v>933</v>
      </c>
      <c r="C34" s="427" t="s">
        <v>23</v>
      </c>
      <c r="D34" s="427">
        <v>1.2496</v>
      </c>
      <c r="E34" s="427"/>
      <c r="F34" s="428">
        <v>8000</v>
      </c>
      <c r="G34" s="429">
        <f>+D34*F34</f>
        <v>9996.8000000000011</v>
      </c>
      <c r="H34" s="162"/>
    </row>
    <row r="35" spans="2:8" ht="15" thickBot="1">
      <c r="D35" s="301">
        <f>+H35/$H$37</f>
        <v>0.25810699163482392</v>
      </c>
      <c r="G35" s="212" t="s">
        <v>900</v>
      </c>
      <c r="H35" s="214">
        <f>+ROUND(SUM(G34:G34),0)</f>
        <v>9997</v>
      </c>
    </row>
    <row r="36" spans="2:8" ht="15" thickBot="1">
      <c r="G36" s="186"/>
      <c r="H36" s="194"/>
    </row>
    <row r="37" spans="2:8" ht="15" thickBot="1">
      <c r="B37" s="195"/>
      <c r="C37" s="195"/>
      <c r="D37" s="196"/>
      <c r="E37" s="197" t="s">
        <v>908</v>
      </c>
      <c r="F37" s="198"/>
      <c r="G37" s="198"/>
      <c r="H37" s="153">
        <f>ROUNDUP(SUM(H18:H35),0)</f>
        <v>38732</v>
      </c>
    </row>
    <row r="38" spans="2:8">
      <c r="B38" s="199"/>
      <c r="C38" s="199"/>
      <c r="D38" s="201"/>
      <c r="E38" s="253"/>
      <c r="F38" s="253"/>
      <c r="G38" s="253"/>
      <c r="H38" s="196"/>
    </row>
  </sheetData>
  <mergeCells count="21">
    <mergeCell ref="B2:B6"/>
    <mergeCell ref="C2:H6"/>
    <mergeCell ref="B7:E12"/>
    <mergeCell ref="F7:F8"/>
    <mergeCell ref="G7:H8"/>
    <mergeCell ref="G9:H9"/>
    <mergeCell ref="G10:H10"/>
    <mergeCell ref="F11:F12"/>
    <mergeCell ref="G11:H12"/>
    <mergeCell ref="B13:H14"/>
    <mergeCell ref="D15:G15"/>
    <mergeCell ref="C16:G16"/>
    <mergeCell ref="B18:C18"/>
    <mergeCell ref="B19:C19"/>
    <mergeCell ref="B30:C30"/>
    <mergeCell ref="B24:C24"/>
    <mergeCell ref="B22:C22"/>
    <mergeCell ref="B23:C23"/>
    <mergeCell ref="B25:C25"/>
    <mergeCell ref="B28:C28"/>
    <mergeCell ref="B29:C29"/>
  </mergeCells>
  <pageMargins left="0.7" right="0.7" top="0.75" bottom="0.75" header="0.3" footer="0.3"/>
  <pageSetup scale="51" orientation="portrait" r:id="rId1"/>
  <rowBreaks count="1" manualBreakCount="1">
    <brk id="37" min="1" max="6" man="1"/>
  </row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DDD653-F0BD-4D56-B979-7BB4E60B8B27}">
  <sheetPr>
    <tabColor theme="7" tint="0.79998168889431442"/>
  </sheetPr>
  <dimension ref="B1:H39"/>
  <sheetViews>
    <sheetView view="pageBreakPreview" topLeftCell="A10" zoomScaleNormal="70" zoomScaleSheetLayoutView="100" workbookViewId="0">
      <selection activeCell="D19" sqref="D19:F19"/>
    </sheetView>
  </sheetViews>
  <sheetFormatPr baseColWidth="10" defaultColWidth="11.453125" defaultRowHeight="14.5"/>
  <cols>
    <col min="1" max="1" width="2.08984375" style="1" customWidth="1"/>
    <col min="2" max="2" width="46.81640625" style="151" customWidth="1"/>
    <col min="3" max="3" width="22.81640625" style="151" customWidth="1"/>
    <col min="4" max="4" width="22.08984375" style="1" customWidth="1"/>
    <col min="5" max="5" width="20.81640625" style="1" customWidth="1"/>
    <col min="6" max="6" width="20.36328125" style="1" customWidth="1"/>
    <col min="7" max="7" width="23.36328125" style="1" customWidth="1"/>
    <col min="8" max="8" width="19.36328125" style="1" bestFit="1" customWidth="1"/>
    <col min="9" max="9" width="11.453125" style="1"/>
    <col min="10" max="11" width="15.6328125" style="1" bestFit="1" customWidth="1"/>
    <col min="12" max="12" width="16.6328125" style="1" bestFit="1" customWidth="1"/>
    <col min="13" max="16384" width="11.453125" style="1"/>
  </cols>
  <sheetData>
    <row r="1" spans="2:8" ht="15" thickBot="1"/>
    <row r="2" spans="2:8" ht="14.5" customHeight="1">
      <c r="B2" s="1721"/>
      <c r="C2" s="1746" t="s">
        <v>909</v>
      </c>
      <c r="D2" s="1747"/>
      <c r="E2" s="1747"/>
      <c r="F2" s="1747"/>
      <c r="G2" s="1747"/>
      <c r="H2" s="1748"/>
    </row>
    <row r="3" spans="2:8">
      <c r="B3" s="1722"/>
      <c r="C3" s="1749"/>
      <c r="D3" s="1750"/>
      <c r="E3" s="1750"/>
      <c r="F3" s="1750"/>
      <c r="G3" s="1750"/>
      <c r="H3" s="1751"/>
    </row>
    <row r="4" spans="2:8" ht="23" customHeight="1">
      <c r="B4" s="1722"/>
      <c r="C4" s="1749"/>
      <c r="D4" s="1750"/>
      <c r="E4" s="1750"/>
      <c r="F4" s="1750"/>
      <c r="G4" s="1750"/>
      <c r="H4" s="1751"/>
    </row>
    <row r="5" spans="2:8">
      <c r="B5" s="1722"/>
      <c r="C5" s="1749"/>
      <c r="D5" s="1750"/>
      <c r="E5" s="1750"/>
      <c r="F5" s="1750"/>
      <c r="G5" s="1750"/>
      <c r="H5" s="1751"/>
    </row>
    <row r="6" spans="2:8" ht="38" customHeight="1" thickBot="1">
      <c r="B6" s="1723"/>
      <c r="C6" s="1752"/>
      <c r="D6" s="1753"/>
      <c r="E6" s="1753"/>
      <c r="F6" s="1753"/>
      <c r="G6" s="1753"/>
      <c r="H6" s="1754"/>
    </row>
    <row r="7" spans="2:8" ht="14.5" customHeight="1">
      <c r="B7" s="1724" t="s">
        <v>890</v>
      </c>
      <c r="C7" s="1725"/>
      <c r="D7" s="1726"/>
      <c r="E7" s="1726"/>
      <c r="F7" s="1733" t="s">
        <v>891</v>
      </c>
      <c r="G7" s="1735"/>
      <c r="H7" s="1736"/>
    </row>
    <row r="8" spans="2:8">
      <c r="B8" s="1727"/>
      <c r="C8" s="1728"/>
      <c r="D8" s="1729"/>
      <c r="E8" s="1729"/>
      <c r="F8" s="1734"/>
      <c r="G8" s="1737"/>
      <c r="H8" s="1738"/>
    </row>
    <row r="9" spans="2:8">
      <c r="B9" s="1727"/>
      <c r="C9" s="1728"/>
      <c r="D9" s="1729"/>
      <c r="E9" s="1729"/>
      <c r="F9" s="332" t="s">
        <v>892</v>
      </c>
      <c r="G9" s="1739"/>
      <c r="H9" s="1740"/>
    </row>
    <row r="10" spans="2:8">
      <c r="B10" s="1727"/>
      <c r="C10" s="1728"/>
      <c r="D10" s="1729"/>
      <c r="E10" s="1729"/>
      <c r="F10" s="332" t="s">
        <v>893</v>
      </c>
      <c r="G10" s="1739"/>
      <c r="H10" s="1740"/>
    </row>
    <row r="11" spans="2:8">
      <c r="B11" s="1727"/>
      <c r="C11" s="1728"/>
      <c r="D11" s="1729"/>
      <c r="E11" s="1729"/>
      <c r="F11" s="1734" t="s">
        <v>894</v>
      </c>
      <c r="G11" s="1742"/>
      <c r="H11" s="1743"/>
    </row>
    <row r="12" spans="2:8" ht="15" thickBot="1">
      <c r="B12" s="1730"/>
      <c r="C12" s="1731"/>
      <c r="D12" s="1732"/>
      <c r="E12" s="1732"/>
      <c r="F12" s="1741"/>
      <c r="G12" s="1744"/>
      <c r="H12" s="1745"/>
    </row>
    <row r="13" spans="2:8" ht="14.5" customHeight="1">
      <c r="B13" s="1755" t="str">
        <f>+PRESUPUESTO!A2</f>
        <v>OBJETO: MEJORAMIENTO Y ADECUACIÓN DE LAS VIAS URBANAS DEL MUNICIPIO DE SANTA FE DE ANTIOQUIA</v>
      </c>
      <c r="C13" s="1756"/>
      <c r="D13" s="1757"/>
      <c r="E13" s="1757"/>
      <c r="F13" s="1757"/>
      <c r="G13" s="1757"/>
      <c r="H13" s="1758"/>
    </row>
    <row r="14" spans="2:8" ht="15" thickBot="1">
      <c r="B14" s="1759"/>
      <c r="C14" s="1760"/>
      <c r="D14" s="1761"/>
      <c r="E14" s="1761"/>
      <c r="F14" s="1761"/>
      <c r="G14" s="1761"/>
      <c r="H14" s="1762"/>
    </row>
    <row r="15" spans="2:8" ht="15" customHeight="1" thickBot="1">
      <c r="B15" s="167" t="s">
        <v>1</v>
      </c>
      <c r="C15" s="393"/>
      <c r="D15" s="1763"/>
      <c r="E15" s="1763"/>
      <c r="F15" s="1763"/>
      <c r="G15" s="1763"/>
      <c r="H15" s="168" t="s">
        <v>193</v>
      </c>
    </row>
    <row r="16" spans="2:8" ht="69" customHeight="1" thickBot="1">
      <c r="B16" s="62" t="s">
        <v>1811</v>
      </c>
      <c r="C16" s="1778" t="str">
        <f>+PRESUPUESTO!B11</f>
        <v>Suministro, transporte y colocación de base granular de máximo Ø 1½", reacomodado con medios mecánicos y compactado al  100% mínimo del ensayo del proctor modificado, según normas para la construcción de pavimentos, y todo lo necesario para su correcta construcción y funcionamiento Su medida sera tomada en sitio ya compactado, debe cumplir con los requisitos de invias 301</v>
      </c>
      <c r="D16" s="1779"/>
      <c r="E16" s="1779"/>
      <c r="F16" s="1779"/>
      <c r="G16" s="1780"/>
      <c r="H16" s="169" t="str">
        <f>+PRESUPUESTO!C11</f>
        <v>m³</v>
      </c>
    </row>
    <row r="17" spans="2:8" ht="15" thickBot="1">
      <c r="B17" s="338" t="s">
        <v>896</v>
      </c>
      <c r="C17" s="338"/>
    </row>
    <row r="18" spans="2:8">
      <c r="B18" s="1781" t="s">
        <v>897</v>
      </c>
      <c r="C18" s="1782"/>
      <c r="D18" s="335" t="s">
        <v>319</v>
      </c>
      <c r="E18" s="335" t="s">
        <v>320</v>
      </c>
      <c r="F18" s="335" t="s">
        <v>898</v>
      </c>
      <c r="G18" s="336" t="s">
        <v>899</v>
      </c>
      <c r="H18" s="139"/>
    </row>
    <row r="19" spans="2:8">
      <c r="B19" s="1711" t="str">
        <f>+MATERIALES!B25</f>
        <v>Agua</v>
      </c>
      <c r="C19" s="1712"/>
      <c r="D19" s="174" t="str">
        <f>+MATERIALES!C25</f>
        <v>L</v>
      </c>
      <c r="E19" s="175">
        <v>0.28999999999999998</v>
      </c>
      <c r="F19" s="176">
        <f>+MATERIALES!D25</f>
        <v>500</v>
      </c>
      <c r="G19" s="177">
        <f>+ROUND((E19*F19),0)</f>
        <v>145</v>
      </c>
      <c r="H19" s="140"/>
    </row>
    <row r="20" spans="2:8">
      <c r="B20" s="1711" t="str">
        <f>+MATERIALES!B13</f>
        <v>Base granular</v>
      </c>
      <c r="C20" s="1712"/>
      <c r="D20" s="174" t="str">
        <f>+MATERIALES!C14</f>
        <v>m3</v>
      </c>
      <c r="E20" s="175">
        <v>1.25</v>
      </c>
      <c r="F20" s="176">
        <v>112500</v>
      </c>
      <c r="G20" s="177">
        <f>+ROUND((E20*F20),0)</f>
        <v>140625</v>
      </c>
      <c r="H20" s="140"/>
    </row>
    <row r="21" spans="2:8">
      <c r="B21" s="1711"/>
      <c r="C21" s="1712"/>
      <c r="D21" s="174"/>
      <c r="E21" s="175"/>
      <c r="F21" s="176"/>
      <c r="G21" s="177"/>
      <c r="H21" s="140"/>
    </row>
    <row r="22" spans="2:8" ht="15" thickBot="1">
      <c r="B22" s="1717"/>
      <c r="C22" s="1718"/>
      <c r="D22" s="179"/>
      <c r="E22" s="180"/>
      <c r="F22" s="181"/>
      <c r="G22" s="182"/>
      <c r="H22" s="141"/>
    </row>
    <row r="23" spans="2:8" ht="15" thickBot="1">
      <c r="B23" s="183"/>
      <c r="C23" s="183"/>
      <c r="D23" s="301">
        <f>+H23/$H$38</f>
        <v>0.33816262650770279</v>
      </c>
      <c r="E23" s="185"/>
      <c r="F23" s="65"/>
      <c r="G23" s="212" t="s">
        <v>900</v>
      </c>
      <c r="H23" s="339">
        <f>+ROUND(SUM(G19:G22),0)</f>
        <v>140770</v>
      </c>
    </row>
    <row r="24" spans="2:8" ht="15" thickBot="1">
      <c r="B24" s="183" t="s">
        <v>901</v>
      </c>
      <c r="C24" s="183"/>
    </row>
    <row r="25" spans="2:8">
      <c r="B25" s="1776" t="s">
        <v>897</v>
      </c>
      <c r="C25" s="1777"/>
      <c r="D25" s="335" t="s">
        <v>319</v>
      </c>
      <c r="E25" s="335" t="s">
        <v>320</v>
      </c>
      <c r="F25" s="335" t="s">
        <v>898</v>
      </c>
      <c r="G25" s="336" t="s">
        <v>899</v>
      </c>
      <c r="H25" s="139"/>
    </row>
    <row r="26" spans="2:8" ht="15" thickBot="1">
      <c r="B26" s="1717" t="s">
        <v>925</v>
      </c>
      <c r="C26" s="1718"/>
      <c r="D26" s="179" t="s">
        <v>916</v>
      </c>
      <c r="E26" s="180">
        <v>2.5000000000000001E-2</v>
      </c>
      <c r="F26" s="181">
        <f>+'FP OPERATIVO'!F36</f>
        <v>302186.41694755561</v>
      </c>
      <c r="G26" s="182">
        <f>+ROUND((E26*F26),0)</f>
        <v>7555</v>
      </c>
      <c r="H26" s="142"/>
    </row>
    <row r="27" spans="2:8" ht="15" thickBot="1">
      <c r="B27" s="183"/>
      <c r="C27" s="183"/>
      <c r="D27" s="301">
        <f>+H27/$H$38</f>
        <v>1.8148885723276938E-2</v>
      </c>
      <c r="E27" s="190"/>
      <c r="G27" s="186" t="s">
        <v>900</v>
      </c>
      <c r="H27" s="214">
        <f>+ROUND(SUM(G26),0)</f>
        <v>7555</v>
      </c>
    </row>
    <row r="28" spans="2:8" ht="15" thickBot="1">
      <c r="B28" s="183" t="s">
        <v>920</v>
      </c>
      <c r="C28" s="183"/>
    </row>
    <row r="29" spans="2:8">
      <c r="B29" s="1776" t="s">
        <v>897</v>
      </c>
      <c r="C29" s="1777"/>
      <c r="D29" s="335" t="s">
        <v>319</v>
      </c>
      <c r="E29" s="335" t="s">
        <v>320</v>
      </c>
      <c r="F29" s="335" t="s">
        <v>898</v>
      </c>
      <c r="G29" s="337" t="s">
        <v>899</v>
      </c>
      <c r="H29" s="143"/>
    </row>
    <row r="30" spans="2:8">
      <c r="B30" s="1715" t="str">
        <f>+EQUIPOS!A12</f>
        <v xml:space="preserve">Vibrocompactador </v>
      </c>
      <c r="C30" s="1716"/>
      <c r="D30" s="392" t="str">
        <f>+EQUIPOS!B12</f>
        <v>Hr</v>
      </c>
      <c r="E30" s="392">
        <f>1/65.08</f>
        <v>1.5365703749231715E-2</v>
      </c>
      <c r="F30" s="408">
        <v>70000</v>
      </c>
      <c r="G30" s="406">
        <f t="shared" ref="G30" si="0">+ROUND((E30*F30),0)</f>
        <v>1076</v>
      </c>
      <c r="H30" s="162"/>
    </row>
    <row r="31" spans="2:8" ht="15" thickBot="1">
      <c r="B31" s="1717" t="s">
        <v>905</v>
      </c>
      <c r="C31" s="1718"/>
      <c r="D31" s="179" t="s">
        <v>906</v>
      </c>
      <c r="E31" s="180">
        <v>0.05</v>
      </c>
      <c r="F31" s="192">
        <f>+H27</f>
        <v>7555</v>
      </c>
      <c r="G31" s="193">
        <f>+ROUND((E31*F31),0)</f>
        <v>378</v>
      </c>
      <c r="H31" s="144"/>
    </row>
    <row r="32" spans="2:8" ht="15" thickBot="1">
      <c r="B32" s="183"/>
      <c r="C32" s="183"/>
      <c r="D32" s="301">
        <f>+H32/$H$38</f>
        <v>3.4928497474049857E-3</v>
      </c>
      <c r="E32" s="190"/>
      <c r="G32" s="212" t="s">
        <v>900</v>
      </c>
      <c r="H32" s="191">
        <f>+ROUND(SUM(G30:G31),0)</f>
        <v>1454</v>
      </c>
    </row>
    <row r="33" spans="2:8" ht="15" thickBot="1">
      <c r="B33" s="183" t="s">
        <v>922</v>
      </c>
      <c r="C33" s="183"/>
    </row>
    <row r="34" spans="2:8">
      <c r="B34" s="415" t="s">
        <v>897</v>
      </c>
      <c r="C34" s="335" t="s">
        <v>319</v>
      </c>
      <c r="D34" s="335" t="s">
        <v>320</v>
      </c>
      <c r="E34" s="335" t="s">
        <v>926</v>
      </c>
      <c r="F34" s="335" t="s">
        <v>898</v>
      </c>
      <c r="G34" s="337" t="s">
        <v>899</v>
      </c>
      <c r="H34" s="139"/>
    </row>
    <row r="35" spans="2:8" ht="15" thickBot="1">
      <c r="B35" s="218" t="str">
        <f>+TRANSPORTES!B9</f>
        <v>Transporte de material de base y subbase</v>
      </c>
      <c r="C35" s="416" t="s">
        <v>924</v>
      </c>
      <c r="D35" s="179">
        <v>1.3</v>
      </c>
      <c r="E35" s="417">
        <v>41</v>
      </c>
      <c r="F35" s="192">
        <f>+TRANSPORTES!D9</f>
        <v>5000</v>
      </c>
      <c r="G35" s="193">
        <f>+D35*E35*F35</f>
        <v>266500</v>
      </c>
      <c r="H35" s="142"/>
    </row>
    <row r="36" spans="2:8" ht="15" thickBot="1">
      <c r="D36" s="301">
        <f>+H36/$H$38</f>
        <v>0.64019563802161528</v>
      </c>
      <c r="G36" s="212" t="s">
        <v>900</v>
      </c>
      <c r="H36" s="214">
        <f>+ROUND(SUM(G35),0)</f>
        <v>266500</v>
      </c>
    </row>
    <row r="37" spans="2:8" ht="15" thickBot="1">
      <c r="G37" s="186"/>
      <c r="H37" s="194"/>
    </row>
    <row r="38" spans="2:8" ht="15" thickBot="1">
      <c r="B38" s="195"/>
      <c r="C38" s="195"/>
      <c r="D38" s="196"/>
      <c r="E38" s="197" t="s">
        <v>908</v>
      </c>
      <c r="F38" s="198"/>
      <c r="G38" s="198"/>
      <c r="H38" s="153">
        <f>ROUNDUP(SUM(H18:H36),0)</f>
        <v>416279</v>
      </c>
    </row>
    <row r="39" spans="2:8">
      <c r="B39" s="199"/>
      <c r="C39" s="199"/>
      <c r="D39" s="201"/>
      <c r="E39" s="253"/>
      <c r="F39" s="253"/>
      <c r="G39" s="253"/>
      <c r="H39" s="196"/>
    </row>
  </sheetData>
  <mergeCells count="22">
    <mergeCell ref="B30:C30"/>
    <mergeCell ref="B31:C31"/>
    <mergeCell ref="B21:C21"/>
    <mergeCell ref="B22:C22"/>
    <mergeCell ref="B25:C25"/>
    <mergeCell ref="B26:C26"/>
    <mergeCell ref="B29:C29"/>
    <mergeCell ref="B20:C20"/>
    <mergeCell ref="B2:B6"/>
    <mergeCell ref="C2:H6"/>
    <mergeCell ref="B7:E12"/>
    <mergeCell ref="F7:F8"/>
    <mergeCell ref="G7:H8"/>
    <mergeCell ref="G9:H9"/>
    <mergeCell ref="G10:H10"/>
    <mergeCell ref="F11:F12"/>
    <mergeCell ref="G11:H12"/>
    <mergeCell ref="B13:H14"/>
    <mergeCell ref="D15:G15"/>
    <mergeCell ref="C16:G16"/>
    <mergeCell ref="B18:C18"/>
    <mergeCell ref="B19:C19"/>
  </mergeCells>
  <pageMargins left="0.7" right="0.7" top="0.75" bottom="0.75" header="0.3" footer="0.3"/>
  <pageSetup scale="51" orientation="portrait" r:id="rId1"/>
  <rowBreaks count="1" manualBreakCount="1">
    <brk id="38" min="1" max="6" man="1"/>
  </rowBreaks>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79ED94-274D-4163-AD67-57A8EA3A8E8F}">
  <sheetPr>
    <tabColor theme="7" tint="0.79998168889431442"/>
  </sheetPr>
  <dimension ref="B1:H43"/>
  <sheetViews>
    <sheetView view="pageBreakPreview" topLeftCell="A4" zoomScale="80" zoomScaleNormal="70" zoomScaleSheetLayoutView="80" workbookViewId="0">
      <selection activeCell="J33" sqref="J33"/>
    </sheetView>
  </sheetViews>
  <sheetFormatPr baseColWidth="10" defaultColWidth="11.453125" defaultRowHeight="14.5"/>
  <cols>
    <col min="1" max="1" width="2.08984375" style="1" customWidth="1"/>
    <col min="2" max="2" width="46.81640625" style="151" customWidth="1"/>
    <col min="3" max="3" width="22.81640625" style="151" customWidth="1"/>
    <col min="4" max="4" width="22.08984375" style="1" customWidth="1"/>
    <col min="5" max="5" width="20.81640625" style="1" customWidth="1"/>
    <col min="6" max="6" width="20.36328125" style="1" customWidth="1"/>
    <col min="7" max="7" width="23.36328125" style="1" customWidth="1"/>
    <col min="8" max="8" width="19.36328125" style="1" bestFit="1" customWidth="1"/>
    <col min="9" max="9" width="11.453125" style="1"/>
    <col min="10" max="11" width="15.6328125" style="1" bestFit="1" customWidth="1"/>
    <col min="12" max="12" width="16.6328125" style="1" bestFit="1" customWidth="1"/>
    <col min="13" max="16384" width="11.453125" style="1"/>
  </cols>
  <sheetData>
    <row r="1" spans="2:8" ht="15" thickBot="1"/>
    <row r="2" spans="2:8" ht="14.5" customHeight="1">
      <c r="B2" s="1721"/>
      <c r="C2" s="1746" t="s">
        <v>909</v>
      </c>
      <c r="D2" s="1747"/>
      <c r="E2" s="1747"/>
      <c r="F2" s="1747"/>
      <c r="G2" s="1747"/>
      <c r="H2" s="1748"/>
    </row>
    <row r="3" spans="2:8">
      <c r="B3" s="1722"/>
      <c r="C3" s="1749"/>
      <c r="D3" s="1750"/>
      <c r="E3" s="1750"/>
      <c r="F3" s="1750"/>
      <c r="G3" s="1750"/>
      <c r="H3" s="1751"/>
    </row>
    <row r="4" spans="2:8" ht="23" customHeight="1">
      <c r="B4" s="1722"/>
      <c r="C4" s="1749"/>
      <c r="D4" s="1750"/>
      <c r="E4" s="1750"/>
      <c r="F4" s="1750"/>
      <c r="G4" s="1750"/>
      <c r="H4" s="1751"/>
    </row>
    <row r="5" spans="2:8">
      <c r="B5" s="1722"/>
      <c r="C5" s="1749"/>
      <c r="D5" s="1750"/>
      <c r="E5" s="1750"/>
      <c r="F5" s="1750"/>
      <c r="G5" s="1750"/>
      <c r="H5" s="1751"/>
    </row>
    <row r="6" spans="2:8" ht="38" customHeight="1" thickBot="1">
      <c r="B6" s="1723"/>
      <c r="C6" s="1752"/>
      <c r="D6" s="1753"/>
      <c r="E6" s="1753"/>
      <c r="F6" s="1753"/>
      <c r="G6" s="1753"/>
      <c r="H6" s="1754"/>
    </row>
    <row r="7" spans="2:8" ht="14.5" customHeight="1">
      <c r="B7" s="1724" t="s">
        <v>890</v>
      </c>
      <c r="C7" s="1725"/>
      <c r="D7" s="1726"/>
      <c r="E7" s="1726"/>
      <c r="F7" s="1733" t="s">
        <v>891</v>
      </c>
      <c r="G7" s="1735"/>
      <c r="H7" s="1736"/>
    </row>
    <row r="8" spans="2:8">
      <c r="B8" s="1727"/>
      <c r="C8" s="1728"/>
      <c r="D8" s="1729"/>
      <c r="E8" s="1729"/>
      <c r="F8" s="1734"/>
      <c r="G8" s="1737"/>
      <c r="H8" s="1738"/>
    </row>
    <row r="9" spans="2:8">
      <c r="B9" s="1727"/>
      <c r="C9" s="1728"/>
      <c r="D9" s="1729"/>
      <c r="E9" s="1729"/>
      <c r="F9" s="332" t="s">
        <v>892</v>
      </c>
      <c r="G9" s="1739"/>
      <c r="H9" s="1740"/>
    </row>
    <row r="10" spans="2:8">
      <c r="B10" s="1727"/>
      <c r="C10" s="1728"/>
      <c r="D10" s="1729"/>
      <c r="E10" s="1729"/>
      <c r="F10" s="332" t="s">
        <v>893</v>
      </c>
      <c r="G10" s="1739"/>
      <c r="H10" s="1740"/>
    </row>
    <row r="11" spans="2:8">
      <c r="B11" s="1727"/>
      <c r="C11" s="1728"/>
      <c r="D11" s="1729"/>
      <c r="E11" s="1729"/>
      <c r="F11" s="1734" t="s">
        <v>894</v>
      </c>
      <c r="G11" s="1742"/>
      <c r="H11" s="1743"/>
    </row>
    <row r="12" spans="2:8" ht="15" thickBot="1">
      <c r="B12" s="1730"/>
      <c r="C12" s="1731"/>
      <c r="D12" s="1732"/>
      <c r="E12" s="1732"/>
      <c r="F12" s="1741"/>
      <c r="G12" s="1744"/>
      <c r="H12" s="1745"/>
    </row>
    <row r="13" spans="2:8" ht="14.5" customHeight="1">
      <c r="B13" s="1755" t="str">
        <f>+PRESUPUESTO!A2</f>
        <v>OBJETO: MEJORAMIENTO Y ADECUACIÓN DE LAS VIAS URBANAS DEL MUNICIPIO DE SANTA FE DE ANTIOQUIA</v>
      </c>
      <c r="C13" s="1756"/>
      <c r="D13" s="1757"/>
      <c r="E13" s="1757"/>
      <c r="F13" s="1757"/>
      <c r="G13" s="1757"/>
      <c r="H13" s="1758"/>
    </row>
    <row r="14" spans="2:8" ht="15" thickBot="1">
      <c r="B14" s="1759"/>
      <c r="C14" s="1760"/>
      <c r="D14" s="1761"/>
      <c r="E14" s="1761"/>
      <c r="F14" s="1761"/>
      <c r="G14" s="1761"/>
      <c r="H14" s="1762"/>
    </row>
    <row r="15" spans="2:8" ht="15" customHeight="1" thickBot="1">
      <c r="B15" s="167" t="s">
        <v>1</v>
      </c>
      <c r="C15" s="393"/>
      <c r="D15" s="1763"/>
      <c r="E15" s="1763"/>
      <c r="F15" s="1763"/>
      <c r="G15" s="1763"/>
      <c r="H15" s="168" t="s">
        <v>193</v>
      </c>
    </row>
    <row r="16" spans="2:8" ht="64.5" customHeight="1" thickBot="1">
      <c r="B16" s="62" t="s">
        <v>1798</v>
      </c>
      <c r="C16" s="1778" t="str">
        <f>BALANCE!C36</f>
        <v>Muro de contención aligerado en bloque de 20 cm</v>
      </c>
      <c r="D16" s="1779"/>
      <c r="E16" s="1779"/>
      <c r="F16" s="1779"/>
      <c r="G16" s="1780"/>
      <c r="H16" s="169" t="s">
        <v>987</v>
      </c>
    </row>
    <row r="17" spans="2:8" ht="15" thickBot="1">
      <c r="B17" s="338" t="s">
        <v>896</v>
      </c>
      <c r="C17" s="338"/>
    </row>
    <row r="18" spans="2:8">
      <c r="B18" s="1781" t="s">
        <v>897</v>
      </c>
      <c r="C18" s="1782"/>
      <c r="D18" s="335" t="s">
        <v>319</v>
      </c>
      <c r="E18" s="335" t="s">
        <v>320</v>
      </c>
      <c r="F18" s="335" t="s">
        <v>898</v>
      </c>
      <c r="G18" s="1501" t="s">
        <v>899</v>
      </c>
      <c r="H18" s="1503"/>
    </row>
    <row r="19" spans="2:8">
      <c r="B19" s="1493" t="s">
        <v>1311</v>
      </c>
      <c r="C19" s="1491"/>
      <c r="D19" s="174" t="str">
        <f>+MATERIALES!C25</f>
        <v>L</v>
      </c>
      <c r="E19" s="175">
        <v>0.28999999999999998</v>
      </c>
      <c r="F19" s="176">
        <f>+MATERIALES!D25</f>
        <v>500</v>
      </c>
      <c r="G19" s="177">
        <f t="shared" ref="G19:G20" si="0">+ROUND((E19*F19),0)</f>
        <v>145</v>
      </c>
      <c r="H19" s="1503"/>
    </row>
    <row r="20" spans="2:8">
      <c r="B20" s="217" t="str">
        <f>+'CONCRETOS Y MORTERO'!B61</f>
        <v>Concreto 3.000 psi</v>
      </c>
      <c r="C20" s="1492"/>
      <c r="D20" s="174" t="str">
        <f>+'CONCRETOS Y MORTERO'!C65</f>
        <v>m³</v>
      </c>
      <c r="E20" s="175">
        <v>1.05</v>
      </c>
      <c r="F20" s="176">
        <f>+'CONCRETOS Y MORTERO'!G75</f>
        <v>591127</v>
      </c>
      <c r="G20" s="177">
        <f t="shared" si="0"/>
        <v>620683</v>
      </c>
      <c r="H20" s="1503"/>
    </row>
    <row r="21" spans="2:8" ht="29">
      <c r="B21" s="1490" t="s">
        <v>1084</v>
      </c>
      <c r="C21" s="1487"/>
      <c r="D21" s="392" t="s">
        <v>217</v>
      </c>
      <c r="E21" s="392">
        <v>12.5</v>
      </c>
      <c r="F21" s="1500">
        <f>MATERIALES!D141</f>
        <v>3800</v>
      </c>
      <c r="G21" s="177">
        <f>+ROUND((E21*F21),0)</f>
        <v>47500</v>
      </c>
      <c r="H21" s="1503"/>
    </row>
    <row r="22" spans="2:8">
      <c r="B22" s="1490" t="s">
        <v>970</v>
      </c>
      <c r="C22" s="1498"/>
      <c r="D22" s="1499" t="s">
        <v>1800</v>
      </c>
      <c r="E22" s="1499">
        <v>0.2586</v>
      </c>
      <c r="F22" s="1504">
        <f>MATERIALES!D31</f>
        <v>5980</v>
      </c>
      <c r="G22" s="177">
        <f>+ROUND((E22*F22),0)</f>
        <v>1546</v>
      </c>
      <c r="H22" s="1503"/>
    </row>
    <row r="23" spans="2:8" ht="15" thickBot="1">
      <c r="B23" s="1494" t="s">
        <v>1815</v>
      </c>
      <c r="C23" s="1495"/>
      <c r="D23" s="179" t="s">
        <v>14</v>
      </c>
      <c r="E23" s="180">
        <v>2.1000000000000001E-2</v>
      </c>
      <c r="F23" s="181">
        <v>456832</v>
      </c>
      <c r="G23" s="1502">
        <f>+ROUND((E23*F23),0)</f>
        <v>9593</v>
      </c>
      <c r="H23" s="7"/>
    </row>
    <row r="24" spans="2:8" ht="15" thickBot="1">
      <c r="B24" s="183"/>
      <c r="C24" s="183"/>
      <c r="D24" s="301">
        <f>+H24/$H$42</f>
        <v>0.84039405820583546</v>
      </c>
      <c r="E24" s="185"/>
      <c r="F24" s="65"/>
      <c r="G24" s="212" t="s">
        <v>900</v>
      </c>
      <c r="H24" s="339">
        <f>+ROUND(SUM(G19:G23),0)</f>
        <v>679467</v>
      </c>
    </row>
    <row r="25" spans="2:8" ht="15" thickBot="1">
      <c r="B25" s="183" t="s">
        <v>901</v>
      </c>
      <c r="C25" s="183"/>
    </row>
    <row r="26" spans="2:8">
      <c r="B26" s="1776" t="s">
        <v>897</v>
      </c>
      <c r="C26" s="1777"/>
      <c r="D26" s="335" t="s">
        <v>319</v>
      </c>
      <c r="E26" s="335" t="s">
        <v>320</v>
      </c>
      <c r="F26" s="335" t="s">
        <v>898</v>
      </c>
      <c r="G26" s="337" t="s">
        <v>899</v>
      </c>
      <c r="H26" s="143"/>
    </row>
    <row r="27" spans="2:8">
      <c r="B27" s="1783" t="s">
        <v>1817</v>
      </c>
      <c r="C27" s="1784"/>
      <c r="D27" s="392" t="s">
        <v>916</v>
      </c>
      <c r="E27" s="392">
        <v>0.375</v>
      </c>
      <c r="F27" s="408">
        <f>+'FP OPERATIVO'!F42+'FP OPERATIVO'!F40</f>
        <v>302186.41694755561</v>
      </c>
      <c r="G27" s="425">
        <f>+E27*F27</f>
        <v>113319.90635533335</v>
      </c>
      <c r="H27" s="162"/>
    </row>
    <row r="28" spans="2:8">
      <c r="B28" s="1715"/>
      <c r="C28" s="1716"/>
      <c r="D28" s="392"/>
      <c r="E28" s="392"/>
      <c r="F28" s="408"/>
      <c r="G28" s="425"/>
      <c r="H28" s="162"/>
    </row>
    <row r="29" spans="2:8" ht="15" thickBot="1">
      <c r="B29" s="1717"/>
      <c r="C29" s="1718"/>
      <c r="D29" s="179"/>
      <c r="E29" s="424"/>
      <c r="F29" s="181"/>
      <c r="G29" s="189"/>
      <c r="H29" s="144"/>
    </row>
    <row r="30" spans="2:8" ht="15" thickBot="1">
      <c r="B30" s="183"/>
      <c r="C30" s="183"/>
      <c r="D30" s="301">
        <f>+H30/$H$42</f>
        <v>0.14015905802030895</v>
      </c>
      <c r="E30" s="190"/>
      <c r="G30" s="186" t="s">
        <v>900</v>
      </c>
      <c r="H30" s="214">
        <f>+ROUND(SUM(G27:G29),0)</f>
        <v>113320</v>
      </c>
    </row>
    <row r="31" spans="2:8" ht="15" thickBot="1">
      <c r="B31" s="183" t="s">
        <v>920</v>
      </c>
      <c r="C31" s="183"/>
    </row>
    <row r="32" spans="2:8">
      <c r="B32" s="1776" t="s">
        <v>897</v>
      </c>
      <c r="C32" s="1777"/>
      <c r="D32" s="335" t="s">
        <v>319</v>
      </c>
      <c r="E32" s="335" t="s">
        <v>320</v>
      </c>
      <c r="F32" s="335" t="s">
        <v>898</v>
      </c>
      <c r="G32" s="336" t="s">
        <v>899</v>
      </c>
      <c r="H32" s="139"/>
    </row>
    <row r="33" spans="2:8">
      <c r="B33" s="1497" t="s">
        <v>1816</v>
      </c>
      <c r="C33" s="1496"/>
      <c r="D33" s="1488" t="s">
        <v>298</v>
      </c>
      <c r="E33" s="1488">
        <v>1.9E-3</v>
      </c>
      <c r="F33" s="1506">
        <v>31628</v>
      </c>
      <c r="G33" s="1507">
        <f>+ROUND((E33*F33),0)</f>
        <v>60</v>
      </c>
      <c r="H33" s="147"/>
    </row>
    <row r="34" spans="2:8">
      <c r="B34" s="1525" t="s">
        <v>1820</v>
      </c>
      <c r="C34" s="1526"/>
      <c r="D34" s="1488" t="s">
        <v>298</v>
      </c>
      <c r="E34" s="1488">
        <v>4.1999999999999997E-3</v>
      </c>
      <c r="F34" s="1527">
        <v>407600</v>
      </c>
      <c r="G34" s="1528"/>
      <c r="H34" s="147"/>
    </row>
    <row r="35" spans="2:8" ht="15" thickBot="1">
      <c r="B35" s="218" t="s">
        <v>905</v>
      </c>
      <c r="C35" s="1489"/>
      <c r="D35" s="179" t="s">
        <v>906</v>
      </c>
      <c r="E35" s="180">
        <v>0.05</v>
      </c>
      <c r="F35" s="1505">
        <f>+H30</f>
        <v>113320</v>
      </c>
      <c r="G35" s="1508">
        <f>+ROUND((E35*F35),0)</f>
        <v>5666</v>
      </c>
      <c r="H35" s="142"/>
    </row>
    <row r="36" spans="2:8" ht="15" thickBot="1">
      <c r="B36" s="183"/>
      <c r="C36" s="183"/>
      <c r="D36" s="301">
        <f>+H36/$H$42</f>
        <v>7.0821634859185413E-3</v>
      </c>
      <c r="E36" s="190"/>
      <c r="G36" s="212" t="s">
        <v>900</v>
      </c>
      <c r="H36" s="191">
        <f>+ROUND(SUM(G33:G35),0)</f>
        <v>5726</v>
      </c>
    </row>
    <row r="37" spans="2:8" ht="15" thickBot="1">
      <c r="B37" s="183" t="s">
        <v>922</v>
      </c>
      <c r="C37" s="183"/>
    </row>
    <row r="38" spans="2:8">
      <c r="B38" s="419" t="s">
        <v>897</v>
      </c>
      <c r="C38" s="335" t="s">
        <v>319</v>
      </c>
      <c r="D38" s="335" t="s">
        <v>320</v>
      </c>
      <c r="E38" s="335" t="s">
        <v>926</v>
      </c>
      <c r="F38" s="335" t="s">
        <v>898</v>
      </c>
      <c r="G38" s="337" t="s">
        <v>899</v>
      </c>
      <c r="H38" s="143"/>
    </row>
    <row r="39" spans="2:8">
      <c r="B39" s="426" t="s">
        <v>933</v>
      </c>
      <c r="C39" s="427" t="s">
        <v>23</v>
      </c>
      <c r="D39" s="427">
        <v>1.2496</v>
      </c>
      <c r="E39" s="427"/>
      <c r="F39" s="428">
        <v>8000</v>
      </c>
      <c r="G39" s="429">
        <f>+D39*F39</f>
        <v>9996.8000000000011</v>
      </c>
      <c r="H39" s="162"/>
    </row>
    <row r="40" spans="2:8" ht="15" thickBot="1">
      <c r="D40" s="301">
        <f>+H40/$H$42</f>
        <v>1.2364720287937069E-2</v>
      </c>
      <c r="G40" s="212" t="s">
        <v>900</v>
      </c>
      <c r="H40" s="214">
        <f>+ROUND(SUM(G39:G39),0)</f>
        <v>9997</v>
      </c>
    </row>
    <row r="41" spans="2:8" ht="15" thickBot="1">
      <c r="G41" s="186"/>
      <c r="H41" s="194"/>
    </row>
    <row r="42" spans="2:8" ht="15" thickBot="1">
      <c r="B42" s="195"/>
      <c r="C42" s="195"/>
      <c r="D42" s="196"/>
      <c r="E42" s="197" t="s">
        <v>908</v>
      </c>
      <c r="F42" s="198"/>
      <c r="G42" s="198"/>
      <c r="H42" s="153">
        <f>ROUNDUP(SUM(H18:H40),0)</f>
        <v>808510</v>
      </c>
    </row>
    <row r="43" spans="2:8">
      <c r="B43" s="199"/>
      <c r="C43" s="199"/>
      <c r="D43" s="201"/>
      <c r="E43" s="253"/>
      <c r="F43" s="253"/>
      <c r="G43" s="253"/>
      <c r="H43" s="196"/>
    </row>
  </sheetData>
  <mergeCells count="18">
    <mergeCell ref="B27:C27"/>
    <mergeCell ref="B28:C28"/>
    <mergeCell ref="B29:C29"/>
    <mergeCell ref="B32:C32"/>
    <mergeCell ref="B13:H14"/>
    <mergeCell ref="D15:G15"/>
    <mergeCell ref="C16:G16"/>
    <mergeCell ref="B18:C18"/>
    <mergeCell ref="B26:C26"/>
    <mergeCell ref="B2:B6"/>
    <mergeCell ref="C2:H6"/>
    <mergeCell ref="B7:E12"/>
    <mergeCell ref="F7:F8"/>
    <mergeCell ref="G7:H8"/>
    <mergeCell ref="G9:H9"/>
    <mergeCell ref="G10:H10"/>
    <mergeCell ref="F11:F12"/>
    <mergeCell ref="G11:H12"/>
  </mergeCells>
  <pageMargins left="0.7" right="0.7" top="0.75" bottom="0.75" header="0.3" footer="0.3"/>
  <pageSetup scale="51" orientation="portrait" r:id="rId1"/>
  <rowBreaks count="1" manualBreakCount="1">
    <brk id="42" min="1" max="6" man="1"/>
  </rowBreaks>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6BCE48-2306-4CDA-952E-E5A4AE4514F2}">
  <sheetPr codeName="Hoja13">
    <tabColor theme="7" tint="0.79998168889431442"/>
  </sheetPr>
  <dimension ref="A1:F296"/>
  <sheetViews>
    <sheetView topLeftCell="B1" zoomScaleNormal="100" zoomScaleSheetLayoutView="112" workbookViewId="0">
      <selection activeCell="G13" sqref="G13"/>
    </sheetView>
  </sheetViews>
  <sheetFormatPr baseColWidth="10" defaultColWidth="11.453125" defaultRowHeight="14.5"/>
  <cols>
    <col min="1" max="1" width="11.453125" style="65"/>
    <col min="2" max="2" width="54.453125" style="157" customWidth="1"/>
    <col min="3" max="3" width="11.453125" style="65"/>
    <col min="4" max="4" width="15" style="156" bestFit="1" customWidth="1"/>
    <col min="5" max="16384" width="11.453125" style="65"/>
  </cols>
  <sheetData>
    <row r="1" spans="1:4">
      <c r="A1" s="1792" t="str">
        <f>+PRESUPUESTO!A2</f>
        <v>OBJETO: MEJORAMIENTO Y ADECUACIÓN DE LAS VIAS URBANAS DEL MUNICIPIO DE SANTA FE DE ANTIOQUIA</v>
      </c>
      <c r="B1" s="1793"/>
      <c r="C1" s="1793"/>
      <c r="D1" s="1794"/>
    </row>
    <row r="2" spans="1:4" ht="34.25" customHeight="1">
      <c r="A2" s="1795"/>
      <c r="B2" s="1796"/>
      <c r="C2" s="1796"/>
      <c r="D2" s="1797"/>
    </row>
    <row r="3" spans="1:4">
      <c r="A3" s="1789" t="s">
        <v>935</v>
      </c>
      <c r="B3" s="1790"/>
      <c r="C3" s="1790"/>
      <c r="D3" s="1791"/>
    </row>
    <row r="4" spans="1:4">
      <c r="A4" s="311" t="s">
        <v>936</v>
      </c>
      <c r="B4" s="125" t="s">
        <v>937</v>
      </c>
      <c r="C4" s="125" t="s">
        <v>938</v>
      </c>
      <c r="D4" s="312" t="s">
        <v>939</v>
      </c>
    </row>
    <row r="5" spans="1:4">
      <c r="A5" s="313">
        <v>1</v>
      </c>
      <c r="B5" s="126" t="s">
        <v>940</v>
      </c>
      <c r="C5" s="127" t="s">
        <v>941</v>
      </c>
      <c r="D5" s="314">
        <v>39000</v>
      </c>
    </row>
    <row r="6" spans="1:4">
      <c r="A6" s="313">
        <v>2</v>
      </c>
      <c r="B6" s="126" t="s">
        <v>942</v>
      </c>
      <c r="C6" s="127" t="s">
        <v>69</v>
      </c>
      <c r="D6" s="314">
        <f>+D5/50</f>
        <v>780</v>
      </c>
    </row>
    <row r="7" spans="1:4">
      <c r="A7" s="313">
        <v>3</v>
      </c>
      <c r="B7" s="126" t="s">
        <v>943</v>
      </c>
      <c r="C7" s="128" t="s">
        <v>14</v>
      </c>
      <c r="D7" s="314">
        <v>85000</v>
      </c>
    </row>
    <row r="8" spans="1:4">
      <c r="A8" s="313">
        <v>4</v>
      </c>
      <c r="B8" s="126" t="s">
        <v>944</v>
      </c>
      <c r="C8" s="128" t="s">
        <v>14</v>
      </c>
      <c r="D8" s="314">
        <v>85000</v>
      </c>
    </row>
    <row r="9" spans="1:4">
      <c r="A9" s="313">
        <v>5</v>
      </c>
      <c r="B9" s="126" t="s">
        <v>945</v>
      </c>
      <c r="C9" s="127" t="s">
        <v>14</v>
      </c>
      <c r="D9" s="314">
        <v>85000</v>
      </c>
    </row>
    <row r="10" spans="1:4">
      <c r="A10" s="313">
        <v>6</v>
      </c>
      <c r="B10" s="126" t="s">
        <v>946</v>
      </c>
      <c r="C10" s="127" t="s">
        <v>14</v>
      </c>
      <c r="D10" s="314">
        <v>85000</v>
      </c>
    </row>
    <row r="11" spans="1:4">
      <c r="A11" s="313">
        <v>7</v>
      </c>
      <c r="B11" s="126" t="s">
        <v>947</v>
      </c>
      <c r="C11" s="127" t="s">
        <v>14</v>
      </c>
      <c r="D11" s="314">
        <v>85000</v>
      </c>
    </row>
    <row r="12" spans="1:4">
      <c r="A12" s="313">
        <v>8</v>
      </c>
      <c r="B12" s="126" t="s">
        <v>948</v>
      </c>
      <c r="C12" s="127" t="s">
        <v>14</v>
      </c>
      <c r="D12" s="314">
        <v>85000</v>
      </c>
    </row>
    <row r="13" spans="1:4">
      <c r="A13" s="313">
        <v>9</v>
      </c>
      <c r="B13" s="126" t="s">
        <v>949</v>
      </c>
      <c r="C13" s="127" t="s">
        <v>14</v>
      </c>
      <c r="D13" s="314">
        <f>95000*1.19</f>
        <v>113050</v>
      </c>
    </row>
    <row r="14" spans="1:4">
      <c r="A14" s="313">
        <v>10</v>
      </c>
      <c r="B14" s="126" t="s">
        <v>950</v>
      </c>
      <c r="C14" s="127" t="s">
        <v>14</v>
      </c>
      <c r="D14" s="314">
        <f>80000*1.19</f>
        <v>95200</v>
      </c>
    </row>
    <row r="15" spans="1:4">
      <c r="A15" s="313">
        <v>11</v>
      </c>
      <c r="B15" s="126" t="s">
        <v>951</v>
      </c>
      <c r="C15" s="127" t="s">
        <v>14</v>
      </c>
      <c r="D15" s="314">
        <v>1220000</v>
      </c>
    </row>
    <row r="16" spans="1:4">
      <c r="A16" s="313">
        <v>12</v>
      </c>
      <c r="B16" s="126" t="s">
        <v>952</v>
      </c>
      <c r="C16" s="127" t="s">
        <v>953</v>
      </c>
      <c r="D16" s="314">
        <v>14000</v>
      </c>
    </row>
    <row r="17" spans="1:4">
      <c r="A17" s="313">
        <v>13</v>
      </c>
      <c r="B17" s="126" t="s">
        <v>954</v>
      </c>
      <c r="C17" s="127" t="s">
        <v>14</v>
      </c>
      <c r="D17" s="314">
        <v>50000</v>
      </c>
    </row>
    <row r="18" spans="1:4">
      <c r="A18" s="313">
        <v>14</v>
      </c>
      <c r="B18" s="126" t="s">
        <v>955</v>
      </c>
      <c r="C18" s="127" t="s">
        <v>14</v>
      </c>
      <c r="D18" s="314">
        <v>135000</v>
      </c>
    </row>
    <row r="19" spans="1:4">
      <c r="A19" s="313">
        <v>15</v>
      </c>
      <c r="B19" s="126" t="s">
        <v>956</v>
      </c>
      <c r="C19" s="127" t="s">
        <v>80</v>
      </c>
      <c r="D19" s="314">
        <f>229900/50</f>
        <v>4598</v>
      </c>
    </row>
    <row r="20" spans="1:4">
      <c r="A20" s="313">
        <v>16</v>
      </c>
      <c r="B20" s="126" t="s">
        <v>957</v>
      </c>
      <c r="C20" s="127" t="s">
        <v>938</v>
      </c>
      <c r="D20" s="314">
        <v>13500</v>
      </c>
    </row>
    <row r="21" spans="1:4">
      <c r="A21" s="313">
        <v>17</v>
      </c>
      <c r="B21" s="126" t="s">
        <v>958</v>
      </c>
      <c r="C21" s="127" t="s">
        <v>953</v>
      </c>
      <c r="D21" s="314">
        <v>9500</v>
      </c>
    </row>
    <row r="22" spans="1:4">
      <c r="A22" s="313">
        <v>18</v>
      </c>
      <c r="B22" s="126" t="s">
        <v>959</v>
      </c>
      <c r="C22" s="127" t="s">
        <v>938</v>
      </c>
      <c r="D22" s="314">
        <v>8800</v>
      </c>
    </row>
    <row r="23" spans="1:4">
      <c r="A23" s="313">
        <v>19</v>
      </c>
      <c r="B23" s="126" t="s">
        <v>960</v>
      </c>
      <c r="C23" s="127" t="s">
        <v>913</v>
      </c>
      <c r="D23" s="314">
        <v>5500</v>
      </c>
    </row>
    <row r="24" spans="1:4">
      <c r="A24" s="313">
        <v>20</v>
      </c>
      <c r="B24" s="126" t="s">
        <v>961</v>
      </c>
      <c r="C24" s="127" t="s">
        <v>23</v>
      </c>
      <c r="D24" s="314">
        <v>3000</v>
      </c>
    </row>
    <row r="25" spans="1:4">
      <c r="A25" s="313">
        <v>21</v>
      </c>
      <c r="B25" s="126" t="s">
        <v>962</v>
      </c>
      <c r="C25" s="127" t="s">
        <v>669</v>
      </c>
      <c r="D25" s="314">
        <v>500</v>
      </c>
    </row>
    <row r="26" spans="1:4">
      <c r="A26" s="313">
        <v>22</v>
      </c>
      <c r="B26" s="126" t="s">
        <v>963</v>
      </c>
      <c r="C26" s="127" t="s">
        <v>298</v>
      </c>
      <c r="D26" s="314">
        <v>45000</v>
      </c>
    </row>
    <row r="27" spans="1:4">
      <c r="A27" s="313">
        <v>23</v>
      </c>
      <c r="B27" s="126" t="s">
        <v>964</v>
      </c>
      <c r="C27" s="7" t="s">
        <v>965</v>
      </c>
      <c r="D27" s="314">
        <v>15890</v>
      </c>
    </row>
    <row r="28" spans="1:4">
      <c r="A28" s="313">
        <v>24</v>
      </c>
      <c r="B28" s="126" t="s">
        <v>966</v>
      </c>
      <c r="C28" s="7" t="s">
        <v>965</v>
      </c>
      <c r="D28" s="314">
        <v>46000</v>
      </c>
    </row>
    <row r="29" spans="1:4">
      <c r="A29" s="313">
        <v>25</v>
      </c>
      <c r="B29" s="126" t="s">
        <v>967</v>
      </c>
      <c r="C29" s="127" t="s">
        <v>968</v>
      </c>
      <c r="D29" s="314">
        <f>2800*12</f>
        <v>33600</v>
      </c>
    </row>
    <row r="30" spans="1:4">
      <c r="A30" s="313">
        <v>26</v>
      </c>
      <c r="B30" s="126" t="s">
        <v>969</v>
      </c>
      <c r="C30" s="127" t="s">
        <v>69</v>
      </c>
      <c r="D30" s="314">
        <v>17500</v>
      </c>
    </row>
    <row r="31" spans="1:4">
      <c r="A31" s="313">
        <v>27</v>
      </c>
      <c r="B31" s="126" t="s">
        <v>970</v>
      </c>
      <c r="C31" s="127" t="s">
        <v>69</v>
      </c>
      <c r="D31" s="314">
        <v>5980</v>
      </c>
    </row>
    <row r="32" spans="1:4">
      <c r="A32" s="313">
        <v>28</v>
      </c>
      <c r="B32" s="126" t="s">
        <v>971</v>
      </c>
      <c r="C32" s="127" t="s">
        <v>953</v>
      </c>
      <c r="D32" s="314">
        <v>113200</v>
      </c>
    </row>
    <row r="33" spans="1:4">
      <c r="A33" s="313">
        <v>29</v>
      </c>
      <c r="B33" s="126" t="s">
        <v>972</v>
      </c>
      <c r="C33" s="129" t="s">
        <v>938</v>
      </c>
      <c r="D33" s="262">
        <v>1850</v>
      </c>
    </row>
    <row r="34" spans="1:4">
      <c r="A34" s="313">
        <v>30</v>
      </c>
      <c r="B34" s="126" t="s">
        <v>973</v>
      </c>
      <c r="C34" s="129" t="s">
        <v>80</v>
      </c>
      <c r="D34" s="262">
        <v>13210</v>
      </c>
    </row>
    <row r="35" spans="1:4">
      <c r="A35" s="313">
        <v>31</v>
      </c>
      <c r="B35" s="126" t="s">
        <v>974</v>
      </c>
      <c r="C35" s="129" t="s">
        <v>80</v>
      </c>
      <c r="D35" s="262">
        <f>5600*1.19/3</f>
        <v>2221.3333333333335</v>
      </c>
    </row>
    <row r="36" spans="1:4">
      <c r="A36" s="313">
        <v>32</v>
      </c>
      <c r="B36" s="126" t="s">
        <v>975</v>
      </c>
      <c r="C36" s="129" t="s">
        <v>80</v>
      </c>
      <c r="D36" s="262">
        <v>11000</v>
      </c>
    </row>
    <row r="37" spans="1:4">
      <c r="A37" s="313">
        <v>33</v>
      </c>
      <c r="B37" s="126" t="s">
        <v>976</v>
      </c>
      <c r="C37" s="129" t="s">
        <v>217</v>
      </c>
      <c r="D37" s="262">
        <v>11000</v>
      </c>
    </row>
    <row r="38" spans="1:4">
      <c r="A38" s="313">
        <v>34</v>
      </c>
      <c r="B38" s="126" t="s">
        <v>977</v>
      </c>
      <c r="C38" s="129" t="s">
        <v>217</v>
      </c>
      <c r="D38" s="262">
        <v>6000</v>
      </c>
    </row>
    <row r="39" spans="1:4">
      <c r="A39" s="313">
        <v>35</v>
      </c>
      <c r="B39" s="126" t="s">
        <v>978</v>
      </c>
      <c r="C39" s="127" t="s">
        <v>69</v>
      </c>
      <c r="D39" s="314">
        <v>17900</v>
      </c>
    </row>
    <row r="40" spans="1:4">
      <c r="A40" s="313">
        <v>36</v>
      </c>
      <c r="B40" s="126" t="s">
        <v>979</v>
      </c>
      <c r="C40" s="127" t="s">
        <v>938</v>
      </c>
      <c r="D40" s="314">
        <f>275000</f>
        <v>275000</v>
      </c>
    </row>
    <row r="41" spans="1:4">
      <c r="A41" s="313">
        <v>37</v>
      </c>
      <c r="B41" s="126" t="s">
        <v>980</v>
      </c>
      <c r="C41" s="129" t="s">
        <v>938</v>
      </c>
      <c r="D41" s="314">
        <v>4500</v>
      </c>
    </row>
    <row r="42" spans="1:4">
      <c r="A42" s="313">
        <v>38</v>
      </c>
      <c r="B42" s="126" t="s">
        <v>981</v>
      </c>
      <c r="C42" s="129" t="s">
        <v>938</v>
      </c>
      <c r="D42" s="315">
        <v>168210</v>
      </c>
    </row>
    <row r="43" spans="1:4" ht="29">
      <c r="A43" s="313">
        <v>39</v>
      </c>
      <c r="B43" s="126" t="s">
        <v>982</v>
      </c>
      <c r="C43" s="129" t="s">
        <v>983</v>
      </c>
      <c r="D43" s="262">
        <v>108000</v>
      </c>
    </row>
    <row r="44" spans="1:4" ht="58">
      <c r="A44" s="313">
        <v>40</v>
      </c>
      <c r="B44" s="126" t="s">
        <v>984</v>
      </c>
      <c r="C44" s="129" t="s">
        <v>938</v>
      </c>
      <c r="D44" s="262">
        <v>380900</v>
      </c>
    </row>
    <row r="45" spans="1:4">
      <c r="A45" s="313">
        <v>41</v>
      </c>
      <c r="B45" s="126" t="s">
        <v>985</v>
      </c>
      <c r="C45" s="129" t="s">
        <v>298</v>
      </c>
      <c r="D45" s="262">
        <v>500000</v>
      </c>
    </row>
    <row r="46" spans="1:4">
      <c r="A46" s="313">
        <v>42</v>
      </c>
      <c r="B46" s="126" t="s">
        <v>986</v>
      </c>
      <c r="C46" s="7" t="s">
        <v>987</v>
      </c>
      <c r="D46" s="262">
        <f>ROUND(481000/(18*2.35),0)+250</f>
        <v>11621</v>
      </c>
    </row>
    <row r="47" spans="1:4">
      <c r="A47" s="313">
        <v>43</v>
      </c>
      <c r="B47" s="126" t="s">
        <v>988</v>
      </c>
      <c r="C47" s="7" t="s">
        <v>69</v>
      </c>
      <c r="D47" s="262">
        <v>19900</v>
      </c>
    </row>
    <row r="48" spans="1:4">
      <c r="A48" s="313">
        <v>44</v>
      </c>
      <c r="B48" s="126" t="s">
        <v>989</v>
      </c>
      <c r="C48" s="7" t="s">
        <v>938</v>
      </c>
      <c r="D48" s="262">
        <v>1600</v>
      </c>
    </row>
    <row r="49" spans="1:4">
      <c r="A49" s="313">
        <v>45</v>
      </c>
      <c r="B49" s="126" t="s">
        <v>990</v>
      </c>
      <c r="C49" s="7" t="s">
        <v>80</v>
      </c>
      <c r="D49" s="262">
        <f>ROUND(139900/40+250,0)</f>
        <v>3748</v>
      </c>
    </row>
    <row r="50" spans="1:4">
      <c r="A50" s="313">
        <v>46</v>
      </c>
      <c r="B50" s="126" t="s">
        <v>991</v>
      </c>
      <c r="C50" s="7" t="s">
        <v>34</v>
      </c>
      <c r="D50" s="262">
        <v>1200</v>
      </c>
    </row>
    <row r="51" spans="1:4">
      <c r="A51" s="313">
        <v>47</v>
      </c>
      <c r="B51" s="126" t="s">
        <v>992</v>
      </c>
      <c r="C51" s="7" t="s">
        <v>993</v>
      </c>
      <c r="D51" s="262">
        <v>112000</v>
      </c>
    </row>
    <row r="52" spans="1:4">
      <c r="A52" s="313">
        <v>48</v>
      </c>
      <c r="B52" s="126" t="s">
        <v>994</v>
      </c>
      <c r="C52" s="7" t="s">
        <v>953</v>
      </c>
      <c r="D52" s="262">
        <v>52100</v>
      </c>
    </row>
    <row r="53" spans="1:4">
      <c r="A53" s="313">
        <v>49</v>
      </c>
      <c r="B53" s="126" t="s">
        <v>995</v>
      </c>
      <c r="C53" s="7" t="s">
        <v>217</v>
      </c>
      <c r="D53" s="262">
        <v>1450</v>
      </c>
    </row>
    <row r="54" spans="1:4">
      <c r="A54" s="313">
        <v>50</v>
      </c>
      <c r="B54" s="126" t="s">
        <v>996</v>
      </c>
      <c r="C54" s="7" t="s">
        <v>217</v>
      </c>
      <c r="D54" s="262">
        <v>552907</v>
      </c>
    </row>
    <row r="55" spans="1:4">
      <c r="A55" s="313">
        <v>51</v>
      </c>
      <c r="B55" s="126" t="s">
        <v>997</v>
      </c>
      <c r="C55" s="7" t="s">
        <v>938</v>
      </c>
      <c r="D55" s="262">
        <v>75200</v>
      </c>
    </row>
    <row r="56" spans="1:4" ht="29">
      <c r="A56" s="313">
        <v>52</v>
      </c>
      <c r="B56" s="126" t="s">
        <v>998</v>
      </c>
      <c r="C56" s="7" t="s">
        <v>938</v>
      </c>
      <c r="D56" s="262">
        <v>27500</v>
      </c>
    </row>
    <row r="57" spans="1:4">
      <c r="A57" s="313">
        <v>53</v>
      </c>
      <c r="B57" s="126" t="s">
        <v>999</v>
      </c>
      <c r="C57" s="7" t="s">
        <v>217</v>
      </c>
      <c r="D57" s="262">
        <v>980</v>
      </c>
    </row>
    <row r="58" spans="1:4" ht="29">
      <c r="A58" s="313">
        <v>54</v>
      </c>
      <c r="B58" s="126" t="s">
        <v>1000</v>
      </c>
      <c r="C58" s="7" t="s">
        <v>217</v>
      </c>
      <c r="D58" s="262">
        <v>38500</v>
      </c>
    </row>
    <row r="59" spans="1:4">
      <c r="A59" s="313">
        <v>55</v>
      </c>
      <c r="B59" s="126" t="s">
        <v>1001</v>
      </c>
      <c r="C59" s="7" t="s">
        <v>938</v>
      </c>
      <c r="D59" s="262">
        <v>93000</v>
      </c>
    </row>
    <row r="60" spans="1:4" ht="29">
      <c r="A60" s="313">
        <v>56</v>
      </c>
      <c r="B60" s="126" t="s">
        <v>1002</v>
      </c>
      <c r="C60" s="7" t="s">
        <v>217</v>
      </c>
      <c r="D60" s="262">
        <v>47900</v>
      </c>
    </row>
    <row r="61" spans="1:4">
      <c r="A61" s="313">
        <v>57</v>
      </c>
      <c r="B61" s="126" t="s">
        <v>1003</v>
      </c>
      <c r="C61" s="7" t="s">
        <v>1004</v>
      </c>
      <c r="D61" s="262">
        <v>78910</v>
      </c>
    </row>
    <row r="62" spans="1:4">
      <c r="A62" s="313">
        <v>58</v>
      </c>
      <c r="B62" s="126" t="s">
        <v>1005</v>
      </c>
      <c r="C62" s="7" t="s">
        <v>69</v>
      </c>
      <c r="D62" s="262">
        <f>46900/40</f>
        <v>1172.5</v>
      </c>
    </row>
    <row r="63" spans="1:4">
      <c r="A63" s="313">
        <v>59</v>
      </c>
      <c r="B63" s="126" t="s">
        <v>1006</v>
      </c>
      <c r="C63" s="7" t="s">
        <v>938</v>
      </c>
      <c r="D63" s="262">
        <v>269144.42920000007</v>
      </c>
    </row>
    <row r="64" spans="1:4">
      <c r="A64" s="313">
        <v>60</v>
      </c>
      <c r="B64" s="126" t="s">
        <v>1007</v>
      </c>
      <c r="C64" s="7" t="s">
        <v>938</v>
      </c>
      <c r="D64" s="262">
        <v>32900</v>
      </c>
    </row>
    <row r="65" spans="1:6">
      <c r="A65" s="313">
        <v>61</v>
      </c>
      <c r="B65" s="126" t="s">
        <v>1008</v>
      </c>
      <c r="C65" s="7" t="s">
        <v>938</v>
      </c>
      <c r="D65" s="262">
        <v>33900</v>
      </c>
    </row>
    <row r="66" spans="1:6">
      <c r="A66" s="313">
        <v>62</v>
      </c>
      <c r="B66" s="126" t="s">
        <v>1009</v>
      </c>
      <c r="C66" s="7" t="s">
        <v>938</v>
      </c>
      <c r="D66" s="262">
        <v>380000</v>
      </c>
    </row>
    <row r="67" spans="1:6">
      <c r="A67" s="313">
        <v>63</v>
      </c>
      <c r="B67" s="126" t="s">
        <v>1010</v>
      </c>
      <c r="C67" s="7" t="s">
        <v>938</v>
      </c>
      <c r="D67" s="262">
        <v>32000</v>
      </c>
    </row>
    <row r="68" spans="1:6">
      <c r="A68" s="313">
        <v>64</v>
      </c>
      <c r="B68" s="126" t="s">
        <v>1011</v>
      </c>
      <c r="C68" s="7" t="s">
        <v>938</v>
      </c>
      <c r="D68" s="262">
        <v>100000</v>
      </c>
    </row>
    <row r="69" spans="1:6">
      <c r="A69" s="313">
        <v>65</v>
      </c>
      <c r="B69" s="126" t="s">
        <v>1012</v>
      </c>
      <c r="C69" s="7" t="s">
        <v>80</v>
      </c>
      <c r="D69" s="262">
        <v>836490</v>
      </c>
    </row>
    <row r="70" spans="1:6" ht="32" customHeight="1">
      <c r="A70" s="313">
        <v>66</v>
      </c>
      <c r="B70" s="126" t="s">
        <v>1013</v>
      </c>
      <c r="C70" s="7" t="s">
        <v>938</v>
      </c>
      <c r="D70" s="262">
        <v>479000</v>
      </c>
    </row>
    <row r="71" spans="1:6" ht="29">
      <c r="A71" s="313">
        <v>67</v>
      </c>
      <c r="B71" s="126" t="s">
        <v>1014</v>
      </c>
      <c r="C71" s="7" t="s">
        <v>217</v>
      </c>
      <c r="D71" s="262">
        <v>565000</v>
      </c>
    </row>
    <row r="72" spans="1:6">
      <c r="A72" s="313">
        <v>68</v>
      </c>
      <c r="B72" s="126" t="s">
        <v>1015</v>
      </c>
      <c r="C72" s="7" t="s">
        <v>10</v>
      </c>
      <c r="D72" s="262">
        <v>9983.3333333333339</v>
      </c>
    </row>
    <row r="73" spans="1:6">
      <c r="A73" s="313">
        <v>69</v>
      </c>
      <c r="B73" s="126" t="s">
        <v>1016</v>
      </c>
      <c r="C73" s="7" t="s">
        <v>938</v>
      </c>
      <c r="D73" s="262">
        <v>2750</v>
      </c>
    </row>
    <row r="74" spans="1:6">
      <c r="A74" s="313">
        <v>70</v>
      </c>
      <c r="B74" s="126" t="s">
        <v>1017</v>
      </c>
      <c r="C74" s="7" t="s">
        <v>938</v>
      </c>
      <c r="D74" s="262">
        <v>2850</v>
      </c>
    </row>
    <row r="75" spans="1:6">
      <c r="A75" s="313">
        <v>71</v>
      </c>
      <c r="B75" s="126" t="s">
        <v>1018</v>
      </c>
      <c r="C75" s="7" t="s">
        <v>938</v>
      </c>
      <c r="D75" s="262">
        <v>2750</v>
      </c>
    </row>
    <row r="76" spans="1:6">
      <c r="A76" s="313">
        <v>72</v>
      </c>
      <c r="B76" s="126" t="s">
        <v>1019</v>
      </c>
      <c r="C76" s="7" t="s">
        <v>938</v>
      </c>
      <c r="D76" s="262">
        <v>1850</v>
      </c>
    </row>
    <row r="77" spans="1:6">
      <c r="A77" s="313">
        <v>73</v>
      </c>
      <c r="B77" s="126" t="s">
        <v>1020</v>
      </c>
      <c r="C77" s="7" t="s">
        <v>10</v>
      </c>
      <c r="D77" s="262">
        <v>8287.3333333333339</v>
      </c>
      <c r="E77" s="65">
        <f>16900*1.19</f>
        <v>20111</v>
      </c>
      <c r="F77" s="65">
        <f>+E77/0.805</f>
        <v>24982.608695652172</v>
      </c>
    </row>
    <row r="78" spans="1:6">
      <c r="A78" s="313">
        <v>74</v>
      </c>
      <c r="B78" s="126" t="s">
        <v>1021</v>
      </c>
      <c r="C78" s="7" t="s">
        <v>938</v>
      </c>
      <c r="D78" s="262">
        <v>2250</v>
      </c>
    </row>
    <row r="79" spans="1:6">
      <c r="A79" s="313">
        <v>75</v>
      </c>
      <c r="B79" s="126" t="s">
        <v>1022</v>
      </c>
      <c r="C79" s="7" t="s">
        <v>938</v>
      </c>
      <c r="D79" s="262">
        <v>2150</v>
      </c>
    </row>
    <row r="80" spans="1:6">
      <c r="A80" s="313">
        <v>76</v>
      </c>
      <c r="B80" s="126" t="s">
        <v>1023</v>
      </c>
      <c r="C80" s="7" t="s">
        <v>938</v>
      </c>
      <c r="D80" s="262">
        <v>1940</v>
      </c>
    </row>
    <row r="81" spans="1:4">
      <c r="A81" s="313">
        <v>77</v>
      </c>
      <c r="B81" s="126" t="s">
        <v>1024</v>
      </c>
      <c r="C81" s="7" t="s">
        <v>938</v>
      </c>
      <c r="D81" s="262">
        <v>1433</v>
      </c>
    </row>
    <row r="82" spans="1:4">
      <c r="A82" s="313">
        <v>78</v>
      </c>
      <c r="B82" s="126" t="s">
        <v>1025</v>
      </c>
      <c r="C82" s="7" t="s">
        <v>938</v>
      </c>
      <c r="D82" s="262">
        <v>8950</v>
      </c>
    </row>
    <row r="83" spans="1:4">
      <c r="A83" s="313">
        <v>79</v>
      </c>
      <c r="B83" s="126" t="s">
        <v>1026</v>
      </c>
      <c r="C83" s="7" t="s">
        <v>10</v>
      </c>
      <c r="D83" s="262">
        <v>2640</v>
      </c>
    </row>
    <row r="84" spans="1:4">
      <c r="A84" s="313">
        <v>80</v>
      </c>
      <c r="B84" s="126" t="s">
        <v>1027</v>
      </c>
      <c r="C84" s="7" t="s">
        <v>10</v>
      </c>
      <c r="D84" s="262">
        <v>1766</v>
      </c>
    </row>
    <row r="85" spans="1:4">
      <c r="A85" s="313">
        <v>81</v>
      </c>
      <c r="B85" s="126" t="s">
        <v>1028</v>
      </c>
      <c r="C85" s="7" t="s">
        <v>10</v>
      </c>
      <c r="D85" s="262">
        <v>4284</v>
      </c>
    </row>
    <row r="86" spans="1:4">
      <c r="A86" s="313">
        <v>82</v>
      </c>
      <c r="B86" s="126" t="s">
        <v>1029</v>
      </c>
      <c r="C86" s="7" t="s">
        <v>10</v>
      </c>
      <c r="D86" s="262">
        <v>5712</v>
      </c>
    </row>
    <row r="87" spans="1:4">
      <c r="A87" s="313">
        <v>83</v>
      </c>
      <c r="B87" s="126" t="s">
        <v>1030</v>
      </c>
      <c r="C87" s="7" t="s">
        <v>938</v>
      </c>
      <c r="D87" s="262">
        <v>1750</v>
      </c>
    </row>
    <row r="88" spans="1:4">
      <c r="A88" s="313">
        <v>84</v>
      </c>
      <c r="B88" s="126" t="s">
        <v>1031</v>
      </c>
      <c r="C88" s="7" t="s">
        <v>938</v>
      </c>
      <c r="D88" s="262">
        <v>9390</v>
      </c>
    </row>
    <row r="89" spans="1:4">
      <c r="A89" s="313">
        <v>85</v>
      </c>
      <c r="B89" s="126" t="s">
        <v>1032</v>
      </c>
      <c r="C89" s="174" t="s">
        <v>10</v>
      </c>
      <c r="D89" s="262">
        <f>35800/30</f>
        <v>1193.3333333333333</v>
      </c>
    </row>
    <row r="90" spans="1:4">
      <c r="A90" s="313">
        <v>86</v>
      </c>
      <c r="B90" s="126" t="s">
        <v>1033</v>
      </c>
      <c r="C90" s="174" t="s">
        <v>10</v>
      </c>
      <c r="D90" s="262">
        <v>100617.07409699853</v>
      </c>
    </row>
    <row r="91" spans="1:4">
      <c r="A91" s="313">
        <v>87</v>
      </c>
      <c r="B91" s="126" t="s">
        <v>1034</v>
      </c>
      <c r="C91" s="174" t="s">
        <v>23</v>
      </c>
      <c r="D91" s="262">
        <v>65667</v>
      </c>
    </row>
    <row r="92" spans="1:4">
      <c r="A92" s="313">
        <v>88</v>
      </c>
      <c r="B92" s="126" t="s">
        <v>1035</v>
      </c>
      <c r="C92" s="174" t="s">
        <v>23</v>
      </c>
      <c r="D92" s="262">
        <v>16000</v>
      </c>
    </row>
    <row r="93" spans="1:4" ht="29">
      <c r="A93" s="313">
        <v>89</v>
      </c>
      <c r="B93" s="126" t="s">
        <v>1036</v>
      </c>
      <c r="C93" s="174" t="s">
        <v>23</v>
      </c>
      <c r="D93" s="262">
        <v>126000</v>
      </c>
    </row>
    <row r="94" spans="1:4">
      <c r="A94" s="313">
        <v>90</v>
      </c>
      <c r="B94" s="126" t="s">
        <v>1037</v>
      </c>
      <c r="C94" s="174" t="s">
        <v>23</v>
      </c>
      <c r="D94" s="262">
        <v>64000</v>
      </c>
    </row>
    <row r="95" spans="1:4">
      <c r="A95" s="313">
        <v>91</v>
      </c>
      <c r="B95" s="126" t="s">
        <v>1038</v>
      </c>
      <c r="C95" s="7" t="s">
        <v>938</v>
      </c>
      <c r="D95" s="262">
        <v>423</v>
      </c>
    </row>
    <row r="96" spans="1:4">
      <c r="A96" s="313">
        <v>92</v>
      </c>
      <c r="B96" s="126" t="s">
        <v>1039</v>
      </c>
      <c r="C96" s="7" t="s">
        <v>938</v>
      </c>
      <c r="D96" s="262">
        <v>1350</v>
      </c>
    </row>
    <row r="97" spans="1:4">
      <c r="A97" s="313">
        <v>93</v>
      </c>
      <c r="B97" s="126" t="s">
        <v>1040</v>
      </c>
      <c r="C97" s="7" t="s">
        <v>938</v>
      </c>
      <c r="D97" s="262">
        <v>13500</v>
      </c>
    </row>
    <row r="98" spans="1:4">
      <c r="A98" s="313">
        <v>94</v>
      </c>
      <c r="B98" s="126" t="s">
        <v>1041</v>
      </c>
      <c r="C98" s="7" t="s">
        <v>938</v>
      </c>
      <c r="D98" s="262">
        <v>162000</v>
      </c>
    </row>
    <row r="99" spans="1:4">
      <c r="A99" s="313">
        <v>95</v>
      </c>
      <c r="B99" s="126" t="s">
        <v>1042</v>
      </c>
      <c r="C99" s="7" t="s">
        <v>10</v>
      </c>
      <c r="D99" s="262">
        <v>8900</v>
      </c>
    </row>
    <row r="100" spans="1:4">
      <c r="A100" s="313">
        <v>96</v>
      </c>
      <c r="B100" s="126" t="s">
        <v>1043</v>
      </c>
      <c r="C100" s="7" t="s">
        <v>938</v>
      </c>
      <c r="D100" s="262">
        <v>6890</v>
      </c>
    </row>
    <row r="101" spans="1:4">
      <c r="A101" s="313">
        <v>97</v>
      </c>
      <c r="B101" s="126" t="s">
        <v>1044</v>
      </c>
      <c r="C101" s="7" t="s">
        <v>938</v>
      </c>
      <c r="D101" s="262">
        <v>15900</v>
      </c>
    </row>
    <row r="102" spans="1:4">
      <c r="A102" s="313">
        <v>98</v>
      </c>
      <c r="B102" s="126" t="s">
        <v>1045</v>
      </c>
      <c r="C102" s="7" t="s">
        <v>34</v>
      </c>
      <c r="D102" s="262">
        <v>86000</v>
      </c>
    </row>
    <row r="103" spans="1:4" ht="29">
      <c r="A103" s="313">
        <v>99</v>
      </c>
      <c r="B103" s="126" t="s">
        <v>1046</v>
      </c>
      <c r="C103" s="7" t="s">
        <v>69</v>
      </c>
      <c r="D103" s="262">
        <f>55890/25</f>
        <v>2235.6</v>
      </c>
    </row>
    <row r="104" spans="1:4" ht="29">
      <c r="A104" s="313">
        <v>100</v>
      </c>
      <c r="B104" s="126" t="s">
        <v>1047</v>
      </c>
      <c r="C104" s="7" t="s">
        <v>69</v>
      </c>
      <c r="D104" s="262">
        <v>6250</v>
      </c>
    </row>
    <row r="105" spans="1:4">
      <c r="A105" s="313">
        <v>101</v>
      </c>
      <c r="B105" s="126" t="s">
        <v>1048</v>
      </c>
      <c r="C105" s="7" t="s">
        <v>10</v>
      </c>
      <c r="D105" s="262">
        <v>3625</v>
      </c>
    </row>
    <row r="106" spans="1:4">
      <c r="A106" s="313">
        <v>102</v>
      </c>
      <c r="B106" s="126" t="s">
        <v>1049</v>
      </c>
      <c r="C106" s="7" t="s">
        <v>34</v>
      </c>
      <c r="D106" s="262">
        <v>73580</v>
      </c>
    </row>
    <row r="107" spans="1:4" ht="43.5">
      <c r="A107" s="313">
        <v>103</v>
      </c>
      <c r="B107" s="126" t="s">
        <v>1050</v>
      </c>
      <c r="C107" s="7" t="s">
        <v>938</v>
      </c>
      <c r="D107" s="262">
        <v>58620</v>
      </c>
    </row>
    <row r="108" spans="1:4">
      <c r="A108" s="313">
        <v>104</v>
      </c>
      <c r="B108" s="126" t="s">
        <v>1051</v>
      </c>
      <c r="C108" s="7" t="s">
        <v>69</v>
      </c>
      <c r="D108" s="262">
        <v>2980</v>
      </c>
    </row>
    <row r="109" spans="1:4" ht="29">
      <c r="A109" s="313">
        <v>105</v>
      </c>
      <c r="B109" s="126" t="s">
        <v>1052</v>
      </c>
      <c r="C109" s="7" t="s">
        <v>69</v>
      </c>
      <c r="D109" s="262">
        <v>8800</v>
      </c>
    </row>
    <row r="110" spans="1:4">
      <c r="A110" s="313">
        <v>106</v>
      </c>
      <c r="B110" s="126" t="s">
        <v>1053</v>
      </c>
      <c r="C110" s="7" t="s">
        <v>1004</v>
      </c>
      <c r="D110" s="262">
        <v>76900</v>
      </c>
    </row>
    <row r="111" spans="1:4">
      <c r="A111" s="313">
        <v>107</v>
      </c>
      <c r="B111" s="126" t="s">
        <v>1054</v>
      </c>
      <c r="C111" s="7" t="s">
        <v>1055</v>
      </c>
      <c r="D111" s="262">
        <v>27900</v>
      </c>
    </row>
    <row r="112" spans="1:4">
      <c r="A112" s="313">
        <v>108</v>
      </c>
      <c r="B112" s="126" t="s">
        <v>1056</v>
      </c>
      <c r="C112" s="7" t="s">
        <v>34</v>
      </c>
      <c r="D112" s="262">
        <v>75500</v>
      </c>
    </row>
    <row r="113" spans="1:4">
      <c r="A113" s="313">
        <v>109</v>
      </c>
      <c r="B113" s="126" t="s">
        <v>1057</v>
      </c>
      <c r="C113" s="7" t="s">
        <v>938</v>
      </c>
      <c r="D113" s="262">
        <v>890</v>
      </c>
    </row>
    <row r="114" spans="1:4">
      <c r="A114" s="313">
        <v>110</v>
      </c>
      <c r="B114" s="126" t="s">
        <v>1058</v>
      </c>
      <c r="C114" s="7" t="s">
        <v>938</v>
      </c>
      <c r="D114" s="262">
        <v>2833.3333333333298</v>
      </c>
    </row>
    <row r="115" spans="1:4">
      <c r="A115" s="313">
        <v>111</v>
      </c>
      <c r="B115" s="126" t="s">
        <v>1059</v>
      </c>
      <c r="C115" s="7" t="s">
        <v>34</v>
      </c>
      <c r="D115" s="262">
        <v>2580</v>
      </c>
    </row>
    <row r="116" spans="1:4" ht="43.5">
      <c r="A116" s="313">
        <v>112</v>
      </c>
      <c r="B116" s="126" t="s">
        <v>1060</v>
      </c>
      <c r="C116" s="7" t="s">
        <v>938</v>
      </c>
      <c r="D116" s="262">
        <v>510900</v>
      </c>
    </row>
    <row r="117" spans="1:4">
      <c r="A117" s="313">
        <v>113</v>
      </c>
      <c r="B117" s="126" t="s">
        <v>1061</v>
      </c>
      <c r="C117" s="7" t="s">
        <v>938</v>
      </c>
      <c r="D117" s="262">
        <v>48950</v>
      </c>
    </row>
    <row r="118" spans="1:4">
      <c r="A118" s="313">
        <v>114</v>
      </c>
      <c r="B118" s="126" t="s">
        <v>1062</v>
      </c>
      <c r="C118" s="7" t="s">
        <v>10</v>
      </c>
      <c r="D118" s="262">
        <v>72500</v>
      </c>
    </row>
    <row r="119" spans="1:4">
      <c r="A119" s="313">
        <v>115</v>
      </c>
      <c r="B119" s="126" t="s">
        <v>1063</v>
      </c>
      <c r="C119" s="7" t="s">
        <v>23</v>
      </c>
      <c r="D119" s="262">
        <v>3200</v>
      </c>
    </row>
    <row r="120" spans="1:4">
      <c r="A120" s="313">
        <v>116</v>
      </c>
      <c r="B120" s="126" t="s">
        <v>1064</v>
      </c>
      <c r="C120" s="7" t="s">
        <v>10</v>
      </c>
      <c r="D120" s="262">
        <v>16750</v>
      </c>
    </row>
    <row r="121" spans="1:4">
      <c r="A121" s="313">
        <v>117</v>
      </c>
      <c r="B121" s="126" t="s">
        <v>1065</v>
      </c>
      <c r="C121" s="7" t="s">
        <v>10</v>
      </c>
      <c r="D121" s="262">
        <v>22600</v>
      </c>
    </row>
    <row r="122" spans="1:4">
      <c r="A122" s="313">
        <v>118</v>
      </c>
      <c r="B122" s="126" t="s">
        <v>1066</v>
      </c>
      <c r="C122" s="7" t="s">
        <v>938</v>
      </c>
      <c r="D122" s="262">
        <v>45900</v>
      </c>
    </row>
    <row r="123" spans="1:4">
      <c r="A123" s="313">
        <v>119</v>
      </c>
      <c r="B123" s="126" t="s">
        <v>1067</v>
      </c>
      <c r="C123" s="7" t="s">
        <v>10</v>
      </c>
      <c r="D123" s="262">
        <v>68790</v>
      </c>
    </row>
    <row r="124" spans="1:4">
      <c r="A124" s="313">
        <v>120</v>
      </c>
      <c r="B124" s="126" t="s">
        <v>1068</v>
      </c>
      <c r="C124" s="7" t="s">
        <v>938</v>
      </c>
      <c r="D124" s="262">
        <v>35287</v>
      </c>
    </row>
    <row r="125" spans="1:4" ht="29">
      <c r="A125" s="313">
        <v>121</v>
      </c>
      <c r="B125" s="126" t="s">
        <v>1069</v>
      </c>
      <c r="C125" s="7" t="s">
        <v>938</v>
      </c>
      <c r="D125" s="262">
        <f>81*1.35</f>
        <v>109.35000000000001</v>
      </c>
    </row>
    <row r="126" spans="1:4">
      <c r="A126" s="313">
        <v>122</v>
      </c>
      <c r="B126" s="126" t="s">
        <v>1070</v>
      </c>
      <c r="C126" s="7" t="s">
        <v>23</v>
      </c>
      <c r="D126" s="262">
        <f>290000*1.35</f>
        <v>391500</v>
      </c>
    </row>
    <row r="127" spans="1:4" ht="29">
      <c r="A127" s="313">
        <v>123</v>
      </c>
      <c r="B127" s="126" t="s">
        <v>998</v>
      </c>
      <c r="C127" s="7" t="s">
        <v>23</v>
      </c>
      <c r="D127" s="262">
        <v>32500</v>
      </c>
    </row>
    <row r="128" spans="1:4">
      <c r="A128" s="313">
        <v>124</v>
      </c>
      <c r="B128" s="126" t="s">
        <v>1071</v>
      </c>
      <c r="C128" s="7" t="s">
        <v>34</v>
      </c>
      <c r="D128" s="262">
        <f>85420*1.35</f>
        <v>115317.00000000001</v>
      </c>
    </row>
    <row r="129" spans="1:4">
      <c r="A129" s="313">
        <v>125</v>
      </c>
      <c r="B129" s="126" t="s">
        <v>1072</v>
      </c>
      <c r="C129" s="7" t="s">
        <v>23</v>
      </c>
      <c r="D129" s="262">
        <v>3400</v>
      </c>
    </row>
    <row r="130" spans="1:4">
      <c r="A130" s="313">
        <v>126</v>
      </c>
      <c r="B130" s="126" t="s">
        <v>1073</v>
      </c>
      <c r="C130" s="7" t="s">
        <v>23</v>
      </c>
      <c r="D130" s="262">
        <v>1950</v>
      </c>
    </row>
    <row r="131" spans="1:4" ht="29">
      <c r="A131" s="313">
        <v>127</v>
      </c>
      <c r="B131" s="126" t="s">
        <v>1074</v>
      </c>
      <c r="C131" s="208" t="s">
        <v>10</v>
      </c>
      <c r="D131" s="262">
        <v>2450</v>
      </c>
    </row>
    <row r="132" spans="1:4">
      <c r="A132" s="313">
        <v>128</v>
      </c>
      <c r="B132" s="126" t="s">
        <v>1075</v>
      </c>
      <c r="C132" s="208" t="s">
        <v>23</v>
      </c>
      <c r="D132" s="262">
        <v>99</v>
      </c>
    </row>
    <row r="133" spans="1:4">
      <c r="A133" s="313">
        <v>129</v>
      </c>
      <c r="B133" s="126" t="s">
        <v>1076</v>
      </c>
      <c r="C133" s="208" t="s">
        <v>10</v>
      </c>
      <c r="D133" s="262">
        <v>5300</v>
      </c>
    </row>
    <row r="134" spans="1:4">
      <c r="A134" s="313">
        <v>130</v>
      </c>
      <c r="B134" s="126" t="s">
        <v>1077</v>
      </c>
      <c r="C134" s="208" t="s">
        <v>10</v>
      </c>
      <c r="D134" s="262">
        <v>5200</v>
      </c>
    </row>
    <row r="135" spans="1:4">
      <c r="A135" s="313">
        <v>131</v>
      </c>
      <c r="B135" s="126" t="s">
        <v>1078</v>
      </c>
      <c r="C135" s="208" t="s">
        <v>23</v>
      </c>
      <c r="D135" s="262">
        <f>122000</f>
        <v>122000</v>
      </c>
    </row>
    <row r="136" spans="1:4">
      <c r="A136" s="313">
        <v>132</v>
      </c>
      <c r="B136" s="126" t="s">
        <v>1079</v>
      </c>
      <c r="C136" s="208" t="s">
        <v>23</v>
      </c>
      <c r="D136" s="262">
        <v>56</v>
      </c>
    </row>
    <row r="137" spans="1:4">
      <c r="A137" s="313">
        <v>133</v>
      </c>
      <c r="B137" s="126" t="s">
        <v>1080</v>
      </c>
      <c r="C137" s="208" t="s">
        <v>23</v>
      </c>
      <c r="D137" s="262">
        <v>99</v>
      </c>
    </row>
    <row r="138" spans="1:4">
      <c r="A138" s="313">
        <v>134</v>
      </c>
      <c r="B138" s="126" t="s">
        <v>1081</v>
      </c>
      <c r="C138" s="208" t="s">
        <v>10</v>
      </c>
      <c r="D138" s="262">
        <v>2450</v>
      </c>
    </row>
    <row r="139" spans="1:4">
      <c r="A139" s="313">
        <v>135</v>
      </c>
      <c r="B139" s="126" t="s">
        <v>1082</v>
      </c>
      <c r="C139" s="208" t="s">
        <v>10</v>
      </c>
      <c r="D139" s="262">
        <v>4300</v>
      </c>
    </row>
    <row r="140" spans="1:4">
      <c r="A140" s="313">
        <v>136</v>
      </c>
      <c r="B140" s="126" t="s">
        <v>1083</v>
      </c>
      <c r="C140" s="7" t="s">
        <v>10</v>
      </c>
      <c r="D140" s="262">
        <v>2400</v>
      </c>
    </row>
    <row r="141" spans="1:4" ht="29">
      <c r="A141" s="313">
        <v>137</v>
      </c>
      <c r="B141" s="126" t="s">
        <v>1084</v>
      </c>
      <c r="C141" s="7" t="s">
        <v>23</v>
      </c>
      <c r="D141" s="262">
        <v>3800</v>
      </c>
    </row>
    <row r="142" spans="1:4">
      <c r="A142" s="313">
        <v>138</v>
      </c>
      <c r="B142" s="126" t="s">
        <v>1085</v>
      </c>
      <c r="C142" s="208" t="s">
        <v>34</v>
      </c>
      <c r="D142" s="262">
        <v>28690</v>
      </c>
    </row>
    <row r="143" spans="1:4">
      <c r="A143" s="313">
        <v>139</v>
      </c>
      <c r="B143" s="126" t="s">
        <v>1086</v>
      </c>
      <c r="C143" s="7" t="s">
        <v>69</v>
      </c>
      <c r="D143" s="262">
        <v>23900</v>
      </c>
    </row>
    <row r="144" spans="1:4">
      <c r="A144" s="313">
        <v>140</v>
      </c>
      <c r="B144" s="126" t="s">
        <v>1087</v>
      </c>
      <c r="C144" s="208" t="s">
        <v>10</v>
      </c>
      <c r="D144" s="262">
        <v>28650</v>
      </c>
    </row>
    <row r="145" spans="1:4">
      <c r="A145" s="313">
        <v>141</v>
      </c>
      <c r="B145" s="126" t="s">
        <v>1088</v>
      </c>
      <c r="C145" s="208" t="s">
        <v>10</v>
      </c>
      <c r="D145" s="262">
        <v>12500</v>
      </c>
    </row>
    <row r="146" spans="1:4">
      <c r="A146" s="313">
        <v>142</v>
      </c>
      <c r="B146" s="126" t="s">
        <v>1089</v>
      </c>
      <c r="C146" s="208" t="s">
        <v>34</v>
      </c>
      <c r="D146" s="262">
        <v>141020</v>
      </c>
    </row>
    <row r="147" spans="1:4">
      <c r="A147" s="313">
        <v>143</v>
      </c>
      <c r="B147" s="126" t="s">
        <v>1090</v>
      </c>
      <c r="C147" s="208" t="s">
        <v>69</v>
      </c>
      <c r="D147" s="262">
        <v>3825</v>
      </c>
    </row>
    <row r="148" spans="1:4">
      <c r="A148" s="313">
        <v>144</v>
      </c>
      <c r="B148" s="126" t="s">
        <v>1091</v>
      </c>
      <c r="C148" s="208" t="s">
        <v>10</v>
      </c>
      <c r="D148" s="262">
        <v>4800</v>
      </c>
    </row>
    <row r="149" spans="1:4">
      <c r="A149" s="313">
        <v>145</v>
      </c>
      <c r="B149" s="126" t="s">
        <v>1092</v>
      </c>
      <c r="C149" s="208" t="s">
        <v>1093</v>
      </c>
      <c r="D149" s="262">
        <v>79900</v>
      </c>
    </row>
    <row r="150" spans="1:4" ht="29.5" thickBot="1">
      <c r="A150" s="431">
        <v>146</v>
      </c>
      <c r="B150" s="263" t="s">
        <v>1094</v>
      </c>
      <c r="C150" s="202" t="s">
        <v>23</v>
      </c>
      <c r="D150" s="264">
        <v>459900</v>
      </c>
    </row>
    <row r="151" spans="1:4">
      <c r="A151" s="1"/>
      <c r="B151" s="1"/>
      <c r="C151" s="1"/>
      <c r="D151" s="1"/>
    </row>
    <row r="152" spans="1:4">
      <c r="A152" s="1"/>
      <c r="B152" s="1"/>
      <c r="C152" s="1"/>
      <c r="D152" s="1"/>
    </row>
    <row r="153" spans="1:4">
      <c r="A153" s="1"/>
      <c r="B153" s="1"/>
      <c r="C153" s="1"/>
      <c r="D153" s="1"/>
    </row>
    <row r="154" spans="1:4">
      <c r="A154" s="1"/>
      <c r="B154" s="1"/>
      <c r="C154" s="1"/>
      <c r="D154" s="1"/>
    </row>
    <row r="155" spans="1:4">
      <c r="A155" s="1"/>
      <c r="B155" s="1"/>
      <c r="C155" s="1"/>
      <c r="D155" s="1"/>
    </row>
    <row r="156" spans="1:4">
      <c r="A156" s="1"/>
      <c r="B156" s="1"/>
      <c r="C156" s="1"/>
      <c r="D156" s="1"/>
    </row>
    <row r="157" spans="1:4">
      <c r="A157" s="1"/>
      <c r="B157" s="1"/>
      <c r="C157" s="1"/>
      <c r="D157" s="1"/>
    </row>
    <row r="158" spans="1:4">
      <c r="A158" s="1"/>
      <c r="B158" s="1"/>
      <c r="C158" s="1"/>
      <c r="D158" s="1"/>
    </row>
    <row r="159" spans="1:4">
      <c r="A159" s="1"/>
      <c r="B159" s="1"/>
      <c r="C159" s="1"/>
      <c r="D159" s="1"/>
    </row>
    <row r="160" spans="1:4">
      <c r="A160" s="1"/>
      <c r="B160" s="1"/>
      <c r="C160" s="1"/>
      <c r="D160" s="1"/>
    </row>
    <row r="161" spans="1:4">
      <c r="A161" s="1"/>
      <c r="B161" s="1"/>
      <c r="C161" s="1"/>
      <c r="D161" s="1"/>
    </row>
    <row r="162" spans="1:4">
      <c r="A162" s="1"/>
      <c r="B162" s="1"/>
      <c r="C162" s="1"/>
      <c r="D162" s="1"/>
    </row>
    <row r="163" spans="1:4">
      <c r="A163" s="1"/>
      <c r="B163" s="1"/>
      <c r="C163" s="1"/>
      <c r="D163" s="1"/>
    </row>
    <row r="164" spans="1:4">
      <c r="A164" s="1"/>
      <c r="B164" s="1"/>
      <c r="C164" s="1"/>
      <c r="D164" s="1"/>
    </row>
    <row r="165" spans="1:4">
      <c r="A165" s="1"/>
      <c r="B165" s="1"/>
      <c r="C165" s="1"/>
      <c r="D165" s="1"/>
    </row>
    <row r="166" spans="1:4">
      <c r="A166" s="1"/>
      <c r="B166" s="1"/>
      <c r="C166" s="1"/>
      <c r="D166" s="1"/>
    </row>
    <row r="167" spans="1:4">
      <c r="A167" s="1"/>
      <c r="B167" s="1"/>
      <c r="C167" s="1"/>
      <c r="D167" s="1"/>
    </row>
    <row r="168" spans="1:4">
      <c r="A168" s="1"/>
      <c r="B168" s="1"/>
      <c r="C168" s="1"/>
      <c r="D168" s="1"/>
    </row>
    <row r="169" spans="1:4">
      <c r="A169" s="1"/>
      <c r="B169" s="1"/>
      <c r="C169" s="1"/>
      <c r="D169" s="1"/>
    </row>
    <row r="170" spans="1:4">
      <c r="A170" s="1"/>
      <c r="B170" s="1"/>
      <c r="C170" s="1"/>
      <c r="D170" s="1"/>
    </row>
    <row r="171" spans="1:4">
      <c r="A171" s="1"/>
      <c r="B171" s="1"/>
      <c r="C171" s="1"/>
      <c r="D171" s="1"/>
    </row>
    <row r="172" spans="1:4">
      <c r="A172" s="1"/>
      <c r="B172" s="1"/>
      <c r="C172" s="1"/>
      <c r="D172" s="1"/>
    </row>
    <row r="173" spans="1:4">
      <c r="A173" s="1"/>
      <c r="B173" s="1"/>
      <c r="C173" s="1"/>
      <c r="D173" s="1"/>
    </row>
    <row r="174" spans="1:4">
      <c r="A174" s="1"/>
      <c r="B174" s="1"/>
      <c r="C174" s="1"/>
      <c r="D174" s="1"/>
    </row>
    <row r="175" spans="1:4">
      <c r="A175" s="1"/>
      <c r="B175" s="1"/>
      <c r="C175" s="1"/>
      <c r="D175" s="1"/>
    </row>
    <row r="176" spans="1:4">
      <c r="A176" s="1"/>
      <c r="B176" s="1"/>
      <c r="C176" s="1"/>
      <c r="D176" s="1"/>
    </row>
    <row r="177" spans="1:4">
      <c r="A177" s="1"/>
      <c r="B177" s="1"/>
      <c r="C177" s="1"/>
      <c r="D177" s="1"/>
    </row>
    <row r="178" spans="1:4">
      <c r="A178" s="1"/>
      <c r="B178" s="1"/>
      <c r="C178" s="1"/>
      <c r="D178" s="1"/>
    </row>
    <row r="179" spans="1:4">
      <c r="A179" s="1"/>
      <c r="B179" s="1"/>
      <c r="C179" s="1"/>
      <c r="D179" s="1"/>
    </row>
    <row r="180" spans="1:4">
      <c r="A180" s="1"/>
      <c r="B180" s="1"/>
      <c r="C180" s="1"/>
      <c r="D180" s="1"/>
    </row>
    <row r="181" spans="1:4">
      <c r="A181" s="1"/>
      <c r="B181" s="1"/>
      <c r="C181" s="1"/>
      <c r="D181" s="1"/>
    </row>
    <row r="182" spans="1:4">
      <c r="A182" s="1"/>
      <c r="B182" s="1"/>
      <c r="C182" s="1"/>
      <c r="D182" s="1"/>
    </row>
    <row r="183" spans="1:4">
      <c r="A183" s="1"/>
      <c r="B183" s="1"/>
      <c r="C183" s="1"/>
      <c r="D183" s="1"/>
    </row>
    <row r="184" spans="1:4">
      <c r="A184" s="1"/>
      <c r="B184" s="1"/>
      <c r="C184" s="1"/>
      <c r="D184" s="1"/>
    </row>
    <row r="185" spans="1:4">
      <c r="A185" s="1"/>
      <c r="B185" s="1"/>
      <c r="C185" s="1"/>
      <c r="D185" s="1"/>
    </row>
    <row r="186" spans="1:4">
      <c r="A186" s="1"/>
      <c r="B186" s="1"/>
      <c r="C186" s="1"/>
      <c r="D186" s="1"/>
    </row>
    <row r="187" spans="1:4">
      <c r="A187" s="1"/>
      <c r="B187" s="1"/>
      <c r="C187" s="1"/>
      <c r="D187" s="1"/>
    </row>
    <row r="188" spans="1:4">
      <c r="A188" s="1"/>
      <c r="B188" s="1"/>
      <c r="C188" s="1"/>
      <c r="D188" s="1"/>
    </row>
    <row r="189" spans="1:4">
      <c r="A189" s="1"/>
      <c r="B189" s="1"/>
      <c r="C189" s="1"/>
      <c r="D189" s="1"/>
    </row>
    <row r="190" spans="1:4">
      <c r="A190" s="1"/>
      <c r="B190" s="1"/>
      <c r="C190" s="1"/>
      <c r="D190" s="1"/>
    </row>
    <row r="191" spans="1:4">
      <c r="A191" s="1"/>
      <c r="B191" s="1"/>
      <c r="C191" s="1"/>
      <c r="D191" s="1"/>
    </row>
    <row r="192" spans="1:4">
      <c r="A192" s="1"/>
      <c r="B192" s="1"/>
      <c r="C192" s="1"/>
      <c r="D192" s="1"/>
    </row>
    <row r="193" spans="1:4">
      <c r="A193" s="1"/>
      <c r="B193" s="1"/>
      <c r="C193" s="1"/>
      <c r="D193" s="1"/>
    </row>
    <row r="194" spans="1:4">
      <c r="A194" s="1"/>
      <c r="B194" s="1"/>
      <c r="C194" s="1"/>
      <c r="D194" s="1"/>
    </row>
    <row r="195" spans="1:4">
      <c r="A195" s="1"/>
      <c r="B195" s="1"/>
      <c r="C195" s="1"/>
      <c r="D195" s="1"/>
    </row>
    <row r="196" spans="1:4">
      <c r="A196" s="1"/>
      <c r="B196" s="1"/>
      <c r="C196" s="1"/>
      <c r="D196" s="1"/>
    </row>
    <row r="197" spans="1:4">
      <c r="A197" s="1"/>
      <c r="B197" s="1"/>
      <c r="C197" s="1"/>
      <c r="D197" s="1"/>
    </row>
    <row r="198" spans="1:4">
      <c r="A198" s="1"/>
      <c r="B198" s="1"/>
      <c r="C198" s="1"/>
      <c r="D198" s="1"/>
    </row>
    <row r="199" spans="1:4">
      <c r="A199" s="1"/>
      <c r="B199" s="1"/>
      <c r="C199" s="1"/>
      <c r="D199" s="1"/>
    </row>
    <row r="200" spans="1:4">
      <c r="A200" s="1"/>
      <c r="B200" s="1"/>
      <c r="C200" s="1"/>
      <c r="D200" s="1"/>
    </row>
    <row r="201" spans="1:4">
      <c r="A201" s="1"/>
      <c r="B201" s="1"/>
      <c r="C201" s="1"/>
      <c r="D201" s="1"/>
    </row>
    <row r="202" spans="1:4">
      <c r="A202" s="1"/>
      <c r="B202" s="1"/>
      <c r="C202" s="1"/>
      <c r="D202" s="1"/>
    </row>
    <row r="203" spans="1:4">
      <c r="A203" s="1"/>
      <c r="B203" s="1"/>
      <c r="C203" s="1"/>
      <c r="D203" s="1"/>
    </row>
    <row r="204" spans="1:4">
      <c r="A204" s="1"/>
      <c r="B204" s="1"/>
      <c r="C204" s="1"/>
      <c r="D204" s="1"/>
    </row>
    <row r="205" spans="1:4">
      <c r="A205" s="1"/>
      <c r="B205" s="1"/>
      <c r="C205" s="1"/>
      <c r="D205" s="1"/>
    </row>
    <row r="206" spans="1:4">
      <c r="A206" s="1"/>
      <c r="B206" s="1"/>
      <c r="C206" s="1"/>
      <c r="D206" s="1"/>
    </row>
    <row r="207" spans="1:4">
      <c r="A207" s="1"/>
      <c r="B207" s="1"/>
      <c r="C207" s="1"/>
      <c r="D207" s="1"/>
    </row>
    <row r="208" spans="1:4">
      <c r="A208" s="1"/>
      <c r="B208" s="1"/>
      <c r="C208" s="1"/>
      <c r="D208" s="1"/>
    </row>
    <row r="209" spans="1:4">
      <c r="A209" s="1"/>
      <c r="B209" s="1"/>
      <c r="C209" s="1"/>
      <c r="D209" s="1"/>
    </row>
    <row r="210" spans="1:4">
      <c r="A210" s="1"/>
      <c r="B210" s="1"/>
      <c r="C210" s="1"/>
      <c r="D210" s="1"/>
    </row>
    <row r="211" spans="1:4">
      <c r="A211" s="1"/>
      <c r="B211" s="1"/>
      <c r="C211" s="1"/>
      <c r="D211" s="1"/>
    </row>
    <row r="212" spans="1:4">
      <c r="A212" s="1"/>
      <c r="B212" s="1"/>
      <c r="C212" s="1"/>
      <c r="D212" s="1"/>
    </row>
    <row r="213" spans="1:4">
      <c r="A213" s="1"/>
      <c r="B213" s="1"/>
      <c r="C213" s="1"/>
      <c r="D213" s="1"/>
    </row>
    <row r="214" spans="1:4">
      <c r="A214" s="1"/>
      <c r="B214" s="1"/>
      <c r="C214" s="1"/>
      <c r="D214" s="1"/>
    </row>
    <row r="215" spans="1:4">
      <c r="A215" s="1"/>
      <c r="B215" s="1"/>
      <c r="C215" s="1"/>
      <c r="D215" s="1"/>
    </row>
    <row r="216" spans="1:4">
      <c r="A216" s="1"/>
      <c r="B216" s="1"/>
      <c r="C216" s="1"/>
      <c r="D216" s="1"/>
    </row>
    <row r="217" spans="1:4">
      <c r="A217" s="1"/>
      <c r="B217" s="1"/>
      <c r="C217" s="1"/>
      <c r="D217" s="1"/>
    </row>
    <row r="218" spans="1:4">
      <c r="A218" s="1"/>
      <c r="B218" s="1"/>
      <c r="C218" s="1"/>
      <c r="D218" s="1"/>
    </row>
    <row r="219" spans="1:4">
      <c r="A219" s="1"/>
      <c r="B219" s="1"/>
      <c r="C219" s="1"/>
      <c r="D219" s="1"/>
    </row>
    <row r="220" spans="1:4">
      <c r="A220" s="1"/>
      <c r="B220" s="1"/>
      <c r="C220" s="1"/>
      <c r="D220" s="1"/>
    </row>
    <row r="221" spans="1:4">
      <c r="A221" s="1"/>
      <c r="B221" s="1"/>
      <c r="C221" s="1"/>
      <c r="D221" s="1"/>
    </row>
    <row r="222" spans="1:4">
      <c r="A222" s="1"/>
      <c r="B222" s="1"/>
      <c r="C222" s="1"/>
      <c r="D222" s="1"/>
    </row>
    <row r="223" spans="1:4">
      <c r="A223" s="1"/>
      <c r="B223" s="1"/>
      <c r="C223" s="1"/>
      <c r="D223" s="1"/>
    </row>
    <row r="224" spans="1:4">
      <c r="A224" s="1"/>
      <c r="B224" s="1"/>
      <c r="C224" s="1"/>
      <c r="D224" s="1"/>
    </row>
    <row r="225" spans="1:4">
      <c r="A225" s="1"/>
      <c r="B225" s="1"/>
      <c r="C225" s="1"/>
      <c r="D225" s="1"/>
    </row>
    <row r="226" spans="1:4">
      <c r="A226" s="1"/>
      <c r="B226" s="1"/>
      <c r="C226" s="1"/>
      <c r="D226" s="1"/>
    </row>
    <row r="227" spans="1:4">
      <c r="A227" s="1"/>
      <c r="B227" s="1"/>
      <c r="C227" s="1"/>
      <c r="D227" s="1"/>
    </row>
    <row r="228" spans="1:4">
      <c r="A228" s="1"/>
      <c r="B228" s="1"/>
      <c r="C228" s="1"/>
      <c r="D228" s="1"/>
    </row>
    <row r="229" spans="1:4">
      <c r="A229" s="1"/>
      <c r="B229" s="1"/>
      <c r="C229" s="1"/>
      <c r="D229" s="1"/>
    </row>
    <row r="230" spans="1:4">
      <c r="A230" s="1"/>
      <c r="B230" s="1"/>
      <c r="C230" s="1"/>
      <c r="D230" s="1"/>
    </row>
    <row r="231" spans="1:4">
      <c r="A231" s="1"/>
      <c r="B231" s="1"/>
      <c r="C231" s="1"/>
      <c r="D231" s="1"/>
    </row>
    <row r="232" spans="1:4">
      <c r="A232" s="1"/>
      <c r="B232" s="1"/>
      <c r="C232" s="1"/>
      <c r="D232" s="1"/>
    </row>
    <row r="233" spans="1:4">
      <c r="A233" s="1"/>
      <c r="B233" s="1"/>
      <c r="C233" s="1"/>
      <c r="D233" s="1"/>
    </row>
    <row r="234" spans="1:4">
      <c r="A234" s="1"/>
      <c r="B234" s="1"/>
      <c r="C234" s="1"/>
      <c r="D234" s="1"/>
    </row>
    <row r="235" spans="1:4">
      <c r="A235" s="1"/>
      <c r="B235" s="1"/>
      <c r="C235" s="1"/>
      <c r="D235" s="1"/>
    </row>
    <row r="236" spans="1:4">
      <c r="A236" s="1"/>
      <c r="B236" s="1"/>
      <c r="C236" s="1"/>
      <c r="D236" s="1"/>
    </row>
    <row r="237" spans="1:4">
      <c r="A237" s="1"/>
      <c r="B237" s="1"/>
      <c r="C237" s="1"/>
      <c r="D237" s="1"/>
    </row>
    <row r="238" spans="1:4">
      <c r="A238" s="1"/>
      <c r="B238" s="1"/>
      <c r="C238" s="1"/>
      <c r="D238" s="1"/>
    </row>
    <row r="239" spans="1:4">
      <c r="A239" s="1"/>
      <c r="B239" s="1"/>
      <c r="C239" s="1"/>
      <c r="D239" s="1"/>
    </row>
    <row r="240" spans="1:4">
      <c r="A240" s="1"/>
      <c r="B240" s="1"/>
      <c r="C240" s="1"/>
      <c r="D240" s="1"/>
    </row>
    <row r="241" spans="1:4">
      <c r="A241" s="1"/>
      <c r="B241" s="1"/>
      <c r="C241" s="1"/>
      <c r="D241" s="1"/>
    </row>
    <row r="242" spans="1:4">
      <c r="A242" s="1"/>
      <c r="B242" s="1"/>
      <c r="C242" s="1"/>
      <c r="D242" s="1"/>
    </row>
    <row r="243" spans="1:4">
      <c r="A243" s="1"/>
      <c r="B243" s="1"/>
      <c r="C243" s="1"/>
      <c r="D243" s="1"/>
    </row>
    <row r="244" spans="1:4">
      <c r="A244" s="1"/>
      <c r="B244" s="1"/>
      <c r="C244" s="1"/>
      <c r="D244" s="1"/>
    </row>
    <row r="245" spans="1:4">
      <c r="A245" s="1"/>
      <c r="B245" s="1"/>
      <c r="C245" s="1"/>
      <c r="D245" s="1"/>
    </row>
    <row r="246" spans="1:4">
      <c r="A246" s="1"/>
      <c r="B246" s="1"/>
      <c r="C246" s="1"/>
      <c r="D246" s="1"/>
    </row>
    <row r="247" spans="1:4">
      <c r="A247" s="1"/>
      <c r="B247" s="1"/>
      <c r="C247" s="1"/>
      <c r="D247" s="1"/>
    </row>
    <row r="248" spans="1:4">
      <c r="A248" s="1"/>
      <c r="B248" s="1"/>
      <c r="C248" s="1"/>
      <c r="D248" s="1"/>
    </row>
    <row r="249" spans="1:4">
      <c r="A249" s="1"/>
      <c r="B249" s="1"/>
      <c r="C249" s="1"/>
      <c r="D249" s="1"/>
    </row>
    <row r="250" spans="1:4">
      <c r="A250" s="1"/>
      <c r="B250" s="1"/>
      <c r="C250" s="1"/>
      <c r="D250" s="1"/>
    </row>
    <row r="251" spans="1:4">
      <c r="A251" s="1"/>
      <c r="B251" s="1"/>
      <c r="C251" s="1"/>
      <c r="D251" s="1"/>
    </row>
    <row r="252" spans="1:4">
      <c r="A252" s="1"/>
      <c r="B252" s="1"/>
      <c r="C252" s="1"/>
      <c r="D252" s="1"/>
    </row>
    <row r="253" spans="1:4">
      <c r="A253" s="1"/>
      <c r="B253" s="1"/>
      <c r="C253" s="1"/>
      <c r="D253" s="1"/>
    </row>
    <row r="254" spans="1:4">
      <c r="A254" s="1"/>
      <c r="B254" s="1"/>
      <c r="C254" s="1"/>
      <c r="D254" s="1"/>
    </row>
    <row r="255" spans="1:4">
      <c r="A255" s="1"/>
      <c r="B255" s="1"/>
      <c r="C255" s="1"/>
      <c r="D255" s="1"/>
    </row>
    <row r="256" spans="1:4">
      <c r="A256" s="1"/>
      <c r="B256" s="1"/>
      <c r="C256" s="1"/>
      <c r="D256" s="1"/>
    </row>
    <row r="257" spans="1:4">
      <c r="A257" s="1"/>
      <c r="B257" s="1"/>
      <c r="C257" s="1"/>
      <c r="D257" s="1"/>
    </row>
    <row r="258" spans="1:4">
      <c r="A258" s="1"/>
      <c r="B258" s="1"/>
      <c r="C258" s="1"/>
      <c r="D258" s="1"/>
    </row>
    <row r="259" spans="1:4">
      <c r="A259" s="1"/>
      <c r="B259" s="1"/>
      <c r="C259" s="1"/>
      <c r="D259" s="1"/>
    </row>
    <row r="260" spans="1:4">
      <c r="A260" s="1"/>
      <c r="B260" s="1"/>
      <c r="C260" s="1"/>
      <c r="D260" s="1"/>
    </row>
    <row r="261" spans="1:4">
      <c r="A261" s="1"/>
      <c r="B261" s="1"/>
      <c r="C261" s="1"/>
      <c r="D261" s="1"/>
    </row>
    <row r="262" spans="1:4">
      <c r="A262" s="1"/>
      <c r="B262" s="1"/>
      <c r="C262" s="1"/>
      <c r="D262" s="1"/>
    </row>
    <row r="263" spans="1:4">
      <c r="A263" s="1"/>
      <c r="B263" s="1"/>
      <c r="C263" s="1"/>
      <c r="D263" s="1"/>
    </row>
    <row r="264" spans="1:4">
      <c r="A264" s="1"/>
      <c r="B264" s="1"/>
      <c r="C264" s="1"/>
      <c r="D264" s="1"/>
    </row>
    <row r="265" spans="1:4">
      <c r="A265" s="1"/>
      <c r="B265" s="1"/>
      <c r="C265" s="1"/>
      <c r="D265" s="1"/>
    </row>
    <row r="266" spans="1:4">
      <c r="A266" s="1"/>
      <c r="B266" s="1"/>
      <c r="C266" s="1"/>
      <c r="D266" s="1"/>
    </row>
    <row r="267" spans="1:4">
      <c r="A267" s="1"/>
      <c r="B267" s="1"/>
      <c r="C267" s="1"/>
      <c r="D267" s="1"/>
    </row>
    <row r="268" spans="1:4">
      <c r="A268" s="1"/>
      <c r="B268" s="1"/>
      <c r="C268" s="1"/>
      <c r="D268" s="1"/>
    </row>
    <row r="269" spans="1:4">
      <c r="A269" s="1"/>
      <c r="B269" s="1"/>
      <c r="C269" s="1"/>
      <c r="D269" s="1"/>
    </row>
    <row r="270" spans="1:4">
      <c r="A270" s="1"/>
      <c r="B270" s="1"/>
      <c r="C270" s="1"/>
      <c r="D270" s="1"/>
    </row>
    <row r="271" spans="1:4">
      <c r="A271" s="1"/>
      <c r="B271" s="1"/>
      <c r="C271" s="1"/>
      <c r="D271" s="1"/>
    </row>
    <row r="272" spans="1:4">
      <c r="A272" s="1"/>
      <c r="B272" s="1"/>
      <c r="C272" s="1"/>
      <c r="D272" s="1"/>
    </row>
    <row r="273" spans="1:4">
      <c r="A273" s="1"/>
      <c r="B273" s="1"/>
      <c r="C273" s="1"/>
      <c r="D273" s="1"/>
    </row>
    <row r="274" spans="1:4">
      <c r="A274" s="1"/>
      <c r="B274" s="1"/>
      <c r="C274" s="1"/>
      <c r="D274" s="1"/>
    </row>
    <row r="275" spans="1:4">
      <c r="A275" s="1"/>
      <c r="B275" s="1"/>
      <c r="C275" s="1"/>
      <c r="D275" s="1"/>
    </row>
    <row r="276" spans="1:4">
      <c r="A276" s="1"/>
      <c r="B276" s="1"/>
      <c r="C276" s="1"/>
      <c r="D276" s="1"/>
    </row>
    <row r="277" spans="1:4">
      <c r="A277" s="1"/>
      <c r="B277" s="1"/>
      <c r="C277" s="1"/>
      <c r="D277" s="1"/>
    </row>
    <row r="278" spans="1:4">
      <c r="A278" s="1"/>
      <c r="B278" s="1"/>
      <c r="C278" s="1"/>
      <c r="D278" s="1"/>
    </row>
    <row r="279" spans="1:4">
      <c r="A279" s="1"/>
      <c r="B279" s="1"/>
      <c r="C279" s="1"/>
      <c r="D279" s="1"/>
    </row>
    <row r="280" spans="1:4">
      <c r="A280" s="1"/>
      <c r="B280" s="1"/>
      <c r="C280" s="1"/>
      <c r="D280" s="1"/>
    </row>
    <row r="281" spans="1:4">
      <c r="A281" s="1"/>
      <c r="B281" s="1"/>
      <c r="C281" s="1"/>
      <c r="D281" s="1"/>
    </row>
    <row r="282" spans="1:4">
      <c r="A282" s="1"/>
      <c r="B282" s="1"/>
      <c r="C282" s="1"/>
      <c r="D282" s="1"/>
    </row>
    <row r="283" spans="1:4">
      <c r="A283" s="1"/>
      <c r="B283" s="1"/>
      <c r="C283" s="1"/>
      <c r="D283" s="1"/>
    </row>
    <row r="284" spans="1:4">
      <c r="A284" s="1"/>
      <c r="B284" s="1"/>
      <c r="C284" s="1"/>
      <c r="D284" s="1"/>
    </row>
    <row r="285" spans="1:4">
      <c r="A285" s="1"/>
      <c r="B285" s="1"/>
      <c r="C285" s="1"/>
      <c r="D285" s="1"/>
    </row>
    <row r="286" spans="1:4">
      <c r="A286" s="1"/>
      <c r="B286" s="1"/>
      <c r="C286" s="1"/>
      <c r="D286" s="1"/>
    </row>
    <row r="287" spans="1:4">
      <c r="A287" s="1"/>
      <c r="B287" s="1"/>
      <c r="C287" s="1"/>
      <c r="D287" s="1"/>
    </row>
    <row r="288" spans="1:4">
      <c r="A288" s="1"/>
      <c r="B288" s="1"/>
      <c r="C288" s="1"/>
      <c r="D288" s="1"/>
    </row>
    <row r="289" spans="1:4">
      <c r="A289" s="1"/>
      <c r="B289" s="1"/>
      <c r="C289" s="1"/>
      <c r="D289" s="1"/>
    </row>
    <row r="290" spans="1:4">
      <c r="A290" s="1"/>
      <c r="B290" s="1"/>
      <c r="C290" s="1"/>
      <c r="D290" s="1"/>
    </row>
    <row r="291" spans="1:4">
      <c r="A291" s="1"/>
      <c r="B291" s="1"/>
      <c r="C291" s="1"/>
      <c r="D291" s="1"/>
    </row>
    <row r="292" spans="1:4">
      <c r="A292" s="1"/>
      <c r="B292" s="1"/>
      <c r="C292" s="1"/>
      <c r="D292" s="1"/>
    </row>
    <row r="293" spans="1:4">
      <c r="A293" s="1"/>
      <c r="B293" s="1"/>
      <c r="C293" s="1"/>
      <c r="D293" s="1"/>
    </row>
    <row r="294" spans="1:4">
      <c r="A294" s="1"/>
      <c r="B294" s="1"/>
      <c r="C294" s="1"/>
      <c r="D294" s="1"/>
    </row>
    <row r="295" spans="1:4">
      <c r="A295" s="1"/>
      <c r="B295" s="1"/>
      <c r="C295" s="1"/>
      <c r="D295" s="1"/>
    </row>
    <row r="296" spans="1:4">
      <c r="A296" s="1"/>
      <c r="B296" s="1"/>
      <c r="C296" s="1"/>
      <c r="D296" s="1"/>
    </row>
  </sheetData>
  <mergeCells count="2">
    <mergeCell ref="A3:D3"/>
    <mergeCell ref="A1:D2"/>
  </mergeCells>
  <phoneticPr fontId="6" type="noConversion"/>
  <pageMargins left="0.7" right="0.7" top="0.75" bottom="0.75" header="0.3" footer="0.3"/>
  <pageSetup scale="97"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7A61EF-A933-421A-A048-5C7DF36E2B2D}">
  <sheetPr codeName="Hoja7">
    <tabColor theme="7" tint="0.79998168889431442"/>
  </sheetPr>
  <dimension ref="B2:I137"/>
  <sheetViews>
    <sheetView topLeftCell="A29" zoomScale="80" zoomScaleNormal="80" workbookViewId="0">
      <selection activeCell="F64" sqref="F64"/>
    </sheetView>
  </sheetViews>
  <sheetFormatPr baseColWidth="10" defaultColWidth="11.453125" defaultRowHeight="14.5"/>
  <cols>
    <col min="1" max="1" width="3.36328125" style="1" customWidth="1"/>
    <col min="2" max="2" width="43" style="1" customWidth="1"/>
    <col min="3" max="3" width="13.453125" style="34" customWidth="1"/>
    <col min="4" max="6" width="19.453125" style="1" customWidth="1"/>
    <col min="7" max="7" width="21.453125" style="1" customWidth="1"/>
    <col min="8" max="8" width="4" style="1" customWidth="1"/>
    <col min="9" max="9" width="15.6328125" style="1" bestFit="1" customWidth="1"/>
    <col min="10" max="255" width="11.453125" style="1"/>
    <col min="256" max="256" width="3.36328125" style="1" customWidth="1"/>
    <col min="257" max="257" width="29.453125" style="1" customWidth="1"/>
    <col min="258" max="258" width="10.6328125" style="1" customWidth="1"/>
    <col min="259" max="259" width="22.453125" style="1" customWidth="1"/>
    <col min="260" max="260" width="12.81640625" style="1" customWidth="1"/>
    <col min="261" max="261" width="18.08984375" style="1" customWidth="1"/>
    <col min="262" max="262" width="28.453125" style="1" customWidth="1"/>
    <col min="263" max="264" width="11.453125" style="1"/>
    <col min="265" max="265" width="13.81640625" style="1" bestFit="1" customWidth="1"/>
    <col min="266" max="511" width="11.453125" style="1"/>
    <col min="512" max="512" width="3.36328125" style="1" customWidth="1"/>
    <col min="513" max="513" width="29.453125" style="1" customWidth="1"/>
    <col min="514" max="514" width="10.6328125" style="1" customWidth="1"/>
    <col min="515" max="515" width="22.453125" style="1" customWidth="1"/>
    <col min="516" max="516" width="12.81640625" style="1" customWidth="1"/>
    <col min="517" max="517" width="18.08984375" style="1" customWidth="1"/>
    <col min="518" max="518" width="28.453125" style="1" customWidth="1"/>
    <col min="519" max="520" width="11.453125" style="1"/>
    <col min="521" max="521" width="13.81640625" style="1" bestFit="1" customWidth="1"/>
    <col min="522" max="767" width="11.453125" style="1"/>
    <col min="768" max="768" width="3.36328125" style="1" customWidth="1"/>
    <col min="769" max="769" width="29.453125" style="1" customWidth="1"/>
    <col min="770" max="770" width="10.6328125" style="1" customWidth="1"/>
    <col min="771" max="771" width="22.453125" style="1" customWidth="1"/>
    <col min="772" max="772" width="12.81640625" style="1" customWidth="1"/>
    <col min="773" max="773" width="18.08984375" style="1" customWidth="1"/>
    <col min="774" max="774" width="28.453125" style="1" customWidth="1"/>
    <col min="775" max="776" width="11.453125" style="1"/>
    <col min="777" max="777" width="13.81640625" style="1" bestFit="1" customWidth="1"/>
    <col min="778" max="1023" width="11.453125" style="1"/>
    <col min="1024" max="1024" width="3.36328125" style="1" customWidth="1"/>
    <col min="1025" max="1025" width="29.453125" style="1" customWidth="1"/>
    <col min="1026" max="1026" width="10.6328125" style="1" customWidth="1"/>
    <col min="1027" max="1027" width="22.453125" style="1" customWidth="1"/>
    <col min="1028" max="1028" width="12.81640625" style="1" customWidth="1"/>
    <col min="1029" max="1029" width="18.08984375" style="1" customWidth="1"/>
    <col min="1030" max="1030" width="28.453125" style="1" customWidth="1"/>
    <col min="1031" max="1032" width="11.453125" style="1"/>
    <col min="1033" max="1033" width="13.81640625" style="1" bestFit="1" customWidth="1"/>
    <col min="1034" max="1279" width="11.453125" style="1"/>
    <col min="1280" max="1280" width="3.36328125" style="1" customWidth="1"/>
    <col min="1281" max="1281" width="29.453125" style="1" customWidth="1"/>
    <col min="1282" max="1282" width="10.6328125" style="1" customWidth="1"/>
    <col min="1283" max="1283" width="22.453125" style="1" customWidth="1"/>
    <col min="1284" max="1284" width="12.81640625" style="1" customWidth="1"/>
    <col min="1285" max="1285" width="18.08984375" style="1" customWidth="1"/>
    <col min="1286" max="1286" width="28.453125" style="1" customWidth="1"/>
    <col min="1287" max="1288" width="11.453125" style="1"/>
    <col min="1289" max="1289" width="13.81640625" style="1" bestFit="1" customWidth="1"/>
    <col min="1290" max="1535" width="11.453125" style="1"/>
    <col min="1536" max="1536" width="3.36328125" style="1" customWidth="1"/>
    <col min="1537" max="1537" width="29.453125" style="1" customWidth="1"/>
    <col min="1538" max="1538" width="10.6328125" style="1" customWidth="1"/>
    <col min="1539" max="1539" width="22.453125" style="1" customWidth="1"/>
    <col min="1540" max="1540" width="12.81640625" style="1" customWidth="1"/>
    <col min="1541" max="1541" width="18.08984375" style="1" customWidth="1"/>
    <col min="1542" max="1542" width="28.453125" style="1" customWidth="1"/>
    <col min="1543" max="1544" width="11.453125" style="1"/>
    <col min="1545" max="1545" width="13.81640625" style="1" bestFit="1" customWidth="1"/>
    <col min="1546" max="1791" width="11.453125" style="1"/>
    <col min="1792" max="1792" width="3.36328125" style="1" customWidth="1"/>
    <col min="1793" max="1793" width="29.453125" style="1" customWidth="1"/>
    <col min="1794" max="1794" width="10.6328125" style="1" customWidth="1"/>
    <col min="1795" max="1795" width="22.453125" style="1" customWidth="1"/>
    <col min="1796" max="1796" width="12.81640625" style="1" customWidth="1"/>
    <col min="1797" max="1797" width="18.08984375" style="1" customWidth="1"/>
    <col min="1798" max="1798" width="28.453125" style="1" customWidth="1"/>
    <col min="1799" max="1800" width="11.453125" style="1"/>
    <col min="1801" max="1801" width="13.81640625" style="1" bestFit="1" customWidth="1"/>
    <col min="1802" max="2047" width="11.453125" style="1"/>
    <col min="2048" max="2048" width="3.36328125" style="1" customWidth="1"/>
    <col min="2049" max="2049" width="29.453125" style="1" customWidth="1"/>
    <col min="2050" max="2050" width="10.6328125" style="1" customWidth="1"/>
    <col min="2051" max="2051" width="22.453125" style="1" customWidth="1"/>
    <col min="2052" max="2052" width="12.81640625" style="1" customWidth="1"/>
    <col min="2053" max="2053" width="18.08984375" style="1" customWidth="1"/>
    <col min="2054" max="2054" width="28.453125" style="1" customWidth="1"/>
    <col min="2055" max="2056" width="11.453125" style="1"/>
    <col min="2057" max="2057" width="13.81640625" style="1" bestFit="1" customWidth="1"/>
    <col min="2058" max="2303" width="11.453125" style="1"/>
    <col min="2304" max="2304" width="3.36328125" style="1" customWidth="1"/>
    <col min="2305" max="2305" width="29.453125" style="1" customWidth="1"/>
    <col min="2306" max="2306" width="10.6328125" style="1" customWidth="1"/>
    <col min="2307" max="2307" width="22.453125" style="1" customWidth="1"/>
    <col min="2308" max="2308" width="12.81640625" style="1" customWidth="1"/>
    <col min="2309" max="2309" width="18.08984375" style="1" customWidth="1"/>
    <col min="2310" max="2310" width="28.453125" style="1" customWidth="1"/>
    <col min="2311" max="2312" width="11.453125" style="1"/>
    <col min="2313" max="2313" width="13.81640625" style="1" bestFit="1" customWidth="1"/>
    <col min="2314" max="2559" width="11.453125" style="1"/>
    <col min="2560" max="2560" width="3.36328125" style="1" customWidth="1"/>
    <col min="2561" max="2561" width="29.453125" style="1" customWidth="1"/>
    <col min="2562" max="2562" width="10.6328125" style="1" customWidth="1"/>
    <col min="2563" max="2563" width="22.453125" style="1" customWidth="1"/>
    <col min="2564" max="2564" width="12.81640625" style="1" customWidth="1"/>
    <col min="2565" max="2565" width="18.08984375" style="1" customWidth="1"/>
    <col min="2566" max="2566" width="28.453125" style="1" customWidth="1"/>
    <col min="2567" max="2568" width="11.453125" style="1"/>
    <col min="2569" max="2569" width="13.81640625" style="1" bestFit="1" customWidth="1"/>
    <col min="2570" max="2815" width="11.453125" style="1"/>
    <col min="2816" max="2816" width="3.36328125" style="1" customWidth="1"/>
    <col min="2817" max="2817" width="29.453125" style="1" customWidth="1"/>
    <col min="2818" max="2818" width="10.6328125" style="1" customWidth="1"/>
    <col min="2819" max="2819" width="22.453125" style="1" customWidth="1"/>
    <col min="2820" max="2820" width="12.81640625" style="1" customWidth="1"/>
    <col min="2821" max="2821" width="18.08984375" style="1" customWidth="1"/>
    <col min="2822" max="2822" width="28.453125" style="1" customWidth="1"/>
    <col min="2823" max="2824" width="11.453125" style="1"/>
    <col min="2825" max="2825" width="13.81640625" style="1" bestFit="1" customWidth="1"/>
    <col min="2826" max="3071" width="11.453125" style="1"/>
    <col min="3072" max="3072" width="3.36328125" style="1" customWidth="1"/>
    <col min="3073" max="3073" width="29.453125" style="1" customWidth="1"/>
    <col min="3074" max="3074" width="10.6328125" style="1" customWidth="1"/>
    <col min="3075" max="3075" width="22.453125" style="1" customWidth="1"/>
    <col min="3076" max="3076" width="12.81640625" style="1" customWidth="1"/>
    <col min="3077" max="3077" width="18.08984375" style="1" customWidth="1"/>
    <col min="3078" max="3078" width="28.453125" style="1" customWidth="1"/>
    <col min="3079" max="3080" width="11.453125" style="1"/>
    <col min="3081" max="3081" width="13.81640625" style="1" bestFit="1" customWidth="1"/>
    <col min="3082" max="3327" width="11.453125" style="1"/>
    <col min="3328" max="3328" width="3.36328125" style="1" customWidth="1"/>
    <col min="3329" max="3329" width="29.453125" style="1" customWidth="1"/>
    <col min="3330" max="3330" width="10.6328125" style="1" customWidth="1"/>
    <col min="3331" max="3331" width="22.453125" style="1" customWidth="1"/>
    <col min="3332" max="3332" width="12.81640625" style="1" customWidth="1"/>
    <col min="3333" max="3333" width="18.08984375" style="1" customWidth="1"/>
    <col min="3334" max="3334" width="28.453125" style="1" customWidth="1"/>
    <col min="3335" max="3336" width="11.453125" style="1"/>
    <col min="3337" max="3337" width="13.81640625" style="1" bestFit="1" customWidth="1"/>
    <col min="3338" max="3583" width="11.453125" style="1"/>
    <col min="3584" max="3584" width="3.36328125" style="1" customWidth="1"/>
    <col min="3585" max="3585" width="29.453125" style="1" customWidth="1"/>
    <col min="3586" max="3586" width="10.6328125" style="1" customWidth="1"/>
    <col min="3587" max="3587" width="22.453125" style="1" customWidth="1"/>
    <col min="3588" max="3588" width="12.81640625" style="1" customWidth="1"/>
    <col min="3589" max="3589" width="18.08984375" style="1" customWidth="1"/>
    <col min="3590" max="3590" width="28.453125" style="1" customWidth="1"/>
    <col min="3591" max="3592" width="11.453125" style="1"/>
    <col min="3593" max="3593" width="13.81640625" style="1" bestFit="1" customWidth="1"/>
    <col min="3594" max="3839" width="11.453125" style="1"/>
    <col min="3840" max="3840" width="3.36328125" style="1" customWidth="1"/>
    <col min="3841" max="3841" width="29.453125" style="1" customWidth="1"/>
    <col min="3842" max="3842" width="10.6328125" style="1" customWidth="1"/>
    <col min="3843" max="3843" width="22.453125" style="1" customWidth="1"/>
    <col min="3844" max="3844" width="12.81640625" style="1" customWidth="1"/>
    <col min="3845" max="3845" width="18.08984375" style="1" customWidth="1"/>
    <col min="3846" max="3846" width="28.453125" style="1" customWidth="1"/>
    <col min="3847" max="3848" width="11.453125" style="1"/>
    <col min="3849" max="3849" width="13.81640625" style="1" bestFit="1" customWidth="1"/>
    <col min="3850" max="4095" width="11.453125" style="1"/>
    <col min="4096" max="4096" width="3.36328125" style="1" customWidth="1"/>
    <col min="4097" max="4097" width="29.453125" style="1" customWidth="1"/>
    <col min="4098" max="4098" width="10.6328125" style="1" customWidth="1"/>
    <col min="4099" max="4099" width="22.453125" style="1" customWidth="1"/>
    <col min="4100" max="4100" width="12.81640625" style="1" customWidth="1"/>
    <col min="4101" max="4101" width="18.08984375" style="1" customWidth="1"/>
    <col min="4102" max="4102" width="28.453125" style="1" customWidth="1"/>
    <col min="4103" max="4104" width="11.453125" style="1"/>
    <col min="4105" max="4105" width="13.81640625" style="1" bestFit="1" customWidth="1"/>
    <col min="4106" max="4351" width="11.453125" style="1"/>
    <col min="4352" max="4352" width="3.36328125" style="1" customWidth="1"/>
    <col min="4353" max="4353" width="29.453125" style="1" customWidth="1"/>
    <col min="4354" max="4354" width="10.6328125" style="1" customWidth="1"/>
    <col min="4355" max="4355" width="22.453125" style="1" customWidth="1"/>
    <col min="4356" max="4356" width="12.81640625" style="1" customWidth="1"/>
    <col min="4357" max="4357" width="18.08984375" style="1" customWidth="1"/>
    <col min="4358" max="4358" width="28.453125" style="1" customWidth="1"/>
    <col min="4359" max="4360" width="11.453125" style="1"/>
    <col min="4361" max="4361" width="13.81640625" style="1" bestFit="1" customWidth="1"/>
    <col min="4362" max="4607" width="11.453125" style="1"/>
    <col min="4608" max="4608" width="3.36328125" style="1" customWidth="1"/>
    <col min="4609" max="4609" width="29.453125" style="1" customWidth="1"/>
    <col min="4610" max="4610" width="10.6328125" style="1" customWidth="1"/>
    <col min="4611" max="4611" width="22.453125" style="1" customWidth="1"/>
    <col min="4612" max="4612" width="12.81640625" style="1" customWidth="1"/>
    <col min="4613" max="4613" width="18.08984375" style="1" customWidth="1"/>
    <col min="4614" max="4614" width="28.453125" style="1" customWidth="1"/>
    <col min="4615" max="4616" width="11.453125" style="1"/>
    <col min="4617" max="4617" width="13.81640625" style="1" bestFit="1" customWidth="1"/>
    <col min="4618" max="4863" width="11.453125" style="1"/>
    <col min="4864" max="4864" width="3.36328125" style="1" customWidth="1"/>
    <col min="4865" max="4865" width="29.453125" style="1" customWidth="1"/>
    <col min="4866" max="4866" width="10.6328125" style="1" customWidth="1"/>
    <col min="4867" max="4867" width="22.453125" style="1" customWidth="1"/>
    <col min="4868" max="4868" width="12.81640625" style="1" customWidth="1"/>
    <col min="4869" max="4869" width="18.08984375" style="1" customWidth="1"/>
    <col min="4870" max="4870" width="28.453125" style="1" customWidth="1"/>
    <col min="4871" max="4872" width="11.453125" style="1"/>
    <col min="4873" max="4873" width="13.81640625" style="1" bestFit="1" customWidth="1"/>
    <col min="4874" max="5119" width="11.453125" style="1"/>
    <col min="5120" max="5120" width="3.36328125" style="1" customWidth="1"/>
    <col min="5121" max="5121" width="29.453125" style="1" customWidth="1"/>
    <col min="5122" max="5122" width="10.6328125" style="1" customWidth="1"/>
    <col min="5123" max="5123" width="22.453125" style="1" customWidth="1"/>
    <col min="5124" max="5124" width="12.81640625" style="1" customWidth="1"/>
    <col min="5125" max="5125" width="18.08984375" style="1" customWidth="1"/>
    <col min="5126" max="5126" width="28.453125" style="1" customWidth="1"/>
    <col min="5127" max="5128" width="11.453125" style="1"/>
    <col min="5129" max="5129" width="13.81640625" style="1" bestFit="1" customWidth="1"/>
    <col min="5130" max="5375" width="11.453125" style="1"/>
    <col min="5376" max="5376" width="3.36328125" style="1" customWidth="1"/>
    <col min="5377" max="5377" width="29.453125" style="1" customWidth="1"/>
    <col min="5378" max="5378" width="10.6328125" style="1" customWidth="1"/>
    <col min="5379" max="5379" width="22.453125" style="1" customWidth="1"/>
    <col min="5380" max="5380" width="12.81640625" style="1" customWidth="1"/>
    <col min="5381" max="5381" width="18.08984375" style="1" customWidth="1"/>
    <col min="5382" max="5382" width="28.453125" style="1" customWidth="1"/>
    <col min="5383" max="5384" width="11.453125" style="1"/>
    <col min="5385" max="5385" width="13.81640625" style="1" bestFit="1" customWidth="1"/>
    <col min="5386" max="5631" width="11.453125" style="1"/>
    <col min="5632" max="5632" width="3.36328125" style="1" customWidth="1"/>
    <col min="5633" max="5633" width="29.453125" style="1" customWidth="1"/>
    <col min="5634" max="5634" width="10.6328125" style="1" customWidth="1"/>
    <col min="5635" max="5635" width="22.453125" style="1" customWidth="1"/>
    <col min="5636" max="5636" width="12.81640625" style="1" customWidth="1"/>
    <col min="5637" max="5637" width="18.08984375" style="1" customWidth="1"/>
    <col min="5638" max="5638" width="28.453125" style="1" customWidth="1"/>
    <col min="5639" max="5640" width="11.453125" style="1"/>
    <col min="5641" max="5641" width="13.81640625" style="1" bestFit="1" customWidth="1"/>
    <col min="5642" max="5887" width="11.453125" style="1"/>
    <col min="5888" max="5888" width="3.36328125" style="1" customWidth="1"/>
    <col min="5889" max="5889" width="29.453125" style="1" customWidth="1"/>
    <col min="5890" max="5890" width="10.6328125" style="1" customWidth="1"/>
    <col min="5891" max="5891" width="22.453125" style="1" customWidth="1"/>
    <col min="5892" max="5892" width="12.81640625" style="1" customWidth="1"/>
    <col min="5893" max="5893" width="18.08984375" style="1" customWidth="1"/>
    <col min="5894" max="5894" width="28.453125" style="1" customWidth="1"/>
    <col min="5895" max="5896" width="11.453125" style="1"/>
    <col min="5897" max="5897" width="13.81640625" style="1" bestFit="1" customWidth="1"/>
    <col min="5898" max="6143" width="11.453125" style="1"/>
    <col min="6144" max="6144" width="3.36328125" style="1" customWidth="1"/>
    <col min="6145" max="6145" width="29.453125" style="1" customWidth="1"/>
    <col min="6146" max="6146" width="10.6328125" style="1" customWidth="1"/>
    <col min="6147" max="6147" width="22.453125" style="1" customWidth="1"/>
    <col min="6148" max="6148" width="12.81640625" style="1" customWidth="1"/>
    <col min="6149" max="6149" width="18.08984375" style="1" customWidth="1"/>
    <col min="6150" max="6150" width="28.453125" style="1" customWidth="1"/>
    <col min="6151" max="6152" width="11.453125" style="1"/>
    <col min="6153" max="6153" width="13.81640625" style="1" bestFit="1" customWidth="1"/>
    <col min="6154" max="6399" width="11.453125" style="1"/>
    <col min="6400" max="6400" width="3.36328125" style="1" customWidth="1"/>
    <col min="6401" max="6401" width="29.453125" style="1" customWidth="1"/>
    <col min="6402" max="6402" width="10.6328125" style="1" customWidth="1"/>
    <col min="6403" max="6403" width="22.453125" style="1" customWidth="1"/>
    <col min="6404" max="6404" width="12.81640625" style="1" customWidth="1"/>
    <col min="6405" max="6405" width="18.08984375" style="1" customWidth="1"/>
    <col min="6406" max="6406" width="28.453125" style="1" customWidth="1"/>
    <col min="6407" max="6408" width="11.453125" style="1"/>
    <col min="6409" max="6409" width="13.81640625" style="1" bestFit="1" customWidth="1"/>
    <col min="6410" max="6655" width="11.453125" style="1"/>
    <col min="6656" max="6656" width="3.36328125" style="1" customWidth="1"/>
    <col min="6657" max="6657" width="29.453125" style="1" customWidth="1"/>
    <col min="6658" max="6658" width="10.6328125" style="1" customWidth="1"/>
    <col min="6659" max="6659" width="22.453125" style="1" customWidth="1"/>
    <col min="6660" max="6660" width="12.81640625" style="1" customWidth="1"/>
    <col min="6661" max="6661" width="18.08984375" style="1" customWidth="1"/>
    <col min="6662" max="6662" width="28.453125" style="1" customWidth="1"/>
    <col min="6663" max="6664" width="11.453125" style="1"/>
    <col min="6665" max="6665" width="13.81640625" style="1" bestFit="1" customWidth="1"/>
    <col min="6666" max="6911" width="11.453125" style="1"/>
    <col min="6912" max="6912" width="3.36328125" style="1" customWidth="1"/>
    <col min="6913" max="6913" width="29.453125" style="1" customWidth="1"/>
    <col min="6914" max="6914" width="10.6328125" style="1" customWidth="1"/>
    <col min="6915" max="6915" width="22.453125" style="1" customWidth="1"/>
    <col min="6916" max="6916" width="12.81640625" style="1" customWidth="1"/>
    <col min="6917" max="6917" width="18.08984375" style="1" customWidth="1"/>
    <col min="6918" max="6918" width="28.453125" style="1" customWidth="1"/>
    <col min="6919" max="6920" width="11.453125" style="1"/>
    <col min="6921" max="6921" width="13.81640625" style="1" bestFit="1" customWidth="1"/>
    <col min="6922" max="7167" width="11.453125" style="1"/>
    <col min="7168" max="7168" width="3.36328125" style="1" customWidth="1"/>
    <col min="7169" max="7169" width="29.453125" style="1" customWidth="1"/>
    <col min="7170" max="7170" width="10.6328125" style="1" customWidth="1"/>
    <col min="7171" max="7171" width="22.453125" style="1" customWidth="1"/>
    <col min="7172" max="7172" width="12.81640625" style="1" customWidth="1"/>
    <col min="7173" max="7173" width="18.08984375" style="1" customWidth="1"/>
    <col min="7174" max="7174" width="28.453125" style="1" customWidth="1"/>
    <col min="7175" max="7176" width="11.453125" style="1"/>
    <col min="7177" max="7177" width="13.81640625" style="1" bestFit="1" customWidth="1"/>
    <col min="7178" max="7423" width="11.453125" style="1"/>
    <col min="7424" max="7424" width="3.36328125" style="1" customWidth="1"/>
    <col min="7425" max="7425" width="29.453125" style="1" customWidth="1"/>
    <col min="7426" max="7426" width="10.6328125" style="1" customWidth="1"/>
    <col min="7427" max="7427" width="22.453125" style="1" customWidth="1"/>
    <col min="7428" max="7428" width="12.81640625" style="1" customWidth="1"/>
    <col min="7429" max="7429" width="18.08984375" style="1" customWidth="1"/>
    <col min="7430" max="7430" width="28.453125" style="1" customWidth="1"/>
    <col min="7431" max="7432" width="11.453125" style="1"/>
    <col min="7433" max="7433" width="13.81640625" style="1" bestFit="1" customWidth="1"/>
    <col min="7434" max="7679" width="11.453125" style="1"/>
    <col min="7680" max="7680" width="3.36328125" style="1" customWidth="1"/>
    <col min="7681" max="7681" width="29.453125" style="1" customWidth="1"/>
    <col min="7682" max="7682" width="10.6328125" style="1" customWidth="1"/>
    <col min="7683" max="7683" width="22.453125" style="1" customWidth="1"/>
    <col min="7684" max="7684" width="12.81640625" style="1" customWidth="1"/>
    <col min="7685" max="7685" width="18.08984375" style="1" customWidth="1"/>
    <col min="7686" max="7686" width="28.453125" style="1" customWidth="1"/>
    <col min="7687" max="7688" width="11.453125" style="1"/>
    <col min="7689" max="7689" width="13.81640625" style="1" bestFit="1" customWidth="1"/>
    <col min="7690" max="7935" width="11.453125" style="1"/>
    <col min="7936" max="7936" width="3.36328125" style="1" customWidth="1"/>
    <col min="7937" max="7937" width="29.453125" style="1" customWidth="1"/>
    <col min="7938" max="7938" width="10.6328125" style="1" customWidth="1"/>
    <col min="7939" max="7939" width="22.453125" style="1" customWidth="1"/>
    <col min="7940" max="7940" width="12.81640625" style="1" customWidth="1"/>
    <col min="7941" max="7941" width="18.08984375" style="1" customWidth="1"/>
    <col min="7942" max="7942" width="28.453125" style="1" customWidth="1"/>
    <col min="7943" max="7944" width="11.453125" style="1"/>
    <col min="7945" max="7945" width="13.81640625" style="1" bestFit="1" customWidth="1"/>
    <col min="7946" max="8191" width="11.453125" style="1"/>
    <col min="8192" max="8192" width="3.36328125" style="1" customWidth="1"/>
    <col min="8193" max="8193" width="29.453125" style="1" customWidth="1"/>
    <col min="8194" max="8194" width="10.6328125" style="1" customWidth="1"/>
    <col min="8195" max="8195" width="22.453125" style="1" customWidth="1"/>
    <col min="8196" max="8196" width="12.81640625" style="1" customWidth="1"/>
    <col min="8197" max="8197" width="18.08984375" style="1" customWidth="1"/>
    <col min="8198" max="8198" width="28.453125" style="1" customWidth="1"/>
    <col min="8199" max="8200" width="11.453125" style="1"/>
    <col min="8201" max="8201" width="13.81640625" style="1" bestFit="1" customWidth="1"/>
    <col min="8202" max="8447" width="11.453125" style="1"/>
    <col min="8448" max="8448" width="3.36328125" style="1" customWidth="1"/>
    <col min="8449" max="8449" width="29.453125" style="1" customWidth="1"/>
    <col min="8450" max="8450" width="10.6328125" style="1" customWidth="1"/>
    <col min="8451" max="8451" width="22.453125" style="1" customWidth="1"/>
    <col min="8452" max="8452" width="12.81640625" style="1" customWidth="1"/>
    <col min="8453" max="8453" width="18.08984375" style="1" customWidth="1"/>
    <col min="8454" max="8454" width="28.453125" style="1" customWidth="1"/>
    <col min="8455" max="8456" width="11.453125" style="1"/>
    <col min="8457" max="8457" width="13.81640625" style="1" bestFit="1" customWidth="1"/>
    <col min="8458" max="8703" width="11.453125" style="1"/>
    <col min="8704" max="8704" width="3.36328125" style="1" customWidth="1"/>
    <col min="8705" max="8705" width="29.453125" style="1" customWidth="1"/>
    <col min="8706" max="8706" width="10.6328125" style="1" customWidth="1"/>
    <col min="8707" max="8707" width="22.453125" style="1" customWidth="1"/>
    <col min="8708" max="8708" width="12.81640625" style="1" customWidth="1"/>
    <col min="8709" max="8709" width="18.08984375" style="1" customWidth="1"/>
    <col min="8710" max="8710" width="28.453125" style="1" customWidth="1"/>
    <col min="8711" max="8712" width="11.453125" style="1"/>
    <col min="8713" max="8713" width="13.81640625" style="1" bestFit="1" customWidth="1"/>
    <col min="8714" max="8959" width="11.453125" style="1"/>
    <col min="8960" max="8960" width="3.36328125" style="1" customWidth="1"/>
    <col min="8961" max="8961" width="29.453125" style="1" customWidth="1"/>
    <col min="8962" max="8962" width="10.6328125" style="1" customWidth="1"/>
    <col min="8963" max="8963" width="22.453125" style="1" customWidth="1"/>
    <col min="8964" max="8964" width="12.81640625" style="1" customWidth="1"/>
    <col min="8965" max="8965" width="18.08984375" style="1" customWidth="1"/>
    <col min="8966" max="8966" width="28.453125" style="1" customWidth="1"/>
    <col min="8967" max="8968" width="11.453125" style="1"/>
    <col min="8969" max="8969" width="13.81640625" style="1" bestFit="1" customWidth="1"/>
    <col min="8970" max="9215" width="11.453125" style="1"/>
    <col min="9216" max="9216" width="3.36328125" style="1" customWidth="1"/>
    <col min="9217" max="9217" width="29.453125" style="1" customWidth="1"/>
    <col min="9218" max="9218" width="10.6328125" style="1" customWidth="1"/>
    <col min="9219" max="9219" width="22.453125" style="1" customWidth="1"/>
    <col min="9220" max="9220" width="12.81640625" style="1" customWidth="1"/>
    <col min="9221" max="9221" width="18.08984375" style="1" customWidth="1"/>
    <col min="9222" max="9222" width="28.453125" style="1" customWidth="1"/>
    <col min="9223" max="9224" width="11.453125" style="1"/>
    <col min="9225" max="9225" width="13.81640625" style="1" bestFit="1" customWidth="1"/>
    <col min="9226" max="9471" width="11.453125" style="1"/>
    <col min="9472" max="9472" width="3.36328125" style="1" customWidth="1"/>
    <col min="9473" max="9473" width="29.453125" style="1" customWidth="1"/>
    <col min="9474" max="9474" width="10.6328125" style="1" customWidth="1"/>
    <col min="9475" max="9475" width="22.453125" style="1" customWidth="1"/>
    <col min="9476" max="9476" width="12.81640625" style="1" customWidth="1"/>
    <col min="9477" max="9477" width="18.08984375" style="1" customWidth="1"/>
    <col min="9478" max="9478" width="28.453125" style="1" customWidth="1"/>
    <col min="9479" max="9480" width="11.453125" style="1"/>
    <col min="9481" max="9481" width="13.81640625" style="1" bestFit="1" customWidth="1"/>
    <col min="9482" max="9727" width="11.453125" style="1"/>
    <col min="9728" max="9728" width="3.36328125" style="1" customWidth="1"/>
    <col min="9729" max="9729" width="29.453125" style="1" customWidth="1"/>
    <col min="9730" max="9730" width="10.6328125" style="1" customWidth="1"/>
    <col min="9731" max="9731" width="22.453125" style="1" customWidth="1"/>
    <col min="9732" max="9732" width="12.81640625" style="1" customWidth="1"/>
    <col min="9733" max="9733" width="18.08984375" style="1" customWidth="1"/>
    <col min="9734" max="9734" width="28.453125" style="1" customWidth="1"/>
    <col min="9735" max="9736" width="11.453125" style="1"/>
    <col min="9737" max="9737" width="13.81640625" style="1" bestFit="1" customWidth="1"/>
    <col min="9738" max="9983" width="11.453125" style="1"/>
    <col min="9984" max="9984" width="3.36328125" style="1" customWidth="1"/>
    <col min="9985" max="9985" width="29.453125" style="1" customWidth="1"/>
    <col min="9986" max="9986" width="10.6328125" style="1" customWidth="1"/>
    <col min="9987" max="9987" width="22.453125" style="1" customWidth="1"/>
    <col min="9988" max="9988" width="12.81640625" style="1" customWidth="1"/>
    <col min="9989" max="9989" width="18.08984375" style="1" customWidth="1"/>
    <col min="9990" max="9990" width="28.453125" style="1" customWidth="1"/>
    <col min="9991" max="9992" width="11.453125" style="1"/>
    <col min="9993" max="9993" width="13.81640625" style="1" bestFit="1" customWidth="1"/>
    <col min="9994" max="10239" width="11.453125" style="1"/>
    <col min="10240" max="10240" width="3.36328125" style="1" customWidth="1"/>
    <col min="10241" max="10241" width="29.453125" style="1" customWidth="1"/>
    <col min="10242" max="10242" width="10.6328125" style="1" customWidth="1"/>
    <col min="10243" max="10243" width="22.453125" style="1" customWidth="1"/>
    <col min="10244" max="10244" width="12.81640625" style="1" customWidth="1"/>
    <col min="10245" max="10245" width="18.08984375" style="1" customWidth="1"/>
    <col min="10246" max="10246" width="28.453125" style="1" customWidth="1"/>
    <col min="10247" max="10248" width="11.453125" style="1"/>
    <col min="10249" max="10249" width="13.81640625" style="1" bestFit="1" customWidth="1"/>
    <col min="10250" max="10495" width="11.453125" style="1"/>
    <col min="10496" max="10496" width="3.36328125" style="1" customWidth="1"/>
    <col min="10497" max="10497" width="29.453125" style="1" customWidth="1"/>
    <col min="10498" max="10498" width="10.6328125" style="1" customWidth="1"/>
    <col min="10499" max="10499" width="22.453125" style="1" customWidth="1"/>
    <col min="10500" max="10500" width="12.81640625" style="1" customWidth="1"/>
    <col min="10501" max="10501" width="18.08984375" style="1" customWidth="1"/>
    <col min="10502" max="10502" width="28.453125" style="1" customWidth="1"/>
    <col min="10503" max="10504" width="11.453125" style="1"/>
    <col min="10505" max="10505" width="13.81640625" style="1" bestFit="1" customWidth="1"/>
    <col min="10506" max="10751" width="11.453125" style="1"/>
    <col min="10752" max="10752" width="3.36328125" style="1" customWidth="1"/>
    <col min="10753" max="10753" width="29.453125" style="1" customWidth="1"/>
    <col min="10754" max="10754" width="10.6328125" style="1" customWidth="1"/>
    <col min="10755" max="10755" width="22.453125" style="1" customWidth="1"/>
    <col min="10756" max="10756" width="12.81640625" style="1" customWidth="1"/>
    <col min="10757" max="10757" width="18.08984375" style="1" customWidth="1"/>
    <col min="10758" max="10758" width="28.453125" style="1" customWidth="1"/>
    <col min="10759" max="10760" width="11.453125" style="1"/>
    <col min="10761" max="10761" width="13.81640625" style="1" bestFit="1" customWidth="1"/>
    <col min="10762" max="11007" width="11.453125" style="1"/>
    <col min="11008" max="11008" width="3.36328125" style="1" customWidth="1"/>
    <col min="11009" max="11009" width="29.453125" style="1" customWidth="1"/>
    <col min="11010" max="11010" width="10.6328125" style="1" customWidth="1"/>
    <col min="11011" max="11011" width="22.453125" style="1" customWidth="1"/>
    <col min="11012" max="11012" width="12.81640625" style="1" customWidth="1"/>
    <col min="11013" max="11013" width="18.08984375" style="1" customWidth="1"/>
    <col min="11014" max="11014" width="28.453125" style="1" customWidth="1"/>
    <col min="11015" max="11016" width="11.453125" style="1"/>
    <col min="11017" max="11017" width="13.81640625" style="1" bestFit="1" customWidth="1"/>
    <col min="11018" max="11263" width="11.453125" style="1"/>
    <col min="11264" max="11264" width="3.36328125" style="1" customWidth="1"/>
    <col min="11265" max="11265" width="29.453125" style="1" customWidth="1"/>
    <col min="11266" max="11266" width="10.6328125" style="1" customWidth="1"/>
    <col min="11267" max="11267" width="22.453125" style="1" customWidth="1"/>
    <col min="11268" max="11268" width="12.81640625" style="1" customWidth="1"/>
    <col min="11269" max="11269" width="18.08984375" style="1" customWidth="1"/>
    <col min="11270" max="11270" width="28.453125" style="1" customWidth="1"/>
    <col min="11271" max="11272" width="11.453125" style="1"/>
    <col min="11273" max="11273" width="13.81640625" style="1" bestFit="1" customWidth="1"/>
    <col min="11274" max="11519" width="11.453125" style="1"/>
    <col min="11520" max="11520" width="3.36328125" style="1" customWidth="1"/>
    <col min="11521" max="11521" width="29.453125" style="1" customWidth="1"/>
    <col min="11522" max="11522" width="10.6328125" style="1" customWidth="1"/>
    <col min="11523" max="11523" width="22.453125" style="1" customWidth="1"/>
    <col min="11524" max="11524" width="12.81640625" style="1" customWidth="1"/>
    <col min="11525" max="11525" width="18.08984375" style="1" customWidth="1"/>
    <col min="11526" max="11526" width="28.453125" style="1" customWidth="1"/>
    <col min="11527" max="11528" width="11.453125" style="1"/>
    <col min="11529" max="11529" width="13.81640625" style="1" bestFit="1" customWidth="1"/>
    <col min="11530" max="11775" width="11.453125" style="1"/>
    <col min="11776" max="11776" width="3.36328125" style="1" customWidth="1"/>
    <col min="11777" max="11777" width="29.453125" style="1" customWidth="1"/>
    <col min="11778" max="11778" width="10.6328125" style="1" customWidth="1"/>
    <col min="11779" max="11779" width="22.453125" style="1" customWidth="1"/>
    <col min="11780" max="11780" width="12.81640625" style="1" customWidth="1"/>
    <col min="11781" max="11781" width="18.08984375" style="1" customWidth="1"/>
    <col min="11782" max="11782" width="28.453125" style="1" customWidth="1"/>
    <col min="11783" max="11784" width="11.453125" style="1"/>
    <col min="11785" max="11785" width="13.81640625" style="1" bestFit="1" customWidth="1"/>
    <col min="11786" max="12031" width="11.453125" style="1"/>
    <col min="12032" max="12032" width="3.36328125" style="1" customWidth="1"/>
    <col min="12033" max="12033" width="29.453125" style="1" customWidth="1"/>
    <col min="12034" max="12034" width="10.6328125" style="1" customWidth="1"/>
    <col min="12035" max="12035" width="22.453125" style="1" customWidth="1"/>
    <col min="12036" max="12036" width="12.81640625" style="1" customWidth="1"/>
    <col min="12037" max="12037" width="18.08984375" style="1" customWidth="1"/>
    <col min="12038" max="12038" width="28.453125" style="1" customWidth="1"/>
    <col min="12039" max="12040" width="11.453125" style="1"/>
    <col min="12041" max="12041" width="13.81640625" style="1" bestFit="1" customWidth="1"/>
    <col min="12042" max="12287" width="11.453125" style="1"/>
    <col min="12288" max="12288" width="3.36328125" style="1" customWidth="1"/>
    <col min="12289" max="12289" width="29.453125" style="1" customWidth="1"/>
    <col min="12290" max="12290" width="10.6328125" style="1" customWidth="1"/>
    <col min="12291" max="12291" width="22.453125" style="1" customWidth="1"/>
    <col min="12292" max="12292" width="12.81640625" style="1" customWidth="1"/>
    <col min="12293" max="12293" width="18.08984375" style="1" customWidth="1"/>
    <col min="12294" max="12294" width="28.453125" style="1" customWidth="1"/>
    <col min="12295" max="12296" width="11.453125" style="1"/>
    <col min="12297" max="12297" width="13.81640625" style="1" bestFit="1" customWidth="1"/>
    <col min="12298" max="12543" width="11.453125" style="1"/>
    <col min="12544" max="12544" width="3.36328125" style="1" customWidth="1"/>
    <col min="12545" max="12545" width="29.453125" style="1" customWidth="1"/>
    <col min="12546" max="12546" width="10.6328125" style="1" customWidth="1"/>
    <col min="12547" max="12547" width="22.453125" style="1" customWidth="1"/>
    <col min="12548" max="12548" width="12.81640625" style="1" customWidth="1"/>
    <col min="12549" max="12549" width="18.08984375" style="1" customWidth="1"/>
    <col min="12550" max="12550" width="28.453125" style="1" customWidth="1"/>
    <col min="12551" max="12552" width="11.453125" style="1"/>
    <col min="12553" max="12553" width="13.81640625" style="1" bestFit="1" customWidth="1"/>
    <col min="12554" max="12799" width="11.453125" style="1"/>
    <col min="12800" max="12800" width="3.36328125" style="1" customWidth="1"/>
    <col min="12801" max="12801" width="29.453125" style="1" customWidth="1"/>
    <col min="12802" max="12802" width="10.6328125" style="1" customWidth="1"/>
    <col min="12803" max="12803" width="22.453125" style="1" customWidth="1"/>
    <col min="12804" max="12804" width="12.81640625" style="1" customWidth="1"/>
    <col min="12805" max="12805" width="18.08984375" style="1" customWidth="1"/>
    <col min="12806" max="12806" width="28.453125" style="1" customWidth="1"/>
    <col min="12807" max="12808" width="11.453125" style="1"/>
    <col min="12809" max="12809" width="13.81640625" style="1" bestFit="1" customWidth="1"/>
    <col min="12810" max="13055" width="11.453125" style="1"/>
    <col min="13056" max="13056" width="3.36328125" style="1" customWidth="1"/>
    <col min="13057" max="13057" width="29.453125" style="1" customWidth="1"/>
    <col min="13058" max="13058" width="10.6328125" style="1" customWidth="1"/>
    <col min="13059" max="13059" width="22.453125" style="1" customWidth="1"/>
    <col min="13060" max="13060" width="12.81640625" style="1" customWidth="1"/>
    <col min="13061" max="13061" width="18.08984375" style="1" customWidth="1"/>
    <col min="13062" max="13062" width="28.453125" style="1" customWidth="1"/>
    <col min="13063" max="13064" width="11.453125" style="1"/>
    <col min="13065" max="13065" width="13.81640625" style="1" bestFit="1" customWidth="1"/>
    <col min="13066" max="13311" width="11.453125" style="1"/>
    <col min="13312" max="13312" width="3.36328125" style="1" customWidth="1"/>
    <col min="13313" max="13313" width="29.453125" style="1" customWidth="1"/>
    <col min="13314" max="13314" width="10.6328125" style="1" customWidth="1"/>
    <col min="13315" max="13315" width="22.453125" style="1" customWidth="1"/>
    <col min="13316" max="13316" width="12.81640625" style="1" customWidth="1"/>
    <col min="13317" max="13317" width="18.08984375" style="1" customWidth="1"/>
    <col min="13318" max="13318" width="28.453125" style="1" customWidth="1"/>
    <col min="13319" max="13320" width="11.453125" style="1"/>
    <col min="13321" max="13321" width="13.81640625" style="1" bestFit="1" customWidth="1"/>
    <col min="13322" max="13567" width="11.453125" style="1"/>
    <col min="13568" max="13568" width="3.36328125" style="1" customWidth="1"/>
    <col min="13569" max="13569" width="29.453125" style="1" customWidth="1"/>
    <col min="13570" max="13570" width="10.6328125" style="1" customWidth="1"/>
    <col min="13571" max="13571" width="22.453125" style="1" customWidth="1"/>
    <col min="13572" max="13572" width="12.81640625" style="1" customWidth="1"/>
    <col min="13573" max="13573" width="18.08984375" style="1" customWidth="1"/>
    <col min="13574" max="13574" width="28.453125" style="1" customWidth="1"/>
    <col min="13575" max="13576" width="11.453125" style="1"/>
    <col min="13577" max="13577" width="13.81640625" style="1" bestFit="1" customWidth="1"/>
    <col min="13578" max="13823" width="11.453125" style="1"/>
    <col min="13824" max="13824" width="3.36328125" style="1" customWidth="1"/>
    <col min="13825" max="13825" width="29.453125" style="1" customWidth="1"/>
    <col min="13826" max="13826" width="10.6328125" style="1" customWidth="1"/>
    <col min="13827" max="13827" width="22.453125" style="1" customWidth="1"/>
    <col min="13828" max="13828" width="12.81640625" style="1" customWidth="1"/>
    <col min="13829" max="13829" width="18.08984375" style="1" customWidth="1"/>
    <col min="13830" max="13830" width="28.453125" style="1" customWidth="1"/>
    <col min="13831" max="13832" width="11.453125" style="1"/>
    <col min="13833" max="13833" width="13.81640625" style="1" bestFit="1" customWidth="1"/>
    <col min="13834" max="14079" width="11.453125" style="1"/>
    <col min="14080" max="14080" width="3.36328125" style="1" customWidth="1"/>
    <col min="14081" max="14081" width="29.453125" style="1" customWidth="1"/>
    <col min="14082" max="14082" width="10.6328125" style="1" customWidth="1"/>
    <col min="14083" max="14083" width="22.453125" style="1" customWidth="1"/>
    <col min="14084" max="14084" width="12.81640625" style="1" customWidth="1"/>
    <col min="14085" max="14085" width="18.08984375" style="1" customWidth="1"/>
    <col min="14086" max="14086" width="28.453125" style="1" customWidth="1"/>
    <col min="14087" max="14088" width="11.453125" style="1"/>
    <col min="14089" max="14089" width="13.81640625" style="1" bestFit="1" customWidth="1"/>
    <col min="14090" max="14335" width="11.453125" style="1"/>
    <col min="14336" max="14336" width="3.36328125" style="1" customWidth="1"/>
    <col min="14337" max="14337" width="29.453125" style="1" customWidth="1"/>
    <col min="14338" max="14338" width="10.6328125" style="1" customWidth="1"/>
    <col min="14339" max="14339" width="22.453125" style="1" customWidth="1"/>
    <col min="14340" max="14340" width="12.81640625" style="1" customWidth="1"/>
    <col min="14341" max="14341" width="18.08984375" style="1" customWidth="1"/>
    <col min="14342" max="14342" width="28.453125" style="1" customWidth="1"/>
    <col min="14343" max="14344" width="11.453125" style="1"/>
    <col min="14345" max="14345" width="13.81640625" style="1" bestFit="1" customWidth="1"/>
    <col min="14346" max="14591" width="11.453125" style="1"/>
    <col min="14592" max="14592" width="3.36328125" style="1" customWidth="1"/>
    <col min="14593" max="14593" width="29.453125" style="1" customWidth="1"/>
    <col min="14594" max="14594" width="10.6328125" style="1" customWidth="1"/>
    <col min="14595" max="14595" width="22.453125" style="1" customWidth="1"/>
    <col min="14596" max="14596" width="12.81640625" style="1" customWidth="1"/>
    <col min="14597" max="14597" width="18.08984375" style="1" customWidth="1"/>
    <col min="14598" max="14598" width="28.453125" style="1" customWidth="1"/>
    <col min="14599" max="14600" width="11.453125" style="1"/>
    <col min="14601" max="14601" width="13.81640625" style="1" bestFit="1" customWidth="1"/>
    <col min="14602" max="14847" width="11.453125" style="1"/>
    <col min="14848" max="14848" width="3.36328125" style="1" customWidth="1"/>
    <col min="14849" max="14849" width="29.453125" style="1" customWidth="1"/>
    <col min="14850" max="14850" width="10.6328125" style="1" customWidth="1"/>
    <col min="14851" max="14851" width="22.453125" style="1" customWidth="1"/>
    <col min="14852" max="14852" width="12.81640625" style="1" customWidth="1"/>
    <col min="14853" max="14853" width="18.08984375" style="1" customWidth="1"/>
    <col min="14854" max="14854" width="28.453125" style="1" customWidth="1"/>
    <col min="14855" max="14856" width="11.453125" style="1"/>
    <col min="14857" max="14857" width="13.81640625" style="1" bestFit="1" customWidth="1"/>
    <col min="14858" max="15103" width="11.453125" style="1"/>
    <col min="15104" max="15104" width="3.36328125" style="1" customWidth="1"/>
    <col min="15105" max="15105" width="29.453125" style="1" customWidth="1"/>
    <col min="15106" max="15106" width="10.6328125" style="1" customWidth="1"/>
    <col min="15107" max="15107" width="22.453125" style="1" customWidth="1"/>
    <col min="15108" max="15108" width="12.81640625" style="1" customWidth="1"/>
    <col min="15109" max="15109" width="18.08984375" style="1" customWidth="1"/>
    <col min="15110" max="15110" width="28.453125" style="1" customWidth="1"/>
    <col min="15111" max="15112" width="11.453125" style="1"/>
    <col min="15113" max="15113" width="13.81640625" style="1" bestFit="1" customWidth="1"/>
    <col min="15114" max="15359" width="11.453125" style="1"/>
    <col min="15360" max="15360" width="3.36328125" style="1" customWidth="1"/>
    <col min="15361" max="15361" width="29.453125" style="1" customWidth="1"/>
    <col min="15362" max="15362" width="10.6328125" style="1" customWidth="1"/>
    <col min="15363" max="15363" width="22.453125" style="1" customWidth="1"/>
    <col min="15364" max="15364" width="12.81640625" style="1" customWidth="1"/>
    <col min="15365" max="15365" width="18.08984375" style="1" customWidth="1"/>
    <col min="15366" max="15366" width="28.453125" style="1" customWidth="1"/>
    <col min="15367" max="15368" width="11.453125" style="1"/>
    <col min="15369" max="15369" width="13.81640625" style="1" bestFit="1" customWidth="1"/>
    <col min="15370" max="15615" width="11.453125" style="1"/>
    <col min="15616" max="15616" width="3.36328125" style="1" customWidth="1"/>
    <col min="15617" max="15617" width="29.453125" style="1" customWidth="1"/>
    <col min="15618" max="15618" width="10.6328125" style="1" customWidth="1"/>
    <col min="15619" max="15619" width="22.453125" style="1" customWidth="1"/>
    <col min="15620" max="15620" width="12.81640625" style="1" customWidth="1"/>
    <col min="15621" max="15621" width="18.08984375" style="1" customWidth="1"/>
    <col min="15622" max="15622" width="28.453125" style="1" customWidth="1"/>
    <col min="15623" max="15624" width="11.453125" style="1"/>
    <col min="15625" max="15625" width="13.81640625" style="1" bestFit="1" customWidth="1"/>
    <col min="15626" max="15871" width="11.453125" style="1"/>
    <col min="15872" max="15872" width="3.36328125" style="1" customWidth="1"/>
    <col min="15873" max="15873" width="29.453125" style="1" customWidth="1"/>
    <col min="15874" max="15874" width="10.6328125" style="1" customWidth="1"/>
    <col min="15875" max="15875" width="22.453125" style="1" customWidth="1"/>
    <col min="15876" max="15876" width="12.81640625" style="1" customWidth="1"/>
    <col min="15877" max="15877" width="18.08984375" style="1" customWidth="1"/>
    <col min="15878" max="15878" width="28.453125" style="1" customWidth="1"/>
    <col min="15879" max="15880" width="11.453125" style="1"/>
    <col min="15881" max="15881" width="13.81640625" style="1" bestFit="1" customWidth="1"/>
    <col min="15882" max="16127" width="11.453125" style="1"/>
    <col min="16128" max="16128" width="3.36328125" style="1" customWidth="1"/>
    <col min="16129" max="16129" width="29.453125" style="1" customWidth="1"/>
    <col min="16130" max="16130" width="10.6328125" style="1" customWidth="1"/>
    <col min="16131" max="16131" width="22.453125" style="1" customWidth="1"/>
    <col min="16132" max="16132" width="12.81640625" style="1" customWidth="1"/>
    <col min="16133" max="16133" width="18.08984375" style="1" customWidth="1"/>
    <col min="16134" max="16134" width="28.453125" style="1" customWidth="1"/>
    <col min="16135" max="16136" width="11.453125" style="1"/>
    <col min="16137" max="16137" width="13.81640625" style="1" bestFit="1" customWidth="1"/>
    <col min="16138" max="16384" width="11.453125" style="1"/>
  </cols>
  <sheetData>
    <row r="2" spans="2:9" s="342" customFormat="1" ht="11" customHeight="1">
      <c r="B2" s="1799"/>
      <c r="C2" s="1802" t="s">
        <v>1304</v>
      </c>
      <c r="D2" s="1803"/>
      <c r="E2" s="1803"/>
      <c r="F2" s="1804"/>
      <c r="G2" s="1801"/>
      <c r="H2" s="341"/>
    </row>
    <row r="3" spans="2:9" s="342" customFormat="1" ht="11" customHeight="1">
      <c r="B3" s="1800"/>
      <c r="C3" s="1805"/>
      <c r="D3" s="1806"/>
      <c r="E3" s="1806"/>
      <c r="F3" s="1807"/>
      <c r="G3" s="1801"/>
      <c r="H3" s="341"/>
    </row>
    <row r="6" spans="2:9">
      <c r="B6" s="1808" t="s">
        <v>1305</v>
      </c>
      <c r="C6" s="343"/>
      <c r="D6" s="32" t="s">
        <v>1306</v>
      </c>
      <c r="E6" s="32"/>
      <c r="F6" s="32" t="s">
        <v>1307</v>
      </c>
    </row>
    <row r="7" spans="2:9" ht="19.5" customHeight="1">
      <c r="B7" s="1808"/>
      <c r="C7" s="343" t="s">
        <v>69</v>
      </c>
      <c r="D7" s="33">
        <f>+F7*50</f>
        <v>39000</v>
      </c>
      <c r="E7" s="33"/>
      <c r="F7" s="33">
        <f>+MATERIALES!D6</f>
        <v>780</v>
      </c>
    </row>
    <row r="8" spans="2:9" ht="19.5" customHeight="1">
      <c r="B8" s="344" t="s">
        <v>1308</v>
      </c>
      <c r="C8" s="32" t="s">
        <v>201</v>
      </c>
      <c r="D8" s="33"/>
      <c r="E8" s="33"/>
      <c r="F8" s="33">
        <f>+MATERIALES!D7</f>
        <v>85000</v>
      </c>
    </row>
    <row r="9" spans="2:9" ht="30" customHeight="1">
      <c r="B9" s="344" t="s">
        <v>1309</v>
      </c>
      <c r="C9" s="32" t="s">
        <v>201</v>
      </c>
      <c r="D9" s="33"/>
      <c r="E9" s="33"/>
      <c r="F9" s="33">
        <f>+MATERIALES!D8</f>
        <v>85000</v>
      </c>
    </row>
    <row r="10" spans="2:9" ht="19.5" customHeight="1">
      <c r="B10" s="344" t="s">
        <v>1310</v>
      </c>
      <c r="C10" s="32" t="s">
        <v>201</v>
      </c>
      <c r="D10" s="33"/>
      <c r="E10" s="33"/>
      <c r="F10" s="33">
        <f>+MATERIALES!D11</f>
        <v>85000</v>
      </c>
    </row>
    <row r="11" spans="2:9" ht="19.5" customHeight="1">
      <c r="B11" s="344" t="s">
        <v>1311</v>
      </c>
      <c r="C11" s="32" t="s">
        <v>669</v>
      </c>
      <c r="D11" s="33"/>
      <c r="E11" s="33"/>
      <c r="F11" s="33">
        <f>+MATERIALES!D25</f>
        <v>500</v>
      </c>
      <c r="I11" s="63"/>
    </row>
    <row r="14" spans="2:9">
      <c r="B14" s="345" t="s">
        <v>1312</v>
      </c>
      <c r="C14" s="346"/>
    </row>
    <row r="15" spans="2:9" ht="15" thickBot="1"/>
    <row r="16" spans="2:9">
      <c r="B16" s="35" t="s">
        <v>1313</v>
      </c>
      <c r="C16" s="36" t="s">
        <v>319</v>
      </c>
      <c r="D16" s="36" t="s">
        <v>320</v>
      </c>
      <c r="E16" s="36"/>
      <c r="F16" s="36" t="s">
        <v>321</v>
      </c>
      <c r="G16" s="37" t="s">
        <v>1314</v>
      </c>
    </row>
    <row r="17" spans="2:7">
      <c r="B17" s="10" t="s">
        <v>1315</v>
      </c>
      <c r="C17" s="32" t="s">
        <v>201</v>
      </c>
      <c r="D17" s="32">
        <v>1.1599999999999999</v>
      </c>
      <c r="E17" s="32">
        <v>1.1000000000000001</v>
      </c>
      <c r="F17" s="33">
        <f>+MATERIALES!D7</f>
        <v>85000</v>
      </c>
      <c r="G17" s="38">
        <f>+ROUND(F17*D17*E17,0)</f>
        <v>108460</v>
      </c>
    </row>
    <row r="18" spans="2:7">
      <c r="B18" s="10" t="s">
        <v>1316</v>
      </c>
      <c r="C18" s="32" t="s">
        <v>69</v>
      </c>
      <c r="D18" s="32">
        <v>364</v>
      </c>
      <c r="E18" s="32">
        <v>1.05</v>
      </c>
      <c r="F18" s="33">
        <f>+MATERIALES!D6</f>
        <v>780</v>
      </c>
      <c r="G18" s="38">
        <f t="shared" ref="G18:G19" si="0">+ROUND(F18*D18*E18,0)</f>
        <v>298116</v>
      </c>
    </row>
    <row r="19" spans="2:7">
      <c r="B19" s="10" t="s">
        <v>962</v>
      </c>
      <c r="C19" s="32" t="s">
        <v>669</v>
      </c>
      <c r="D19" s="32">
        <v>0.22500000000000001</v>
      </c>
      <c r="E19" s="32">
        <v>1.25</v>
      </c>
      <c r="F19" s="33">
        <f>+MATERIALES!D25</f>
        <v>500</v>
      </c>
      <c r="G19" s="38">
        <f t="shared" si="0"/>
        <v>141</v>
      </c>
    </row>
    <row r="20" spans="2:7">
      <c r="B20" s="10" t="s">
        <v>964</v>
      </c>
      <c r="C20" s="32" t="s">
        <v>965</v>
      </c>
      <c r="D20" s="32">
        <v>0.08</v>
      </c>
      <c r="E20" s="32"/>
      <c r="F20" s="33">
        <f>+MATERIALES!D27</f>
        <v>15890</v>
      </c>
      <c r="G20" s="38">
        <f>+ROUND(F20*D20,0)</f>
        <v>1271</v>
      </c>
    </row>
    <row r="21" spans="2:7">
      <c r="B21" s="39" t="s">
        <v>966</v>
      </c>
      <c r="C21" s="32" t="s">
        <v>965</v>
      </c>
      <c r="D21" s="40">
        <v>8.0000000000000002E-3</v>
      </c>
      <c r="E21" s="40"/>
      <c r="F21" s="33">
        <f>+MATERIALES!D28</f>
        <v>46000</v>
      </c>
      <c r="G21" s="41">
        <f>+ROUND(F21*D21,0)</f>
        <v>368</v>
      </c>
    </row>
    <row r="22" spans="2:7">
      <c r="B22" s="39" t="s">
        <v>1096</v>
      </c>
      <c r="C22" s="40" t="s">
        <v>1097</v>
      </c>
      <c r="D22" s="40">
        <v>0.4</v>
      </c>
      <c r="E22" s="40"/>
      <c r="F22" s="42">
        <f>+EQUIPOS!C5</f>
        <v>80000</v>
      </c>
      <c r="G22" s="41">
        <f>+ROUND(F22*D22,0)</f>
        <v>32000</v>
      </c>
    </row>
    <row r="23" spans="2:7">
      <c r="B23" s="39" t="s">
        <v>1317</v>
      </c>
      <c r="C23" s="40" t="s">
        <v>902</v>
      </c>
      <c r="D23" s="43">
        <f>1/15</f>
        <v>6.6666666666666666E-2</v>
      </c>
      <c r="E23" s="40"/>
      <c r="F23" s="42">
        <f>+M.O.!$G$4*4+M.O.!$G$6</f>
        <v>796670.69142656075</v>
      </c>
      <c r="G23" s="41">
        <f>+ROUND(F23*D23,0)</f>
        <v>53111</v>
      </c>
    </row>
    <row r="24" spans="2:7">
      <c r="B24" s="39" t="s">
        <v>1318</v>
      </c>
      <c r="C24" s="40" t="s">
        <v>14</v>
      </c>
      <c r="D24" s="43">
        <v>1.1599999999999999</v>
      </c>
      <c r="E24" s="40">
        <v>1.1000000000000001</v>
      </c>
      <c r="F24" s="42">
        <f>+MATERIALES!D29</f>
        <v>33600</v>
      </c>
      <c r="G24" s="38">
        <f t="shared" ref="G24" si="1">+ROUND(F24*D24*E24,0)</f>
        <v>42874</v>
      </c>
    </row>
    <row r="25" spans="2:7">
      <c r="B25" s="39" t="s">
        <v>905</v>
      </c>
      <c r="C25" s="40" t="s">
        <v>1319</v>
      </c>
      <c r="D25" s="40">
        <v>0.05</v>
      </c>
      <c r="E25" s="40"/>
      <c r="F25" s="42"/>
      <c r="G25" s="41">
        <f>+G23*D25</f>
        <v>2655.55</v>
      </c>
    </row>
    <row r="26" spans="2:7" ht="15" thickBot="1">
      <c r="B26" s="1809" t="s">
        <v>650</v>
      </c>
      <c r="C26" s="1810"/>
      <c r="D26" s="1810"/>
      <c r="E26" s="1810"/>
      <c r="F26" s="1810"/>
      <c r="G26" s="46">
        <f>SUM(G17:G25)</f>
        <v>538996.55000000005</v>
      </c>
    </row>
    <row r="28" spans="2:7">
      <c r="B28" s="345" t="s">
        <v>1320</v>
      </c>
      <c r="C28" s="346" t="s">
        <v>1321</v>
      </c>
    </row>
    <row r="29" spans="2:7" ht="15" thickBot="1"/>
    <row r="30" spans="2:7">
      <c r="B30" s="35" t="s">
        <v>1313</v>
      </c>
      <c r="C30" s="36" t="s">
        <v>319</v>
      </c>
      <c r="D30" s="36" t="s">
        <v>320</v>
      </c>
      <c r="E30" s="36"/>
      <c r="F30" s="36" t="s">
        <v>321</v>
      </c>
      <c r="G30" s="37" t="s">
        <v>1314</v>
      </c>
    </row>
    <row r="31" spans="2:7">
      <c r="B31" s="10" t="s">
        <v>1315</v>
      </c>
      <c r="C31" s="32" t="s">
        <v>201</v>
      </c>
      <c r="D31" s="32">
        <v>0.67</v>
      </c>
      <c r="E31" s="32">
        <v>1.1000000000000001</v>
      </c>
      <c r="F31" s="33">
        <f>+MATERIALES!$D$8</f>
        <v>85000</v>
      </c>
      <c r="G31" s="38">
        <f>+ROUND(F31*D31*E31,0)</f>
        <v>62645</v>
      </c>
    </row>
    <row r="32" spans="2:7">
      <c r="B32" s="10" t="s">
        <v>947</v>
      </c>
      <c r="C32" s="32" t="s">
        <v>201</v>
      </c>
      <c r="D32" s="32">
        <v>0.67</v>
      </c>
      <c r="E32" s="32">
        <v>1.1000000000000001</v>
      </c>
      <c r="F32" s="33">
        <f>+MATERIALES!$D$11</f>
        <v>85000</v>
      </c>
      <c r="G32" s="38">
        <f t="shared" ref="G32:G35" si="2">+ROUND(F32*D32*E32,0)</f>
        <v>62645</v>
      </c>
    </row>
    <row r="33" spans="2:7">
      <c r="B33" s="10" t="s">
        <v>1316</v>
      </c>
      <c r="C33" s="32" t="s">
        <v>69</v>
      </c>
      <c r="D33" s="32">
        <v>420</v>
      </c>
      <c r="E33" s="32">
        <v>1.05</v>
      </c>
      <c r="F33" s="33">
        <f>+MATERIALES!$D$6</f>
        <v>780</v>
      </c>
      <c r="G33" s="38">
        <f t="shared" si="2"/>
        <v>343980</v>
      </c>
    </row>
    <row r="34" spans="2:7">
      <c r="B34" s="10" t="s">
        <v>962</v>
      </c>
      <c r="C34" s="32" t="s">
        <v>669</v>
      </c>
      <c r="D34" s="32">
        <v>0.22500000000000001</v>
      </c>
      <c r="E34" s="32">
        <v>1.25</v>
      </c>
      <c r="F34" s="33">
        <f>+MATERIALES!$D$25</f>
        <v>500</v>
      </c>
      <c r="G34" s="38">
        <f t="shared" si="2"/>
        <v>141</v>
      </c>
    </row>
    <row r="35" spans="2:7">
      <c r="B35" s="39" t="s">
        <v>1318</v>
      </c>
      <c r="C35" s="40" t="s">
        <v>14</v>
      </c>
      <c r="D35" s="32">
        <f>+D31</f>
        <v>0.67</v>
      </c>
      <c r="E35" s="40">
        <v>1.1000000000000001</v>
      </c>
      <c r="F35" s="42">
        <f>+MATERIALES!$D$29</f>
        <v>33600</v>
      </c>
      <c r="G35" s="38">
        <f t="shared" si="2"/>
        <v>24763</v>
      </c>
    </row>
    <row r="36" spans="2:7">
      <c r="B36" s="39" t="s">
        <v>1322</v>
      </c>
      <c r="C36" s="40" t="s">
        <v>14</v>
      </c>
      <c r="D36" s="32">
        <f>+D32</f>
        <v>0.67</v>
      </c>
      <c r="E36" s="40">
        <v>1.1000000000000001</v>
      </c>
      <c r="F36" s="42">
        <f>+MATERIALES!$D$29</f>
        <v>33600</v>
      </c>
      <c r="G36" s="38">
        <f t="shared" ref="G36" si="3">+ROUND(F36*D36*E36,0)</f>
        <v>24763</v>
      </c>
    </row>
    <row r="37" spans="2:7">
      <c r="B37" s="10" t="s">
        <v>964</v>
      </c>
      <c r="C37" s="32" t="s">
        <v>965</v>
      </c>
      <c r="D37" s="32">
        <v>0.08</v>
      </c>
      <c r="E37" s="32"/>
      <c r="F37" s="33">
        <f>+MATERIALES!$D$27</f>
        <v>15890</v>
      </c>
      <c r="G37" s="38">
        <f>+ROUND(F37*D37,0)</f>
        <v>1271</v>
      </c>
    </row>
    <row r="38" spans="2:7">
      <c r="B38" s="39" t="s">
        <v>966</v>
      </c>
      <c r="C38" s="32" t="s">
        <v>965</v>
      </c>
      <c r="D38" s="40">
        <v>8.0000000000000002E-3</v>
      </c>
      <c r="E38" s="40"/>
      <c r="F38" s="33">
        <f>+MATERIALES!$D$28</f>
        <v>46000</v>
      </c>
      <c r="G38" s="41">
        <f>+ROUND(F38*D38,0)</f>
        <v>368</v>
      </c>
    </row>
    <row r="39" spans="2:7">
      <c r="B39" s="39" t="s">
        <v>1096</v>
      </c>
      <c r="C39" s="40" t="s">
        <v>1097</v>
      </c>
      <c r="D39" s="40">
        <v>0.4</v>
      </c>
      <c r="E39" s="40"/>
      <c r="F39" s="42">
        <f>+EQUIPOS!$C$5</f>
        <v>80000</v>
      </c>
      <c r="G39" s="41">
        <f>+ROUND(F39*D39,0)</f>
        <v>32000</v>
      </c>
    </row>
    <row r="40" spans="2:7">
      <c r="B40" s="39" t="s">
        <v>1317</v>
      </c>
      <c r="C40" s="40" t="s">
        <v>902</v>
      </c>
      <c r="D40" s="43">
        <f>1/9.5</f>
        <v>0.10526315789473684</v>
      </c>
      <c r="E40" s="40"/>
      <c r="F40" s="42">
        <f>+M.O.!$G$4*4+M.O.!$G$6</f>
        <v>796670.69142656075</v>
      </c>
      <c r="G40" s="41">
        <f>+ROUND(F40*D40,0)</f>
        <v>83860</v>
      </c>
    </row>
    <row r="41" spans="2:7">
      <c r="B41" s="39" t="s">
        <v>905</v>
      </c>
      <c r="C41" s="40" t="s">
        <v>1319</v>
      </c>
      <c r="D41" s="40">
        <v>0.05</v>
      </c>
      <c r="E41" s="40"/>
      <c r="F41" s="42"/>
      <c r="G41" s="41">
        <f>+G40*D41</f>
        <v>4193</v>
      </c>
    </row>
    <row r="42" spans="2:7" ht="15" thickBot="1">
      <c r="B42" s="1809" t="s">
        <v>650</v>
      </c>
      <c r="C42" s="1810"/>
      <c r="D42" s="1810"/>
      <c r="E42" s="1810"/>
      <c r="F42" s="1810"/>
      <c r="G42" s="46">
        <f>SUM(G31:G41)</f>
        <v>640629</v>
      </c>
    </row>
    <row r="43" spans="2:7">
      <c r="B43" s="34"/>
      <c r="D43" s="34"/>
      <c r="E43" s="34"/>
      <c r="F43" s="34"/>
      <c r="G43" s="47"/>
    </row>
    <row r="44" spans="2:7">
      <c r="B44" s="345" t="s">
        <v>1323</v>
      </c>
      <c r="C44" s="346" t="s">
        <v>1324</v>
      </c>
    </row>
    <row r="45" spans="2:7" ht="15" thickBot="1"/>
    <row r="46" spans="2:7">
      <c r="B46" s="35" t="s">
        <v>1313</v>
      </c>
      <c r="C46" s="36" t="s">
        <v>319</v>
      </c>
      <c r="D46" s="36" t="s">
        <v>320</v>
      </c>
      <c r="E46" s="36"/>
      <c r="F46" s="36" t="s">
        <v>321</v>
      </c>
      <c r="G46" s="37" t="s">
        <v>1314</v>
      </c>
    </row>
    <row r="47" spans="2:7">
      <c r="B47" s="10" t="s">
        <v>1315</v>
      </c>
      <c r="C47" s="32" t="s">
        <v>201</v>
      </c>
      <c r="D47" s="32">
        <v>0.6</v>
      </c>
      <c r="E47" s="32">
        <v>1.1000000000000001</v>
      </c>
      <c r="F47" s="33">
        <f>+MATERIALES!$D$8</f>
        <v>85000</v>
      </c>
      <c r="G47" s="38">
        <f>+ROUND(F47*D47*E47,0)</f>
        <v>56100</v>
      </c>
    </row>
    <row r="48" spans="2:7">
      <c r="B48" s="10" t="s">
        <v>947</v>
      </c>
      <c r="C48" s="32" t="s">
        <v>201</v>
      </c>
      <c r="D48" s="32">
        <v>0.76</v>
      </c>
      <c r="E48" s="32">
        <v>1.1000000000000001</v>
      </c>
      <c r="F48" s="33">
        <f>+MATERIALES!$D$11</f>
        <v>85000</v>
      </c>
      <c r="G48" s="38">
        <f t="shared" ref="G48:G52" si="4">+ROUND(F48*D48*E48,0)</f>
        <v>71060</v>
      </c>
    </row>
    <row r="49" spans="2:7">
      <c r="B49" s="10" t="s">
        <v>1316</v>
      </c>
      <c r="C49" s="32" t="s">
        <v>69</v>
      </c>
      <c r="D49" s="32">
        <v>380</v>
      </c>
      <c r="E49" s="32">
        <v>1.05</v>
      </c>
      <c r="F49" s="33">
        <f>+MATERIALES!$D$6</f>
        <v>780</v>
      </c>
      <c r="G49" s="38">
        <f t="shared" si="4"/>
        <v>311220</v>
      </c>
    </row>
    <row r="50" spans="2:7">
      <c r="B50" s="10" t="s">
        <v>962</v>
      </c>
      <c r="C50" s="32" t="s">
        <v>669</v>
      </c>
      <c r="D50" s="32">
        <v>0.22500000000000001</v>
      </c>
      <c r="E50" s="32">
        <v>1.25</v>
      </c>
      <c r="F50" s="33">
        <f>+MATERIALES!$D$25</f>
        <v>500</v>
      </c>
      <c r="G50" s="38">
        <f t="shared" si="4"/>
        <v>141</v>
      </c>
    </row>
    <row r="51" spans="2:7">
      <c r="B51" s="39" t="s">
        <v>1318</v>
      </c>
      <c r="C51" s="40" t="s">
        <v>14</v>
      </c>
      <c r="D51" s="32">
        <f>+D47</f>
        <v>0.6</v>
      </c>
      <c r="E51" s="40">
        <v>1.1000000000000001</v>
      </c>
      <c r="F51" s="42">
        <f>+MATERIALES!$D$29</f>
        <v>33600</v>
      </c>
      <c r="G51" s="38">
        <f t="shared" si="4"/>
        <v>22176</v>
      </c>
    </row>
    <row r="52" spans="2:7">
      <c r="B52" s="39" t="s">
        <v>1322</v>
      </c>
      <c r="C52" s="40" t="s">
        <v>14</v>
      </c>
      <c r="D52" s="32">
        <f>+D48</f>
        <v>0.76</v>
      </c>
      <c r="E52" s="40">
        <v>1.1000000000000001</v>
      </c>
      <c r="F52" s="42">
        <f>+MATERIALES!$D$29</f>
        <v>33600</v>
      </c>
      <c r="G52" s="38">
        <f t="shared" si="4"/>
        <v>28090</v>
      </c>
    </row>
    <row r="53" spans="2:7">
      <c r="B53" s="10" t="s">
        <v>964</v>
      </c>
      <c r="C53" s="32" t="s">
        <v>965</v>
      </c>
      <c r="D53" s="32">
        <v>0.08</v>
      </c>
      <c r="E53" s="32"/>
      <c r="F53" s="33">
        <f>+MATERIALES!$D$27</f>
        <v>15890</v>
      </c>
      <c r="G53" s="38">
        <f>+ROUND(F53*D53,0)</f>
        <v>1271</v>
      </c>
    </row>
    <row r="54" spans="2:7">
      <c r="B54" s="39" t="s">
        <v>966</v>
      </c>
      <c r="C54" s="32" t="s">
        <v>965</v>
      </c>
      <c r="D54" s="40">
        <v>8.0000000000000002E-3</v>
      </c>
      <c r="E54" s="40"/>
      <c r="F54" s="33">
        <f>+MATERIALES!$D$28</f>
        <v>46000</v>
      </c>
      <c r="G54" s="41">
        <f>+ROUND(F54*D54,0)</f>
        <v>368</v>
      </c>
    </row>
    <row r="55" spans="2:7">
      <c r="B55" s="39" t="s">
        <v>1096</v>
      </c>
      <c r="C55" s="40" t="s">
        <v>1097</v>
      </c>
      <c r="D55" s="40">
        <v>0.4</v>
      </c>
      <c r="E55" s="40"/>
      <c r="F55" s="42">
        <f>+EQUIPOS!$C$5</f>
        <v>80000</v>
      </c>
      <c r="G55" s="41">
        <f>+ROUND(F55*D55,0)</f>
        <v>32000</v>
      </c>
    </row>
    <row r="56" spans="2:7">
      <c r="B56" s="39" t="s">
        <v>1317</v>
      </c>
      <c r="C56" s="40" t="s">
        <v>902</v>
      </c>
      <c r="D56" s="43">
        <f>1/9.5</f>
        <v>0.10526315789473684</v>
      </c>
      <c r="E56" s="40"/>
      <c r="F56" s="42">
        <f>+M.O.!$G$4*4+M.O.!$G$6</f>
        <v>796670.69142656075</v>
      </c>
      <c r="G56" s="41">
        <f>+ROUND(F56*D56,0)</f>
        <v>83860</v>
      </c>
    </row>
    <row r="57" spans="2:7">
      <c r="B57" s="39" t="s">
        <v>905</v>
      </c>
      <c r="C57" s="40" t="s">
        <v>1319</v>
      </c>
      <c r="D57" s="40">
        <v>0.05</v>
      </c>
      <c r="E57" s="40"/>
      <c r="F57" s="42"/>
      <c r="G57" s="41">
        <f>+G56*D57</f>
        <v>4193</v>
      </c>
    </row>
    <row r="58" spans="2:7" ht="15" thickBot="1">
      <c r="B58" s="1809" t="s">
        <v>650</v>
      </c>
      <c r="C58" s="1810"/>
      <c r="D58" s="1810"/>
      <c r="E58" s="1810"/>
      <c r="F58" s="1810"/>
      <c r="G58" s="46">
        <f>SUM(G47:G57)</f>
        <v>610479</v>
      </c>
    </row>
    <row r="59" spans="2:7">
      <c r="B59" s="34"/>
      <c r="D59" s="34"/>
      <c r="E59" s="34"/>
      <c r="F59" s="34"/>
      <c r="G59" s="47"/>
    </row>
    <row r="60" spans="2:7">
      <c r="B60" s="34"/>
      <c r="D60" s="34"/>
      <c r="E60" s="34"/>
      <c r="F60" s="34"/>
      <c r="G60" s="47"/>
    </row>
    <row r="61" spans="2:7">
      <c r="B61" s="345" t="s">
        <v>1325</v>
      </c>
      <c r="C61" s="346" t="s">
        <v>1326</v>
      </c>
    </row>
    <row r="62" spans="2:7" ht="15" thickBot="1"/>
    <row r="63" spans="2:7">
      <c r="B63" s="35" t="s">
        <v>1313</v>
      </c>
      <c r="C63" s="36" t="s">
        <v>319</v>
      </c>
      <c r="D63" s="36" t="s">
        <v>320</v>
      </c>
      <c r="E63" s="36" t="s">
        <v>1327</v>
      </c>
      <c r="F63" s="36" t="s">
        <v>321</v>
      </c>
      <c r="G63" s="37" t="s">
        <v>1314</v>
      </c>
    </row>
    <row r="64" spans="2:7">
      <c r="B64" s="10" t="s">
        <v>1315</v>
      </c>
      <c r="C64" s="32" t="s">
        <v>201</v>
      </c>
      <c r="D64" s="32">
        <v>0.56000000000000005</v>
      </c>
      <c r="E64" s="32">
        <v>1.1000000000000001</v>
      </c>
      <c r="F64" s="33">
        <f>+F8</f>
        <v>85000</v>
      </c>
      <c r="G64" s="38">
        <f>+ROUND(F64*D64*E64,0)</f>
        <v>52360</v>
      </c>
    </row>
    <row r="65" spans="2:7">
      <c r="B65" s="10" t="s">
        <v>947</v>
      </c>
      <c r="C65" s="32" t="s">
        <v>201</v>
      </c>
      <c r="D65" s="32">
        <v>0.84</v>
      </c>
      <c r="E65" s="32">
        <v>1.1000000000000001</v>
      </c>
      <c r="F65" s="33">
        <f>+F10</f>
        <v>85000</v>
      </c>
      <c r="G65" s="38">
        <f t="shared" ref="G65:G69" si="5">+ROUND(F65*D65*E65,0)</f>
        <v>78540</v>
      </c>
    </row>
    <row r="66" spans="2:7">
      <c r="B66" s="10" t="s">
        <v>1316</v>
      </c>
      <c r="C66" s="32" t="s">
        <v>69</v>
      </c>
      <c r="D66" s="32">
        <v>350</v>
      </c>
      <c r="E66" s="32">
        <v>1.05</v>
      </c>
      <c r="F66" s="33">
        <f>+F7</f>
        <v>780</v>
      </c>
      <c r="G66" s="38">
        <f t="shared" si="5"/>
        <v>286650</v>
      </c>
    </row>
    <row r="67" spans="2:7">
      <c r="B67" s="10" t="s">
        <v>962</v>
      </c>
      <c r="C67" s="32" t="s">
        <v>669</v>
      </c>
      <c r="D67" s="32">
        <v>0.22500000000000001</v>
      </c>
      <c r="E67" s="32">
        <v>1.25</v>
      </c>
      <c r="F67" s="33">
        <f>+MATERIALES!$D$25</f>
        <v>500</v>
      </c>
      <c r="G67" s="38">
        <f t="shared" si="5"/>
        <v>141</v>
      </c>
    </row>
    <row r="68" spans="2:7">
      <c r="B68" s="39" t="s">
        <v>1318</v>
      </c>
      <c r="C68" s="40" t="s">
        <v>14</v>
      </c>
      <c r="D68" s="32">
        <f>+D64</f>
        <v>0.56000000000000005</v>
      </c>
      <c r="E68" s="40">
        <v>1.1000000000000001</v>
      </c>
      <c r="F68" s="42">
        <f>+MATERIALES!$D$29</f>
        <v>33600</v>
      </c>
      <c r="G68" s="38">
        <f t="shared" si="5"/>
        <v>20698</v>
      </c>
    </row>
    <row r="69" spans="2:7">
      <c r="B69" s="39" t="s">
        <v>1322</v>
      </c>
      <c r="C69" s="40" t="s">
        <v>14</v>
      </c>
      <c r="D69" s="32">
        <f>+D65</f>
        <v>0.84</v>
      </c>
      <c r="E69" s="40">
        <v>1.1000000000000001</v>
      </c>
      <c r="F69" s="42">
        <f>+MATERIALES!$D$29</f>
        <v>33600</v>
      </c>
      <c r="G69" s="38">
        <f t="shared" si="5"/>
        <v>31046</v>
      </c>
    </row>
    <row r="70" spans="2:7">
      <c r="B70" s="10" t="s">
        <v>964</v>
      </c>
      <c r="C70" s="32" t="s">
        <v>965</v>
      </c>
      <c r="D70" s="32">
        <v>0.08</v>
      </c>
      <c r="E70" s="32"/>
      <c r="F70" s="33">
        <f>+MATERIALES!$D$27</f>
        <v>15890</v>
      </c>
      <c r="G70" s="38">
        <f>+ROUND(F70*D70,0)</f>
        <v>1271</v>
      </c>
    </row>
    <row r="71" spans="2:7">
      <c r="B71" s="39" t="s">
        <v>966</v>
      </c>
      <c r="C71" s="32" t="s">
        <v>965</v>
      </c>
      <c r="D71" s="40">
        <v>8.0000000000000002E-3</v>
      </c>
      <c r="E71" s="40"/>
      <c r="F71" s="33">
        <f>+MATERIALES!$D$28</f>
        <v>46000</v>
      </c>
      <c r="G71" s="41">
        <f>+ROUND(F71*D71,0)</f>
        <v>368</v>
      </c>
    </row>
    <row r="72" spans="2:7">
      <c r="B72" s="39" t="s">
        <v>1096</v>
      </c>
      <c r="C72" s="40" t="s">
        <v>1097</v>
      </c>
      <c r="D72" s="40">
        <v>0.4</v>
      </c>
      <c r="E72" s="40"/>
      <c r="F72" s="42">
        <f>+EQUIPOS!$C$5</f>
        <v>80000</v>
      </c>
      <c r="G72" s="41">
        <f>+ROUND(F72*D72,0)</f>
        <v>32000</v>
      </c>
    </row>
    <row r="73" spans="2:7">
      <c r="B73" s="39" t="s">
        <v>1317</v>
      </c>
      <c r="C73" s="40" t="s">
        <v>902</v>
      </c>
      <c r="D73" s="43">
        <f>1/9.5</f>
        <v>0.10526315789473684</v>
      </c>
      <c r="E73" s="40"/>
      <c r="F73" s="42">
        <f>+M.O.!$G$4*4+M.O.!$G$6</f>
        <v>796670.69142656075</v>
      </c>
      <c r="G73" s="41">
        <f>+ROUND(F73*D73,0)</f>
        <v>83860</v>
      </c>
    </row>
    <row r="74" spans="2:7">
      <c r="B74" s="39" t="s">
        <v>905</v>
      </c>
      <c r="C74" s="40" t="s">
        <v>1319</v>
      </c>
      <c r="D74" s="40">
        <v>0.05</v>
      </c>
      <c r="E74" s="40"/>
      <c r="F74" s="42"/>
      <c r="G74" s="41">
        <f>+G73*D74</f>
        <v>4193</v>
      </c>
    </row>
    <row r="75" spans="2:7" ht="15" thickBot="1">
      <c r="B75" s="1809" t="s">
        <v>650</v>
      </c>
      <c r="C75" s="1810"/>
      <c r="D75" s="1810"/>
      <c r="E75" s="1810"/>
      <c r="F75" s="1810"/>
      <c r="G75" s="46">
        <f>SUM(G64:G74)</f>
        <v>591127</v>
      </c>
    </row>
    <row r="78" spans="2:7">
      <c r="B78" s="345" t="s">
        <v>1328</v>
      </c>
      <c r="C78" s="346" t="s">
        <v>1329</v>
      </c>
    </row>
    <row r="79" spans="2:7" ht="15" thickBot="1"/>
    <row r="80" spans="2:7">
      <c r="B80" s="35" t="s">
        <v>1313</v>
      </c>
      <c r="C80" s="36" t="s">
        <v>319</v>
      </c>
      <c r="D80" s="36" t="s">
        <v>320</v>
      </c>
      <c r="E80" s="36"/>
      <c r="F80" s="36" t="s">
        <v>321</v>
      </c>
      <c r="G80" s="37" t="s">
        <v>1314</v>
      </c>
    </row>
    <row r="81" spans="2:9">
      <c r="B81" s="10" t="s">
        <v>1315</v>
      </c>
      <c r="C81" s="32" t="s">
        <v>201</v>
      </c>
      <c r="D81" s="32">
        <v>0.52</v>
      </c>
      <c r="E81" s="32">
        <v>1.1000000000000001</v>
      </c>
      <c r="F81" s="33">
        <f>+MATERIALES!$D$8</f>
        <v>85000</v>
      </c>
      <c r="G81" s="38">
        <f>+ROUND(F81*D81*E81,0)</f>
        <v>48620</v>
      </c>
    </row>
    <row r="82" spans="2:9">
      <c r="B82" s="10" t="s">
        <v>947</v>
      </c>
      <c r="C82" s="32" t="s">
        <v>201</v>
      </c>
      <c r="D82" s="32">
        <v>0.94</v>
      </c>
      <c r="E82" s="32">
        <v>1.1000000000000001</v>
      </c>
      <c r="F82" s="33">
        <f>+MATERIALES!$D$11</f>
        <v>85000</v>
      </c>
      <c r="G82" s="38">
        <f t="shared" ref="G82:G86" si="6">+ROUND(F82*D82*E82,0)</f>
        <v>87890</v>
      </c>
      <c r="I82" s="6"/>
    </row>
    <row r="83" spans="2:9">
      <c r="B83" s="10" t="s">
        <v>1316</v>
      </c>
      <c r="C83" s="32" t="s">
        <v>69</v>
      </c>
      <c r="D83" s="32">
        <v>260</v>
      </c>
      <c r="E83" s="32">
        <v>1.05</v>
      </c>
      <c r="F83" s="33">
        <f>+MATERIALES!$D$6</f>
        <v>780</v>
      </c>
      <c r="G83" s="38">
        <f t="shared" si="6"/>
        <v>212940</v>
      </c>
      <c r="I83" s="6"/>
    </row>
    <row r="84" spans="2:9">
      <c r="B84" s="10" t="s">
        <v>962</v>
      </c>
      <c r="C84" s="32" t="s">
        <v>669</v>
      </c>
      <c r="D84" s="32">
        <v>0.22500000000000001</v>
      </c>
      <c r="E84" s="32">
        <v>1.25</v>
      </c>
      <c r="F84" s="33">
        <f>+MATERIALES!$D$25</f>
        <v>500</v>
      </c>
      <c r="G84" s="38">
        <f t="shared" si="6"/>
        <v>141</v>
      </c>
    </row>
    <row r="85" spans="2:9">
      <c r="B85" s="39" t="s">
        <v>1318</v>
      </c>
      <c r="C85" s="40" t="s">
        <v>14</v>
      </c>
      <c r="D85" s="32">
        <f>+D81</f>
        <v>0.52</v>
      </c>
      <c r="E85" s="40">
        <v>1.1000000000000001</v>
      </c>
      <c r="F85" s="42">
        <f>+MATERIALES!$D$29</f>
        <v>33600</v>
      </c>
      <c r="G85" s="38">
        <f t="shared" si="6"/>
        <v>19219</v>
      </c>
    </row>
    <row r="86" spans="2:9">
      <c r="B86" s="39" t="s">
        <v>1322</v>
      </c>
      <c r="C86" s="40" t="s">
        <v>14</v>
      </c>
      <c r="D86" s="32">
        <f>+D82</f>
        <v>0.94</v>
      </c>
      <c r="E86" s="40">
        <v>1.1000000000000001</v>
      </c>
      <c r="F86" s="42">
        <f>+MATERIALES!$D$29</f>
        <v>33600</v>
      </c>
      <c r="G86" s="38">
        <f t="shared" si="6"/>
        <v>34742</v>
      </c>
    </row>
    <row r="87" spans="2:9">
      <c r="B87" s="10" t="s">
        <v>964</v>
      </c>
      <c r="C87" s="32" t="s">
        <v>965</v>
      </c>
      <c r="D87" s="32">
        <v>0.08</v>
      </c>
      <c r="E87" s="32"/>
      <c r="F87" s="33">
        <f>+MATERIALES!$D$27</f>
        <v>15890</v>
      </c>
      <c r="G87" s="38">
        <f>+ROUND(F87*D87,0)</f>
        <v>1271</v>
      </c>
    </row>
    <row r="88" spans="2:9">
      <c r="B88" s="39" t="s">
        <v>966</v>
      </c>
      <c r="C88" s="32" t="s">
        <v>965</v>
      </c>
      <c r="D88" s="40">
        <v>8.0000000000000002E-3</v>
      </c>
      <c r="E88" s="40"/>
      <c r="F88" s="33">
        <f>+MATERIALES!$D$28</f>
        <v>46000</v>
      </c>
      <c r="G88" s="41">
        <f>+ROUND(F88*D88,0)</f>
        <v>368</v>
      </c>
    </row>
    <row r="89" spans="2:9">
      <c r="B89" s="39" t="s">
        <v>1096</v>
      </c>
      <c r="C89" s="40" t="s">
        <v>1097</v>
      </c>
      <c r="D89" s="40">
        <v>0.4</v>
      </c>
      <c r="E89" s="40"/>
      <c r="F89" s="42">
        <f>+EQUIPOS!$C$5</f>
        <v>80000</v>
      </c>
      <c r="G89" s="41">
        <f>+ROUND(F89*D89,0)</f>
        <v>32000</v>
      </c>
    </row>
    <row r="90" spans="2:9">
      <c r="B90" s="39" t="s">
        <v>1317</v>
      </c>
      <c r="C90" s="40" t="s">
        <v>902</v>
      </c>
      <c r="D90" s="43">
        <f>1/9.5</f>
        <v>0.10526315789473684</v>
      </c>
      <c r="E90" s="40"/>
      <c r="F90" s="42">
        <f>+M.O.!$G$4*4+M.O.!$G$6</f>
        <v>796670.69142656075</v>
      </c>
      <c r="G90" s="41">
        <f>+ROUND(F90*D90,0)</f>
        <v>83860</v>
      </c>
    </row>
    <row r="91" spans="2:9">
      <c r="B91" s="39" t="s">
        <v>905</v>
      </c>
      <c r="C91" s="40" t="s">
        <v>1319</v>
      </c>
      <c r="D91" s="40">
        <v>0.05</v>
      </c>
      <c r="E91" s="40"/>
      <c r="F91" s="42"/>
      <c r="G91" s="41">
        <f>+G90*D91</f>
        <v>4193</v>
      </c>
    </row>
    <row r="92" spans="2:9" ht="15" thickBot="1">
      <c r="B92" s="1809" t="s">
        <v>650</v>
      </c>
      <c r="C92" s="1810"/>
      <c r="D92" s="1810"/>
      <c r="E92" s="1810"/>
      <c r="F92" s="1810"/>
      <c r="G92" s="46">
        <f>SUM(G81:G91)</f>
        <v>525244</v>
      </c>
    </row>
    <row r="95" spans="2:9">
      <c r="B95" s="345" t="s">
        <v>1330</v>
      </c>
      <c r="C95" s="346" t="s">
        <v>1331</v>
      </c>
    </row>
    <row r="96" spans="2:9" ht="15" thickBot="1"/>
    <row r="97" spans="2:7">
      <c r="B97" s="35" t="s">
        <v>1313</v>
      </c>
      <c r="C97" s="36" t="s">
        <v>319</v>
      </c>
      <c r="D97" s="36" t="s">
        <v>320</v>
      </c>
      <c r="E97" s="36"/>
      <c r="F97" s="36" t="s">
        <v>321</v>
      </c>
      <c r="G97" s="37" t="s">
        <v>1314</v>
      </c>
    </row>
    <row r="98" spans="2:7">
      <c r="B98" s="10" t="s">
        <v>1315</v>
      </c>
      <c r="C98" s="32" t="s">
        <v>201</v>
      </c>
      <c r="D98" s="32">
        <v>0.55000000000000004</v>
      </c>
      <c r="E98" s="32">
        <v>1.1000000000000001</v>
      </c>
      <c r="F98" s="33">
        <f>+MATERIALES!$D$8</f>
        <v>85000</v>
      </c>
      <c r="G98" s="38">
        <f>+ROUND(F98*D98*E98,0)</f>
        <v>51425</v>
      </c>
    </row>
    <row r="99" spans="2:7">
      <c r="B99" s="10" t="s">
        <v>947</v>
      </c>
      <c r="C99" s="32" t="s">
        <v>201</v>
      </c>
      <c r="D99" s="32">
        <v>0.92</v>
      </c>
      <c r="E99" s="32">
        <v>1.1000000000000001</v>
      </c>
      <c r="F99" s="33">
        <f>+MATERIALES!$D$11</f>
        <v>85000</v>
      </c>
      <c r="G99" s="38">
        <f t="shared" ref="G99:G103" si="7">+ROUND(F99*D99*E99,0)</f>
        <v>86020</v>
      </c>
    </row>
    <row r="100" spans="2:7">
      <c r="B100" s="10" t="s">
        <v>1316</v>
      </c>
      <c r="C100" s="32" t="s">
        <v>69</v>
      </c>
      <c r="D100" s="32">
        <v>230</v>
      </c>
      <c r="E100" s="32">
        <v>1.05</v>
      </c>
      <c r="F100" s="33">
        <f>+MATERIALES!$D$6</f>
        <v>780</v>
      </c>
      <c r="G100" s="38">
        <f t="shared" si="7"/>
        <v>188370</v>
      </c>
    </row>
    <row r="101" spans="2:7">
      <c r="B101" s="10" t="s">
        <v>962</v>
      </c>
      <c r="C101" s="32" t="s">
        <v>669</v>
      </c>
      <c r="D101" s="32">
        <v>0.22500000000000001</v>
      </c>
      <c r="E101" s="32">
        <v>1.25</v>
      </c>
      <c r="F101" s="33">
        <f>+MATERIALES!$D$25</f>
        <v>500</v>
      </c>
      <c r="G101" s="38">
        <f t="shared" si="7"/>
        <v>141</v>
      </c>
    </row>
    <row r="102" spans="2:7">
      <c r="B102" s="39" t="s">
        <v>1318</v>
      </c>
      <c r="C102" s="40" t="s">
        <v>14</v>
      </c>
      <c r="D102" s="32">
        <f>+D98</f>
        <v>0.55000000000000004</v>
      </c>
      <c r="E102" s="40">
        <v>1.1000000000000001</v>
      </c>
      <c r="F102" s="42">
        <f>+MATERIALES!$D$29</f>
        <v>33600</v>
      </c>
      <c r="G102" s="38">
        <f t="shared" si="7"/>
        <v>20328</v>
      </c>
    </row>
    <row r="103" spans="2:7">
      <c r="B103" s="39" t="s">
        <v>1322</v>
      </c>
      <c r="C103" s="40" t="s">
        <v>14</v>
      </c>
      <c r="D103" s="32">
        <f>+D99</f>
        <v>0.92</v>
      </c>
      <c r="E103" s="40">
        <v>1.1000000000000001</v>
      </c>
      <c r="F103" s="42">
        <f>+MATERIALES!$D$29</f>
        <v>33600</v>
      </c>
      <c r="G103" s="38">
        <f t="shared" si="7"/>
        <v>34003</v>
      </c>
    </row>
    <row r="104" spans="2:7">
      <c r="B104" s="10" t="s">
        <v>964</v>
      </c>
      <c r="C104" s="32" t="s">
        <v>965</v>
      </c>
      <c r="D104" s="32">
        <v>0.08</v>
      </c>
      <c r="E104" s="32"/>
      <c r="F104" s="33">
        <f>+MATERIALES!$D$27</f>
        <v>15890</v>
      </c>
      <c r="G104" s="38">
        <f>+ROUND(F104*D104,0)</f>
        <v>1271</v>
      </c>
    </row>
    <row r="105" spans="2:7">
      <c r="B105" s="39" t="s">
        <v>966</v>
      </c>
      <c r="C105" s="32" t="s">
        <v>965</v>
      </c>
      <c r="D105" s="40">
        <v>8.0000000000000002E-3</v>
      </c>
      <c r="E105" s="40"/>
      <c r="F105" s="33">
        <f>+MATERIALES!$D$28</f>
        <v>46000</v>
      </c>
      <c r="G105" s="41">
        <f>+ROUND(F105*D105,0)</f>
        <v>368</v>
      </c>
    </row>
    <row r="106" spans="2:7">
      <c r="B106" s="39" t="s">
        <v>1096</v>
      </c>
      <c r="C106" s="40" t="s">
        <v>1097</v>
      </c>
      <c r="D106" s="40">
        <v>0.4</v>
      </c>
      <c r="E106" s="40"/>
      <c r="F106" s="42">
        <f>+EQUIPOS!$C$5</f>
        <v>80000</v>
      </c>
      <c r="G106" s="41">
        <f>+ROUND(F106*D106,0)</f>
        <v>32000</v>
      </c>
    </row>
    <row r="107" spans="2:7">
      <c r="B107" s="39" t="s">
        <v>1317</v>
      </c>
      <c r="C107" s="40" t="s">
        <v>902</v>
      </c>
      <c r="D107" s="43">
        <f>1/9.5</f>
        <v>0.10526315789473684</v>
      </c>
      <c r="E107" s="40"/>
      <c r="F107" s="42">
        <f>+M.O.!$G$4*4+M.O.!$G$6</f>
        <v>796670.69142656075</v>
      </c>
      <c r="G107" s="41">
        <f>+ROUND(F107*D107,0)</f>
        <v>83860</v>
      </c>
    </row>
    <row r="108" spans="2:7">
      <c r="B108" s="39" t="s">
        <v>905</v>
      </c>
      <c r="C108" s="40" t="s">
        <v>1319</v>
      </c>
      <c r="D108" s="40">
        <v>0.05</v>
      </c>
      <c r="E108" s="40"/>
      <c r="F108" s="42"/>
      <c r="G108" s="41">
        <f>+G107*D108</f>
        <v>4193</v>
      </c>
    </row>
    <row r="109" spans="2:7" ht="15" thickBot="1">
      <c r="B109" s="1809" t="s">
        <v>650</v>
      </c>
      <c r="C109" s="1810"/>
      <c r="D109" s="1810"/>
      <c r="E109" s="1810"/>
      <c r="F109" s="1810"/>
      <c r="G109" s="46">
        <f>SUM(G98:G108)</f>
        <v>501979</v>
      </c>
    </row>
    <row r="112" spans="2:7">
      <c r="B112" s="345" t="s">
        <v>1332</v>
      </c>
      <c r="C112" s="346" t="s">
        <v>1333</v>
      </c>
    </row>
    <row r="113" spans="2:7" ht="15" thickBot="1"/>
    <row r="114" spans="2:7">
      <c r="B114" s="35" t="s">
        <v>1313</v>
      </c>
      <c r="C114" s="36" t="s">
        <v>319</v>
      </c>
      <c r="D114" s="36" t="s">
        <v>320</v>
      </c>
      <c r="E114" s="36"/>
      <c r="F114" s="36" t="s">
        <v>321</v>
      </c>
      <c r="G114" s="37" t="s">
        <v>1314</v>
      </c>
    </row>
    <row r="115" spans="2:7">
      <c r="B115" s="10" t="s">
        <v>1315</v>
      </c>
      <c r="C115" s="32" t="s">
        <v>201</v>
      </c>
      <c r="D115" s="32">
        <v>0.55000000000000004</v>
      </c>
      <c r="E115" s="32">
        <v>1.1000000000000001</v>
      </c>
      <c r="F115" s="33">
        <f>+MATERIALES!$D$8</f>
        <v>85000</v>
      </c>
      <c r="G115" s="38">
        <f>+ROUND(F115*D115*E115,0)</f>
        <v>51425</v>
      </c>
    </row>
    <row r="116" spans="2:7">
      <c r="B116" s="10" t="s">
        <v>947</v>
      </c>
      <c r="C116" s="32" t="s">
        <v>201</v>
      </c>
      <c r="D116" s="32">
        <v>0.98</v>
      </c>
      <c r="E116" s="32">
        <v>1.1000000000000001</v>
      </c>
      <c r="F116" s="33">
        <f>+MATERIALES!$D$11</f>
        <v>85000</v>
      </c>
      <c r="G116" s="38">
        <f t="shared" ref="G116:G120" si="8">+ROUND(F116*D116*E116,0)</f>
        <v>91630</v>
      </c>
    </row>
    <row r="117" spans="2:7">
      <c r="B117" s="10" t="s">
        <v>1316</v>
      </c>
      <c r="C117" s="32" t="s">
        <v>69</v>
      </c>
      <c r="D117" s="32">
        <v>175</v>
      </c>
      <c r="E117" s="32">
        <v>1.05</v>
      </c>
      <c r="F117" s="33">
        <f>+MATERIALES!$D$6</f>
        <v>780</v>
      </c>
      <c r="G117" s="38">
        <f t="shared" si="8"/>
        <v>143325</v>
      </c>
    </row>
    <row r="118" spans="2:7">
      <c r="B118" s="10" t="s">
        <v>962</v>
      </c>
      <c r="C118" s="32" t="s">
        <v>669</v>
      </c>
      <c r="D118" s="32">
        <v>0.22500000000000001</v>
      </c>
      <c r="E118" s="32">
        <v>1.25</v>
      </c>
      <c r="F118" s="33">
        <f>+MATERIALES!$D$25</f>
        <v>500</v>
      </c>
      <c r="G118" s="38">
        <f t="shared" si="8"/>
        <v>141</v>
      </c>
    </row>
    <row r="119" spans="2:7">
      <c r="B119" s="39" t="s">
        <v>1318</v>
      </c>
      <c r="C119" s="40" t="s">
        <v>14</v>
      </c>
      <c r="D119" s="32">
        <f>+D115</f>
        <v>0.55000000000000004</v>
      </c>
      <c r="E119" s="40">
        <v>1.1000000000000001</v>
      </c>
      <c r="F119" s="42">
        <f>+MATERIALES!$D$29</f>
        <v>33600</v>
      </c>
      <c r="G119" s="38">
        <f t="shared" si="8"/>
        <v>20328</v>
      </c>
    </row>
    <row r="120" spans="2:7">
      <c r="B120" s="39" t="s">
        <v>1322</v>
      </c>
      <c r="C120" s="40" t="s">
        <v>14</v>
      </c>
      <c r="D120" s="32">
        <f>+D116</f>
        <v>0.98</v>
      </c>
      <c r="E120" s="40">
        <v>1.1000000000000001</v>
      </c>
      <c r="F120" s="42">
        <f>+MATERIALES!$D$29</f>
        <v>33600</v>
      </c>
      <c r="G120" s="38">
        <f t="shared" si="8"/>
        <v>36221</v>
      </c>
    </row>
    <row r="121" spans="2:7">
      <c r="B121" s="10" t="s">
        <v>964</v>
      </c>
      <c r="C121" s="32" t="s">
        <v>965</v>
      </c>
      <c r="D121" s="32">
        <v>0.08</v>
      </c>
      <c r="E121" s="32"/>
      <c r="F121" s="33">
        <f>+MATERIALES!$D$27</f>
        <v>15890</v>
      </c>
      <c r="G121" s="38">
        <f>+ROUND(F121*D121,0)</f>
        <v>1271</v>
      </c>
    </row>
    <row r="122" spans="2:7">
      <c r="B122" s="39" t="s">
        <v>966</v>
      </c>
      <c r="C122" s="32" t="s">
        <v>965</v>
      </c>
      <c r="D122" s="40">
        <v>8.0000000000000002E-3</v>
      </c>
      <c r="E122" s="40"/>
      <c r="F122" s="33">
        <f>+MATERIALES!$D$28</f>
        <v>46000</v>
      </c>
      <c r="G122" s="41">
        <f>+ROUND(F122*D122,0)</f>
        <v>368</v>
      </c>
    </row>
    <row r="123" spans="2:7">
      <c r="B123" s="39" t="s">
        <v>1096</v>
      </c>
      <c r="C123" s="40" t="s">
        <v>1097</v>
      </c>
      <c r="D123" s="40">
        <v>0.4</v>
      </c>
      <c r="E123" s="40"/>
      <c r="F123" s="42">
        <f>+EQUIPOS!$C$5</f>
        <v>80000</v>
      </c>
      <c r="G123" s="41">
        <f>+ROUND(F123*D123,0)</f>
        <v>32000</v>
      </c>
    </row>
    <row r="124" spans="2:7">
      <c r="B124" s="39" t="s">
        <v>1317</v>
      </c>
      <c r="C124" s="40" t="s">
        <v>902</v>
      </c>
      <c r="D124" s="43">
        <f>1/9.5</f>
        <v>0.10526315789473684</v>
      </c>
      <c r="E124" s="40"/>
      <c r="F124" s="42">
        <f>+M.O.!$G$4*4+M.O.!$G$6</f>
        <v>796670.69142656075</v>
      </c>
      <c r="G124" s="41">
        <f>+ROUND(F124*D124,0)</f>
        <v>83860</v>
      </c>
    </row>
    <row r="125" spans="2:7">
      <c r="B125" s="39" t="s">
        <v>905</v>
      </c>
      <c r="C125" s="40" t="s">
        <v>1319</v>
      </c>
      <c r="D125" s="40">
        <v>0.05</v>
      </c>
      <c r="E125" s="40"/>
      <c r="F125" s="42"/>
      <c r="G125" s="41">
        <f>+G124*D125</f>
        <v>4193</v>
      </c>
    </row>
    <row r="126" spans="2:7" ht="15" thickBot="1">
      <c r="B126" s="1809" t="s">
        <v>650</v>
      </c>
      <c r="C126" s="1810"/>
      <c r="D126" s="1810"/>
      <c r="E126" s="1810"/>
      <c r="F126" s="1810"/>
      <c r="G126" s="46">
        <f>SUM(G115:G125)</f>
        <v>464762</v>
      </c>
    </row>
    <row r="129" spans="2:7">
      <c r="B129" s="1798" t="s">
        <v>50</v>
      </c>
      <c r="C129" s="1798"/>
      <c r="D129" s="1798"/>
      <c r="E129" s="1798"/>
      <c r="F129" s="1798"/>
      <c r="G129" s="1798"/>
    </row>
    <row r="130" spans="2:7" ht="15" thickBot="1"/>
    <row r="131" spans="2:7" ht="30" customHeight="1" thickBot="1">
      <c r="B131" s="48" t="s">
        <v>1334</v>
      </c>
      <c r="C131" s="49" t="s">
        <v>319</v>
      </c>
      <c r="D131" s="49" t="s">
        <v>320</v>
      </c>
      <c r="E131" s="49"/>
      <c r="F131" s="49" t="s">
        <v>321</v>
      </c>
      <c r="G131" s="50" t="s">
        <v>1314</v>
      </c>
    </row>
    <row r="132" spans="2:7">
      <c r="B132" s="51" t="s">
        <v>1335</v>
      </c>
      <c r="C132" s="52" t="s">
        <v>201</v>
      </c>
      <c r="D132" s="53">
        <v>1</v>
      </c>
      <c r="E132" s="53"/>
      <c r="F132" s="54">
        <f>G126</f>
        <v>464762</v>
      </c>
      <c r="G132" s="55">
        <f t="shared" ref="G132:G137" si="9">+ROUND(F132*D132,0)</f>
        <v>464762</v>
      </c>
    </row>
    <row r="133" spans="2:7">
      <c r="B133" s="56" t="s">
        <v>1336</v>
      </c>
      <c r="C133" s="32" t="s">
        <v>201</v>
      </c>
      <c r="D133" s="57">
        <v>1</v>
      </c>
      <c r="E133" s="57"/>
      <c r="F133" s="58">
        <f>G109</f>
        <v>501979</v>
      </c>
      <c r="G133" s="38">
        <f t="shared" si="9"/>
        <v>501979</v>
      </c>
    </row>
    <row r="134" spans="2:7">
      <c r="B134" s="56" t="s">
        <v>1337</v>
      </c>
      <c r="C134" s="32" t="s">
        <v>201</v>
      </c>
      <c r="D134" s="57">
        <v>1</v>
      </c>
      <c r="E134" s="57"/>
      <c r="F134" s="58">
        <f>G92</f>
        <v>525244</v>
      </c>
      <c r="G134" s="38">
        <f t="shared" si="9"/>
        <v>525244</v>
      </c>
    </row>
    <row r="135" spans="2:7">
      <c r="B135" s="56" t="s">
        <v>1338</v>
      </c>
      <c r="C135" s="32" t="s">
        <v>201</v>
      </c>
      <c r="D135" s="57">
        <v>1</v>
      </c>
      <c r="E135" s="57"/>
      <c r="F135" s="58">
        <f>G75</f>
        <v>591127</v>
      </c>
      <c r="G135" s="38">
        <f t="shared" si="9"/>
        <v>591127</v>
      </c>
    </row>
    <row r="136" spans="2:7">
      <c r="B136" s="56" t="s">
        <v>1339</v>
      </c>
      <c r="C136" s="32" t="s">
        <v>201</v>
      </c>
      <c r="D136" s="57">
        <v>1</v>
      </c>
      <c r="E136" s="57"/>
      <c r="F136" s="58">
        <f>+G58</f>
        <v>610479</v>
      </c>
      <c r="G136" s="38">
        <f t="shared" si="9"/>
        <v>610479</v>
      </c>
    </row>
    <row r="137" spans="2:7" ht="15" thickBot="1">
      <c r="B137" s="44" t="s">
        <v>1340</v>
      </c>
      <c r="C137" s="45" t="s">
        <v>201</v>
      </c>
      <c r="D137" s="59">
        <v>1</v>
      </c>
      <c r="E137" s="59"/>
      <c r="F137" s="60">
        <f>+G42</f>
        <v>640629</v>
      </c>
      <c r="G137" s="61">
        <f t="shared" si="9"/>
        <v>640629</v>
      </c>
    </row>
  </sheetData>
  <mergeCells count="12">
    <mergeCell ref="B129:G129"/>
    <mergeCell ref="B2:B3"/>
    <mergeCell ref="G2:G3"/>
    <mergeCell ref="C2:F3"/>
    <mergeCell ref="B6:B7"/>
    <mergeCell ref="B26:F26"/>
    <mergeCell ref="B42:F42"/>
    <mergeCell ref="B58:F58"/>
    <mergeCell ref="B75:F75"/>
    <mergeCell ref="B92:F92"/>
    <mergeCell ref="B109:F109"/>
    <mergeCell ref="B126:F126"/>
  </mergeCells>
  <pageMargins left="0.7" right="0.7" top="0.75" bottom="0.75" header="0.3" footer="0.3"/>
  <pageSetup scale="63" orientation="portrait" r:id="rId1"/>
  <rowBreaks count="1" manualBreakCount="1">
    <brk id="64" min="1" max="6"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71A27B-9279-40DD-B472-A08EF2980EC9}">
  <sheetPr codeName="Hoja14">
    <tabColor theme="7" tint="0.79998168889431442"/>
  </sheetPr>
  <dimension ref="A1:E54"/>
  <sheetViews>
    <sheetView topLeftCell="A13" zoomScaleNormal="100" zoomScaleSheetLayoutView="90" workbookViewId="0">
      <selection activeCell="A30" sqref="A30"/>
    </sheetView>
  </sheetViews>
  <sheetFormatPr baseColWidth="10" defaultColWidth="11.453125" defaultRowHeight="14.5"/>
  <cols>
    <col min="1" max="1" width="92.6328125" style="1" customWidth="1"/>
    <col min="2" max="2" width="11.453125" style="1"/>
    <col min="3" max="3" width="18.36328125" style="63" bestFit="1" customWidth="1"/>
    <col min="4" max="4" width="11.453125" style="1"/>
    <col min="5" max="5" width="16.08984375" style="1" bestFit="1" customWidth="1"/>
    <col min="6" max="16384" width="11.453125" style="1"/>
  </cols>
  <sheetData>
    <row r="1" spans="1:5" ht="21" customHeight="1">
      <c r="A1" s="1792" t="str">
        <f>+PRESUPUESTO!A2</f>
        <v>OBJETO: MEJORAMIENTO Y ADECUACIÓN DE LAS VIAS URBANAS DEL MUNICIPIO DE SANTA FE DE ANTIOQUIA</v>
      </c>
      <c r="B1" s="1793"/>
      <c r="C1" s="1794"/>
    </row>
    <row r="2" spans="1:5" ht="29.5" customHeight="1">
      <c r="A2" s="1795"/>
      <c r="B2" s="1796"/>
      <c r="C2" s="1797"/>
    </row>
    <row r="3" spans="1:5">
      <c r="A3" s="1811" t="s">
        <v>1095</v>
      </c>
      <c r="B3" s="1812"/>
      <c r="C3" s="1813"/>
    </row>
    <row r="4" spans="1:5">
      <c r="A4" s="311" t="s">
        <v>228</v>
      </c>
      <c r="B4" s="125" t="s">
        <v>193</v>
      </c>
      <c r="C4" s="125" t="s">
        <v>194</v>
      </c>
    </row>
    <row r="5" spans="1:5">
      <c r="A5" s="10" t="s">
        <v>1096</v>
      </c>
      <c r="B5" s="7" t="s">
        <v>1097</v>
      </c>
      <c r="C5" s="260">
        <v>80000</v>
      </c>
    </row>
    <row r="6" spans="1:5">
      <c r="A6" s="10" t="s">
        <v>1098</v>
      </c>
      <c r="B6" s="7" t="s">
        <v>1097</v>
      </c>
      <c r="C6" s="260">
        <v>150000</v>
      </c>
    </row>
    <row r="7" spans="1:5">
      <c r="A7" s="10" t="s">
        <v>1099</v>
      </c>
      <c r="B7" s="7" t="s">
        <v>1100</v>
      </c>
      <c r="C7" s="260">
        <v>131534</v>
      </c>
    </row>
    <row r="8" spans="1:5">
      <c r="A8" s="10" t="s">
        <v>1101</v>
      </c>
      <c r="B8" s="7" t="s">
        <v>1100</v>
      </c>
      <c r="C8" s="260">
        <v>230000</v>
      </c>
    </row>
    <row r="9" spans="1:5">
      <c r="A9" s="10" t="s">
        <v>1102</v>
      </c>
      <c r="B9" s="7" t="s">
        <v>1100</v>
      </c>
      <c r="C9" s="260">
        <v>220000</v>
      </c>
      <c r="E9" s="63">
        <f>8000000/10</f>
        <v>800000</v>
      </c>
    </row>
    <row r="10" spans="1:5">
      <c r="A10" s="10" t="s">
        <v>1103</v>
      </c>
      <c r="B10" s="7" t="s">
        <v>1100</v>
      </c>
      <c r="C10" s="260">
        <v>1000000</v>
      </c>
      <c r="E10" s="371">
        <v>0.8</v>
      </c>
    </row>
    <row r="11" spans="1:5">
      <c r="A11" s="10" t="s">
        <v>1104</v>
      </c>
      <c r="B11" s="7" t="s">
        <v>1100</v>
      </c>
      <c r="C11" s="260">
        <v>250000</v>
      </c>
    </row>
    <row r="12" spans="1:5">
      <c r="A12" s="10" t="s">
        <v>1105</v>
      </c>
      <c r="B12" s="7" t="s">
        <v>1100</v>
      </c>
      <c r="C12" s="260">
        <v>150000</v>
      </c>
    </row>
    <row r="13" spans="1:5">
      <c r="A13" s="10" t="s">
        <v>1106</v>
      </c>
      <c r="B13" s="7" t="s">
        <v>1100</v>
      </c>
      <c r="C13" s="260">
        <v>225000</v>
      </c>
    </row>
    <row r="14" spans="1:5">
      <c r="A14" s="10" t="s">
        <v>1107</v>
      </c>
      <c r="B14" s="7" t="s">
        <v>1100</v>
      </c>
      <c r="C14" s="260">
        <v>100000</v>
      </c>
    </row>
    <row r="15" spans="1:5">
      <c r="A15" s="10" t="s">
        <v>1108</v>
      </c>
      <c r="B15" s="7" t="s">
        <v>1100</v>
      </c>
      <c r="C15" s="260">
        <v>100000</v>
      </c>
    </row>
    <row r="16" spans="1:5">
      <c r="A16" s="10" t="s">
        <v>1109</v>
      </c>
      <c r="B16" s="7" t="s">
        <v>1100</v>
      </c>
      <c r="C16" s="260">
        <v>150000</v>
      </c>
    </row>
    <row r="17" spans="1:3">
      <c r="A17" s="10" t="s">
        <v>1110</v>
      </c>
      <c r="B17" s="7" t="s">
        <v>1100</v>
      </c>
      <c r="C17" s="260">
        <v>80000</v>
      </c>
    </row>
    <row r="18" spans="1:3">
      <c r="A18" s="10" t="s">
        <v>1111</v>
      </c>
      <c r="B18" s="7" t="s">
        <v>1097</v>
      </c>
      <c r="C18" s="260">
        <f>12500*8</f>
        <v>100000</v>
      </c>
    </row>
    <row r="19" spans="1:3">
      <c r="A19" s="10" t="s">
        <v>1112</v>
      </c>
      <c r="B19" s="7" t="s">
        <v>1100</v>
      </c>
      <c r="C19" s="260">
        <v>90000</v>
      </c>
    </row>
    <row r="20" spans="1:3">
      <c r="A20" s="10" t="s">
        <v>1113</v>
      </c>
      <c r="B20" s="7" t="s">
        <v>1100</v>
      </c>
      <c r="C20" s="260">
        <v>200000</v>
      </c>
    </row>
    <row r="21" spans="1:3">
      <c r="A21" s="10" t="s">
        <v>1114</v>
      </c>
      <c r="B21" s="7" t="s">
        <v>1100</v>
      </c>
      <c r="C21" s="260">
        <v>150000</v>
      </c>
    </row>
    <row r="22" spans="1:3">
      <c r="A22" s="10" t="s">
        <v>1115</v>
      </c>
      <c r="B22" s="7" t="s">
        <v>1100</v>
      </c>
      <c r="C22" s="260">
        <v>150000</v>
      </c>
    </row>
    <row r="23" spans="1:3">
      <c r="A23" s="10" t="s">
        <v>1116</v>
      </c>
      <c r="B23" s="7" t="s">
        <v>1097</v>
      </c>
      <c r="C23" s="260">
        <v>42800</v>
      </c>
    </row>
    <row r="24" spans="1:3" ht="29">
      <c r="A24" s="369" t="s">
        <v>1117</v>
      </c>
      <c r="B24" s="7" t="s">
        <v>1118</v>
      </c>
      <c r="C24" s="370">
        <v>100000</v>
      </c>
    </row>
    <row r="25" spans="1:3">
      <c r="A25" s="10" t="s">
        <v>1119</v>
      </c>
      <c r="B25" s="7" t="s">
        <v>1097</v>
      </c>
      <c r="C25" s="260">
        <v>58900</v>
      </c>
    </row>
    <row r="26" spans="1:3">
      <c r="A26" s="10" t="s">
        <v>1120</v>
      </c>
      <c r="B26" s="7" t="s">
        <v>1100</v>
      </c>
      <c r="C26" s="260">
        <v>98705</v>
      </c>
    </row>
    <row r="27" spans="1:3">
      <c r="A27" s="10" t="s">
        <v>1121</v>
      </c>
      <c r="B27" s="7" t="s">
        <v>1097</v>
      </c>
      <c r="C27" s="260">
        <v>22000</v>
      </c>
    </row>
    <row r="28" spans="1:3">
      <c r="A28" s="10" t="s">
        <v>1122</v>
      </c>
      <c r="B28" s="7" t="s">
        <v>1100</v>
      </c>
      <c r="C28" s="260">
        <v>12500</v>
      </c>
    </row>
    <row r="29" spans="1:3" ht="16.5">
      <c r="A29" s="10" t="s">
        <v>1123</v>
      </c>
      <c r="B29" s="7" t="s">
        <v>1124</v>
      </c>
      <c r="C29" s="260">
        <v>2800</v>
      </c>
    </row>
    <row r="30" spans="1:3">
      <c r="A30" s="10" t="s">
        <v>1125</v>
      </c>
      <c r="B30" s="7" t="s">
        <v>1097</v>
      </c>
      <c r="C30" s="260">
        <v>170000</v>
      </c>
    </row>
    <row r="31" spans="1:3">
      <c r="A31" s="10" t="s">
        <v>1126</v>
      </c>
      <c r="B31" s="7" t="s">
        <v>408</v>
      </c>
      <c r="C31" s="260">
        <v>85000</v>
      </c>
    </row>
    <row r="32" spans="1:3">
      <c r="A32" s="10" t="s">
        <v>1127</v>
      </c>
      <c r="B32" s="7" t="s">
        <v>1097</v>
      </c>
      <c r="C32" s="260">
        <v>100000</v>
      </c>
    </row>
    <row r="33" spans="1:3">
      <c r="A33" s="10" t="s">
        <v>1128</v>
      </c>
      <c r="B33" s="7" t="s">
        <v>1100</v>
      </c>
      <c r="C33" s="260">
        <v>5000</v>
      </c>
    </row>
    <row r="34" spans="1:3">
      <c r="A34" s="10" t="s">
        <v>1129</v>
      </c>
      <c r="B34" s="7" t="s">
        <v>1130</v>
      </c>
      <c r="C34" s="260">
        <v>550000</v>
      </c>
    </row>
    <row r="35" spans="1:3">
      <c r="A35" s="10" t="s">
        <v>1131</v>
      </c>
      <c r="B35" s="7" t="s">
        <v>1097</v>
      </c>
      <c r="C35" s="260">
        <v>5500</v>
      </c>
    </row>
    <row r="36" spans="1:3">
      <c r="A36" s="222" t="s">
        <v>1132</v>
      </c>
      <c r="B36" s="7" t="s">
        <v>1097</v>
      </c>
      <c r="C36" s="260">
        <v>600</v>
      </c>
    </row>
    <row r="37" spans="1:3">
      <c r="A37" s="222" t="s">
        <v>1133</v>
      </c>
      <c r="B37" s="7" t="s">
        <v>1097</v>
      </c>
      <c r="C37" s="260">
        <v>38500</v>
      </c>
    </row>
    <row r="38" spans="1:3">
      <c r="A38" s="222" t="s">
        <v>1134</v>
      </c>
      <c r="B38" s="7" t="s">
        <v>1097</v>
      </c>
      <c r="C38" s="260">
        <v>12500</v>
      </c>
    </row>
    <row r="39" spans="1:3">
      <c r="A39" s="222" t="s">
        <v>1135</v>
      </c>
      <c r="B39" s="7" t="s">
        <v>1097</v>
      </c>
      <c r="C39" s="260">
        <v>78500</v>
      </c>
    </row>
    <row r="40" spans="1:3">
      <c r="A40" s="10" t="s">
        <v>1136</v>
      </c>
      <c r="B40" s="7" t="s">
        <v>1097</v>
      </c>
      <c r="C40" s="260">
        <v>10500</v>
      </c>
    </row>
    <row r="41" spans="1:3">
      <c r="A41" s="10" t="s">
        <v>1137</v>
      </c>
      <c r="B41" s="7" t="s">
        <v>1097</v>
      </c>
      <c r="C41" s="260">
        <v>55500</v>
      </c>
    </row>
    <row r="42" spans="1:3">
      <c r="A42" s="10" t="s">
        <v>1138</v>
      </c>
      <c r="B42" s="7" t="s">
        <v>1097</v>
      </c>
      <c r="C42" s="260">
        <v>2530</v>
      </c>
    </row>
    <row r="43" spans="1:3">
      <c r="A43" s="233" t="s">
        <v>1139</v>
      </c>
      <c r="B43" s="7" t="s">
        <v>1097</v>
      </c>
      <c r="C43" s="234">
        <v>78000</v>
      </c>
    </row>
    <row r="44" spans="1:3">
      <c r="A44" s="233" t="s">
        <v>1140</v>
      </c>
      <c r="B44" s="7" t="s">
        <v>1097</v>
      </c>
      <c r="C44" s="234">
        <v>78000</v>
      </c>
    </row>
    <row r="45" spans="1:3">
      <c r="A45" s="222" t="s">
        <v>1141</v>
      </c>
      <c r="B45" s="7" t="s">
        <v>1097</v>
      </c>
      <c r="C45" s="260">
        <v>785</v>
      </c>
    </row>
    <row r="46" spans="1:3">
      <c r="A46" s="222" t="s">
        <v>1142</v>
      </c>
      <c r="B46" s="7" t="s">
        <v>1097</v>
      </c>
      <c r="C46" s="260">
        <v>890</v>
      </c>
    </row>
    <row r="47" spans="1:3" ht="29">
      <c r="A47" s="222" t="s">
        <v>1143</v>
      </c>
      <c r="B47" s="7" t="s">
        <v>1097</v>
      </c>
      <c r="C47" s="260">
        <v>78950</v>
      </c>
    </row>
    <row r="48" spans="1:3">
      <c r="A48" s="10" t="s">
        <v>1144</v>
      </c>
      <c r="B48" s="7" t="s">
        <v>1097</v>
      </c>
      <c r="C48" s="260">
        <v>140000</v>
      </c>
    </row>
    <row r="49" spans="1:3">
      <c r="A49" s="222" t="s">
        <v>1145</v>
      </c>
      <c r="B49" s="7" t="s">
        <v>1097</v>
      </c>
      <c r="C49" s="260">
        <v>105000</v>
      </c>
    </row>
    <row r="50" spans="1:3">
      <c r="A50" s="222" t="s">
        <v>1146</v>
      </c>
      <c r="B50" s="208" t="s">
        <v>14</v>
      </c>
      <c r="C50" s="260">
        <v>98000</v>
      </c>
    </row>
    <row r="51" spans="1:3">
      <c r="A51" s="222" t="s">
        <v>1147</v>
      </c>
      <c r="B51" s="208" t="s">
        <v>14</v>
      </c>
      <c r="C51" s="260">
        <v>245000</v>
      </c>
    </row>
    <row r="52" spans="1:3">
      <c r="A52" s="10" t="s">
        <v>1148</v>
      </c>
      <c r="B52" s="7" t="s">
        <v>1097</v>
      </c>
      <c r="C52" s="260">
        <v>18500</v>
      </c>
    </row>
    <row r="53" spans="1:3">
      <c r="A53" s="222" t="s">
        <v>1149</v>
      </c>
      <c r="B53" s="7" t="s">
        <v>23</v>
      </c>
      <c r="C53" s="260">
        <v>450000</v>
      </c>
    </row>
    <row r="54" spans="1:3" ht="15" thickBot="1">
      <c r="A54" s="273" t="s">
        <v>1150</v>
      </c>
      <c r="B54" s="11" t="s">
        <v>1097</v>
      </c>
      <c r="C54" s="261">
        <v>98105</v>
      </c>
    </row>
  </sheetData>
  <mergeCells count="2">
    <mergeCell ref="A1:C2"/>
    <mergeCell ref="A3:C3"/>
  </mergeCells>
  <pageMargins left="0.7" right="0.7" top="0.75" bottom="0.75" header="0.3" footer="0.3"/>
  <pageSetup scale="78"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028346-DA9B-4596-9570-3D7CF0C4A971}">
  <sheetPr codeName="Hoja5">
    <tabColor theme="7" tint="0.79998168889431442"/>
  </sheetPr>
  <dimension ref="B1:R555"/>
  <sheetViews>
    <sheetView topLeftCell="E16" zoomScale="70" zoomScaleNormal="70" workbookViewId="0">
      <selection activeCell="O10" sqref="O10"/>
    </sheetView>
  </sheetViews>
  <sheetFormatPr baseColWidth="10" defaultColWidth="11.453125" defaultRowHeight="14.5"/>
  <cols>
    <col min="1" max="1" width="5.453125" style="1" customWidth="1"/>
    <col min="2" max="2" width="11.453125" style="1"/>
    <col min="3" max="3" width="47.36328125" style="1" customWidth="1"/>
    <col min="4" max="4" width="20.08984375" style="1" customWidth="1"/>
    <col min="5" max="5" width="66.36328125" style="1" customWidth="1"/>
    <col min="6" max="6" width="16.36328125" style="1" customWidth="1"/>
    <col min="7" max="7" width="15.08984375" style="1" customWidth="1"/>
    <col min="8" max="8" width="11.453125" style="1"/>
    <col min="9" max="9" width="16.81640625" style="1" customWidth="1"/>
    <col min="10" max="10" width="17.6328125" style="1" customWidth="1"/>
    <col min="11" max="11" width="36.08984375" style="1" customWidth="1"/>
    <col min="12" max="12" width="18.453125" style="1" customWidth="1"/>
    <col min="13" max="14" width="11.453125" style="1"/>
    <col min="15" max="15" width="38.36328125" style="1" customWidth="1"/>
    <col min="16" max="16" width="22.08984375" style="1" customWidth="1"/>
    <col min="17" max="16384" width="11.453125" style="1"/>
  </cols>
  <sheetData>
    <row r="1" spans="2:18" ht="15" thickBot="1"/>
    <row r="2" spans="2:18" ht="15" thickBot="1">
      <c r="B2" s="1835"/>
      <c r="C2" s="1836"/>
      <c r="D2" s="1841" t="s">
        <v>852</v>
      </c>
      <c r="E2" s="1842"/>
      <c r="F2" s="1842"/>
      <c r="G2" s="1842"/>
      <c r="H2" s="1842"/>
      <c r="I2" s="1842"/>
      <c r="J2" s="1842"/>
      <c r="K2" s="1842"/>
      <c r="L2" s="1843"/>
    </row>
    <row r="3" spans="2:18">
      <c r="B3" s="1837"/>
      <c r="C3" s="1838"/>
      <c r="D3" s="1844" t="s">
        <v>853</v>
      </c>
      <c r="E3" s="1846" t="str">
        <f>+[1]PRESUPUESTO!$A$2</f>
        <v>OBJETO: MEJORAMIENTO Y ADECUACIÓN DE LAS VIAS URBANAS DEL MUNICIPIO DE SANTA FE DE ANTIOQUIA</v>
      </c>
      <c r="F3" s="1847"/>
      <c r="G3" s="1847"/>
      <c r="H3" s="1848"/>
      <c r="I3" s="1844" t="s">
        <v>854</v>
      </c>
      <c r="J3" s="1852"/>
      <c r="K3" s="1852"/>
      <c r="L3" s="1852"/>
    </row>
    <row r="4" spans="2:18" ht="15" thickBot="1">
      <c r="B4" s="1837"/>
      <c r="C4" s="1838"/>
      <c r="D4" s="1845"/>
      <c r="E4" s="1849"/>
      <c r="F4" s="1850"/>
      <c r="G4" s="1850"/>
      <c r="H4" s="1851"/>
      <c r="I4" s="1845"/>
      <c r="J4" s="1853"/>
      <c r="K4" s="1853"/>
      <c r="L4" s="1854"/>
    </row>
    <row r="5" spans="2:18" ht="14.5" customHeight="1">
      <c r="B5" s="1837"/>
      <c r="C5" s="1838"/>
      <c r="D5" s="1855" t="str">
        <f>+[1]PRESUPUESTO!$A$2</f>
        <v>OBJETO: MEJORAMIENTO Y ADECUACIÓN DE LAS VIAS URBANAS DEL MUNICIPIO DE SANTA FE DE ANTIOQUIA</v>
      </c>
      <c r="E5" s="1856"/>
      <c r="F5" s="1856"/>
      <c r="G5" s="1856"/>
      <c r="H5" s="1856"/>
      <c r="I5" s="1856"/>
      <c r="J5" s="1856"/>
      <c r="K5" s="1856"/>
      <c r="L5" s="1857"/>
    </row>
    <row r="6" spans="2:18">
      <c r="B6" s="1837"/>
      <c r="C6" s="1838"/>
      <c r="D6" s="1858"/>
      <c r="E6" s="1859"/>
      <c r="F6" s="1859"/>
      <c r="G6" s="1859"/>
      <c r="H6" s="1859"/>
      <c r="I6" s="1859"/>
      <c r="J6" s="1859"/>
      <c r="K6" s="1859"/>
      <c r="L6" s="1860"/>
    </row>
    <row r="7" spans="2:18">
      <c r="B7" s="1837"/>
      <c r="C7" s="1838"/>
      <c r="D7" s="1858"/>
      <c r="E7" s="1859"/>
      <c r="F7" s="1859"/>
      <c r="G7" s="1859"/>
      <c r="H7" s="1859"/>
      <c r="I7" s="1859"/>
      <c r="J7" s="1859"/>
      <c r="K7" s="1859"/>
      <c r="L7" s="1860"/>
    </row>
    <row r="8" spans="2:18" ht="15" thickBot="1">
      <c r="B8" s="1839"/>
      <c r="C8" s="1840"/>
      <c r="D8" s="1861"/>
      <c r="E8" s="1862"/>
      <c r="F8" s="1862"/>
      <c r="G8" s="1862"/>
      <c r="H8" s="1862"/>
      <c r="I8" s="1862"/>
      <c r="J8" s="1862"/>
      <c r="K8" s="1862"/>
      <c r="L8" s="1863"/>
      <c r="O8" s="1" t="s">
        <v>1760</v>
      </c>
      <c r="P8" s="1" t="s">
        <v>1761</v>
      </c>
      <c r="Q8" s="1" t="s">
        <v>987</v>
      </c>
      <c r="R8" s="1" t="s">
        <v>1765</v>
      </c>
    </row>
    <row r="9" spans="2:18" ht="92.5" customHeight="1" thickBot="1">
      <c r="B9" s="327" t="s">
        <v>1</v>
      </c>
      <c r="C9" s="366">
        <f>+[1]PRESUPUESTO!A6</f>
        <v>1.1000000000000001</v>
      </c>
      <c r="D9" s="327" t="s">
        <v>228</v>
      </c>
      <c r="E9" s="430" t="str">
        <f>+VLOOKUP(C9,[1]PRESUPUESTO!$A$5:$C$30,2,)</f>
        <v>Localización, trazado y replanteo del proyecto. Se utilizará equipo de precisión, personal experto. Se hará con la frecuencia que lo indique la interventoria. incluye demarcación con pintura, línea de trazado, corte de piso, libretas, planos.</v>
      </c>
      <c r="F9" s="326" t="s">
        <v>193</v>
      </c>
      <c r="G9" s="1814" t="str">
        <f>+VLOOKUP(C9,[1]PRESUPUESTO!$A$5:$C$30,3,)</f>
        <v>día</v>
      </c>
      <c r="H9" s="1815" t="e">
        <f>+VLOOKUP(F9,[1]PRESUPUESTO!$A$5:$C$30,2,)</f>
        <v>#N/A</v>
      </c>
      <c r="I9" s="1685" t="s">
        <v>855</v>
      </c>
      <c r="J9" s="1816"/>
      <c r="K9" s="1816"/>
      <c r="L9" s="368">
        <f>SUM(L12:L28)</f>
        <v>6</v>
      </c>
      <c r="N9" s="1" t="s">
        <v>1762</v>
      </c>
      <c r="O9" s="1393">
        <v>84.7</v>
      </c>
      <c r="P9" s="1">
        <v>6</v>
      </c>
      <c r="Q9" s="1">
        <f>O9*P9</f>
        <v>508.20000000000005</v>
      </c>
    </row>
    <row r="10" spans="2:18" ht="15" thickBot="1">
      <c r="B10" s="1817"/>
      <c r="C10" s="1818"/>
      <c r="D10" s="1819"/>
      <c r="E10" s="1825" t="s">
        <v>856</v>
      </c>
      <c r="F10" s="1827" t="s">
        <v>857</v>
      </c>
      <c r="G10" s="1828"/>
      <c r="H10" s="1828"/>
      <c r="I10" s="1828"/>
      <c r="J10" s="1829"/>
      <c r="K10" s="1830" t="s">
        <v>858</v>
      </c>
      <c r="L10" s="1832" t="s">
        <v>859</v>
      </c>
      <c r="N10" s="1" t="s">
        <v>1741</v>
      </c>
      <c r="P10" s="1">
        <v>0.5</v>
      </c>
      <c r="Q10" s="1">
        <f>O10*P10</f>
        <v>0</v>
      </c>
    </row>
    <row r="11" spans="2:18" ht="33" customHeight="1" thickBot="1">
      <c r="B11" s="1820"/>
      <c r="C11" s="1821"/>
      <c r="D11" s="1822"/>
      <c r="E11" s="1826"/>
      <c r="F11" s="367" t="s">
        <v>860</v>
      </c>
      <c r="G11" s="367" t="s">
        <v>861</v>
      </c>
      <c r="H11" s="367" t="s">
        <v>862</v>
      </c>
      <c r="I11" s="367" t="s">
        <v>863</v>
      </c>
      <c r="J11" s="367" t="s">
        <v>864</v>
      </c>
      <c r="K11" s="1831"/>
      <c r="L11" s="1833"/>
      <c r="N11" s="1" t="s">
        <v>1763</v>
      </c>
      <c r="O11" s="1405">
        <f>+O9*2</f>
        <v>169.4</v>
      </c>
      <c r="Q11" s="1">
        <f>O11*P11</f>
        <v>0</v>
      </c>
      <c r="R11" s="1405">
        <f>+O11</f>
        <v>169.4</v>
      </c>
    </row>
    <row r="12" spans="2:18">
      <c r="B12" s="1820"/>
      <c r="C12" s="1821"/>
      <c r="D12" s="1821"/>
      <c r="E12" s="106"/>
      <c r="F12" s="1834"/>
      <c r="G12" s="1834"/>
      <c r="H12" s="1834"/>
      <c r="I12" s="1834"/>
      <c r="J12" s="1834"/>
      <c r="K12" s="1834"/>
      <c r="L12" s="107"/>
      <c r="N12" s="1" t="s">
        <v>1764</v>
      </c>
      <c r="O12" s="1393">
        <f>+O9</f>
        <v>84.7</v>
      </c>
      <c r="P12" s="1">
        <v>1.4</v>
      </c>
      <c r="Q12" s="1">
        <f>O12*P12</f>
        <v>118.58</v>
      </c>
    </row>
    <row r="13" spans="2:18" ht="43.5">
      <c r="B13" s="1820"/>
      <c r="C13" s="1821"/>
      <c r="D13" s="1821"/>
      <c r="E13" s="1348" t="str">
        <f>+E9</f>
        <v>Localización, trazado y replanteo del proyecto. Se utilizará equipo de precisión, personal experto. Se hará con la frecuencia que lo indique la interventoria. incluye demarcación con pintura, línea de trazado, corte de piso, libretas, planos.</v>
      </c>
      <c r="F13" s="109"/>
      <c r="G13" s="109"/>
      <c r="H13" s="110"/>
      <c r="I13" s="110"/>
      <c r="J13" s="110"/>
      <c r="K13" s="109">
        <v>6</v>
      </c>
      <c r="L13" s="111">
        <f>+K13</f>
        <v>6</v>
      </c>
      <c r="O13" s="5"/>
    </row>
    <row r="14" spans="2:18">
      <c r="B14" s="1820"/>
      <c r="C14" s="1821"/>
      <c r="D14" s="1821"/>
      <c r="E14" s="108"/>
      <c r="F14" s="112"/>
      <c r="G14" s="112"/>
      <c r="H14" s="112"/>
      <c r="I14" s="113"/>
      <c r="J14" s="114"/>
      <c r="K14" s="115"/>
      <c r="L14" s="116"/>
    </row>
    <row r="15" spans="2:18">
      <c r="B15" s="1820"/>
      <c r="C15" s="1821"/>
      <c r="D15" s="1821"/>
      <c r="E15" s="108"/>
      <c r="F15" s="112"/>
      <c r="G15" s="112"/>
      <c r="H15" s="112"/>
      <c r="I15" s="113"/>
      <c r="J15" s="114"/>
      <c r="K15" s="115"/>
      <c r="L15" s="116"/>
    </row>
    <row r="16" spans="2:18">
      <c r="B16" s="1820"/>
      <c r="C16" s="1821"/>
      <c r="D16" s="1821"/>
      <c r="E16" s="108"/>
      <c r="F16" s="112"/>
      <c r="G16" s="112"/>
      <c r="H16" s="112"/>
      <c r="I16" s="113"/>
      <c r="J16" s="114"/>
      <c r="K16" s="115"/>
      <c r="L16" s="116"/>
    </row>
    <row r="17" spans="2:16">
      <c r="B17" s="1820"/>
      <c r="C17" s="1821"/>
      <c r="D17" s="1821"/>
      <c r="E17" s="108"/>
      <c r="F17" s="112"/>
      <c r="G17" s="112"/>
      <c r="H17" s="112"/>
      <c r="I17" s="113"/>
      <c r="J17" s="114"/>
      <c r="K17" s="115"/>
      <c r="L17" s="116"/>
      <c r="O17" s="63"/>
    </row>
    <row r="18" spans="2:16">
      <c r="B18" s="1820"/>
      <c r="C18" s="1821"/>
      <c r="D18" s="1821"/>
      <c r="E18" s="108"/>
      <c r="F18" s="112"/>
      <c r="G18" s="112"/>
      <c r="H18" s="112"/>
      <c r="I18" s="113"/>
      <c r="J18" s="114"/>
      <c r="K18" s="115"/>
      <c r="L18" s="116"/>
      <c r="O18" s="63"/>
    </row>
    <row r="19" spans="2:16" ht="14.5" customHeight="1">
      <c r="B19" s="1820"/>
      <c r="C19" s="1821"/>
      <c r="D19" s="1821"/>
      <c r="E19" s="108"/>
      <c r="F19" s="112"/>
      <c r="G19" s="112"/>
      <c r="H19" s="112"/>
      <c r="I19" s="113"/>
      <c r="J19" s="114"/>
      <c r="K19" s="115"/>
      <c r="L19" s="116"/>
      <c r="O19" s="5"/>
    </row>
    <row r="20" spans="2:16">
      <c r="B20" s="1820"/>
      <c r="C20" s="1821"/>
      <c r="D20" s="1821"/>
      <c r="E20" s="108"/>
      <c r="F20" s="112"/>
      <c r="G20" s="112"/>
      <c r="H20" s="112"/>
      <c r="I20" s="113"/>
      <c r="J20" s="114"/>
      <c r="K20" s="115"/>
      <c r="L20" s="116"/>
    </row>
    <row r="21" spans="2:16">
      <c r="B21" s="1820"/>
      <c r="C21" s="1821"/>
      <c r="D21" s="1821"/>
      <c r="E21" s="117"/>
      <c r="F21" s="112"/>
      <c r="G21" s="112"/>
      <c r="H21" s="112"/>
      <c r="I21" s="113"/>
      <c r="J21" s="114"/>
      <c r="K21" s="112"/>
      <c r="L21" s="116"/>
      <c r="P21" s="5">
        <f>PRESUPUESTO!F19</f>
        <v>224666984</v>
      </c>
    </row>
    <row r="22" spans="2:16">
      <c r="B22" s="1820"/>
      <c r="C22" s="1821"/>
      <c r="D22" s="1821"/>
      <c r="E22" s="108"/>
      <c r="F22" s="115"/>
      <c r="G22" s="115"/>
      <c r="H22" s="115"/>
      <c r="I22" s="115"/>
      <c r="J22" s="118"/>
      <c r="K22" s="115"/>
      <c r="L22" s="116"/>
      <c r="O22" s="63"/>
    </row>
    <row r="23" spans="2:16">
      <c r="B23" s="1820"/>
      <c r="C23" s="1821"/>
      <c r="D23" s="1821"/>
      <c r="E23" s="117"/>
      <c r="F23" s="112"/>
      <c r="G23" s="112"/>
      <c r="H23" s="112"/>
      <c r="I23" s="112"/>
      <c r="J23" s="114"/>
      <c r="K23" s="112"/>
      <c r="L23" s="116"/>
      <c r="O23" s="5"/>
    </row>
    <row r="24" spans="2:16">
      <c r="B24" s="1820"/>
      <c r="C24" s="1821"/>
      <c r="D24" s="1821"/>
      <c r="E24" s="117"/>
      <c r="F24" s="112"/>
      <c r="G24" s="112"/>
      <c r="H24" s="112"/>
      <c r="I24" s="112"/>
      <c r="J24" s="114"/>
      <c r="K24" s="112"/>
      <c r="L24" s="116"/>
    </row>
    <row r="25" spans="2:16">
      <c r="B25" s="1820"/>
      <c r="C25" s="1821"/>
      <c r="D25" s="1821"/>
      <c r="E25" s="117"/>
      <c r="F25" s="112"/>
      <c r="G25" s="112"/>
      <c r="H25" s="112"/>
      <c r="I25" s="112"/>
      <c r="J25" s="114"/>
      <c r="K25" s="112"/>
      <c r="L25" s="119"/>
    </row>
    <row r="26" spans="2:16">
      <c r="B26" s="1820"/>
      <c r="C26" s="1821"/>
      <c r="D26" s="1821"/>
      <c r="E26" s="108"/>
      <c r="F26" s="115"/>
      <c r="G26" s="115"/>
      <c r="H26" s="115"/>
      <c r="I26" s="115"/>
      <c r="J26" s="120"/>
      <c r="K26" s="115"/>
      <c r="L26" s="119"/>
    </row>
    <row r="27" spans="2:16">
      <c r="B27" s="1820"/>
      <c r="C27" s="1821"/>
      <c r="D27" s="1821"/>
      <c r="E27" s="108"/>
      <c r="F27" s="115"/>
      <c r="G27" s="115"/>
      <c r="H27" s="115"/>
      <c r="I27" s="115"/>
      <c r="J27" s="115"/>
      <c r="K27" s="115"/>
      <c r="L27" s="119"/>
      <c r="O27" s="1392"/>
    </row>
    <row r="28" spans="2:16" ht="15" thickBot="1">
      <c r="B28" s="1823"/>
      <c r="C28" s="1824"/>
      <c r="D28" s="1824"/>
      <c r="E28" s="121"/>
      <c r="F28" s="122"/>
      <c r="G28" s="122"/>
      <c r="H28" s="122"/>
      <c r="I28" s="122"/>
      <c r="J28" s="123"/>
      <c r="K28" s="122"/>
      <c r="L28" s="124"/>
    </row>
    <row r="29" spans="2:16">
      <c r="B29" s="65"/>
      <c r="C29" s="65"/>
      <c r="D29" s="65"/>
      <c r="E29" s="274"/>
      <c r="F29" s="275"/>
      <c r="G29" s="275"/>
      <c r="H29" s="275"/>
      <c r="I29" s="275"/>
      <c r="J29" s="276"/>
      <c r="K29" s="275"/>
      <c r="L29" s="277"/>
    </row>
    <row r="30" spans="2:16" ht="15" thickBot="1">
      <c r="B30" s="1823"/>
      <c r="C30" s="1824"/>
      <c r="D30" s="1824"/>
      <c r="E30" s="121"/>
      <c r="F30" s="122"/>
      <c r="G30" s="122"/>
      <c r="H30" s="122"/>
      <c r="I30" s="122"/>
      <c r="J30" s="123"/>
      <c r="K30" s="122"/>
      <c r="L30" s="124"/>
    </row>
    <row r="31" spans="2:16" ht="15" thickBot="1">
      <c r="B31" s="65"/>
      <c r="C31" s="65"/>
      <c r="D31" s="65"/>
      <c r="E31" s="274"/>
      <c r="F31" s="275"/>
      <c r="G31" s="275"/>
      <c r="H31" s="275"/>
      <c r="I31" s="275"/>
      <c r="J31" s="276"/>
      <c r="K31" s="275"/>
      <c r="L31" s="277"/>
    </row>
    <row r="32" spans="2:16" ht="15" thickBot="1">
      <c r="B32" s="1835"/>
      <c r="C32" s="1836"/>
      <c r="D32" s="1841" t="s">
        <v>852</v>
      </c>
      <c r="E32" s="1842"/>
      <c r="F32" s="1842"/>
      <c r="G32" s="1842"/>
      <c r="H32" s="1842"/>
      <c r="I32" s="1842"/>
      <c r="J32" s="1842"/>
      <c r="K32" s="1842"/>
      <c r="L32" s="1843"/>
    </row>
    <row r="33" spans="2:12" ht="15" customHeight="1">
      <c r="B33" s="1837"/>
      <c r="C33" s="1838"/>
      <c r="D33" s="1844" t="s">
        <v>853</v>
      </c>
      <c r="E33" s="1846" t="str">
        <f>+[1]PRESUPUESTO!$A$2</f>
        <v>OBJETO: MEJORAMIENTO Y ADECUACIÓN DE LAS VIAS URBANAS DEL MUNICIPIO DE SANTA FE DE ANTIOQUIA</v>
      </c>
      <c r="F33" s="1847"/>
      <c r="G33" s="1847"/>
      <c r="H33" s="1848"/>
      <c r="I33" s="1844" t="s">
        <v>854</v>
      </c>
      <c r="J33" s="1852"/>
      <c r="K33" s="1852"/>
      <c r="L33" s="1852"/>
    </row>
    <row r="34" spans="2:12" ht="15" thickBot="1">
      <c r="B34" s="1837"/>
      <c r="C34" s="1838"/>
      <c r="D34" s="1845"/>
      <c r="E34" s="1849"/>
      <c r="F34" s="1850"/>
      <c r="G34" s="1850"/>
      <c r="H34" s="1851"/>
      <c r="I34" s="1845"/>
      <c r="J34" s="1853"/>
      <c r="K34" s="1853"/>
      <c r="L34" s="1854"/>
    </row>
    <row r="35" spans="2:12" ht="15" customHeight="1">
      <c r="B35" s="1837"/>
      <c r="C35" s="1838"/>
      <c r="D35" s="1855" t="str">
        <f>+[1]PRESUPUESTO!$A$2</f>
        <v>OBJETO: MEJORAMIENTO Y ADECUACIÓN DE LAS VIAS URBANAS DEL MUNICIPIO DE SANTA FE DE ANTIOQUIA</v>
      </c>
      <c r="E35" s="1856"/>
      <c r="F35" s="1856"/>
      <c r="G35" s="1856"/>
      <c r="H35" s="1856"/>
      <c r="I35" s="1856"/>
      <c r="J35" s="1856"/>
      <c r="K35" s="1856"/>
      <c r="L35" s="1857"/>
    </row>
    <row r="36" spans="2:12">
      <c r="B36" s="1837"/>
      <c r="C36" s="1838"/>
      <c r="D36" s="1858"/>
      <c r="E36" s="1859"/>
      <c r="F36" s="1859"/>
      <c r="G36" s="1859"/>
      <c r="H36" s="1859"/>
      <c r="I36" s="1859"/>
      <c r="J36" s="1859"/>
      <c r="K36" s="1859"/>
      <c r="L36" s="1860"/>
    </row>
    <row r="37" spans="2:12">
      <c r="B37" s="1837"/>
      <c r="C37" s="1838"/>
      <c r="D37" s="1858"/>
      <c r="E37" s="1859"/>
      <c r="F37" s="1859"/>
      <c r="G37" s="1859"/>
      <c r="H37" s="1859"/>
      <c r="I37" s="1859"/>
      <c r="J37" s="1859"/>
      <c r="K37" s="1859"/>
      <c r="L37" s="1860"/>
    </row>
    <row r="38" spans="2:12" ht="15" thickBot="1">
      <c r="B38" s="1839"/>
      <c r="C38" s="1840"/>
      <c r="D38" s="1861"/>
      <c r="E38" s="1862"/>
      <c r="F38" s="1862"/>
      <c r="G38" s="1862"/>
      <c r="H38" s="1862"/>
      <c r="I38" s="1862"/>
      <c r="J38" s="1862"/>
      <c r="K38" s="1862"/>
      <c r="L38" s="1863"/>
    </row>
    <row r="39" spans="2:12" ht="42" customHeight="1" thickBot="1">
      <c r="B39" s="327" t="s">
        <v>1</v>
      </c>
      <c r="C39" s="366">
        <v>2.1</v>
      </c>
      <c r="D39" s="327" t="s">
        <v>228</v>
      </c>
      <c r="E39" s="430" t="str">
        <f>+VLOOKUP(C39,[1]PRESUPUESTO!$A$5:$C$30,2,)</f>
        <v>Excavación mecanica en material heterogéneo, bajo cualquier grado de humedad, medido in situ, no incluye botada.</v>
      </c>
      <c r="F39" s="326" t="s">
        <v>193</v>
      </c>
      <c r="G39" s="1814" t="str">
        <f>+VLOOKUP(C39,[1]PRESUPUESTO!$A$5:$C$30,3,)</f>
        <v>m³</v>
      </c>
      <c r="H39" s="1815" t="e">
        <f>+VLOOKUP(F39,[1]PRESUPUESTO!$A$5:$C$30,2,)</f>
        <v>#N/A</v>
      </c>
      <c r="I39" s="1685" t="s">
        <v>855</v>
      </c>
      <c r="J39" s="1816"/>
      <c r="K39" s="1816"/>
      <c r="L39" s="1028">
        <f>SUM(L42:L58)</f>
        <v>129.59100000000001</v>
      </c>
    </row>
    <row r="40" spans="2:12" ht="15" thickBot="1">
      <c r="B40" s="1817"/>
      <c r="C40" s="1818"/>
      <c r="D40" s="1819"/>
      <c r="E40" s="1825" t="s">
        <v>856</v>
      </c>
      <c r="F40" s="1827" t="s">
        <v>857</v>
      </c>
      <c r="G40" s="1828"/>
      <c r="H40" s="1828"/>
      <c r="I40" s="1828"/>
      <c r="J40" s="1829"/>
      <c r="K40" s="1830" t="s">
        <v>858</v>
      </c>
      <c r="L40" s="1832" t="s">
        <v>859</v>
      </c>
    </row>
    <row r="41" spans="2:12" ht="15" thickBot="1">
      <c r="B41" s="1820"/>
      <c r="C41" s="1821"/>
      <c r="D41" s="1822"/>
      <c r="E41" s="1826"/>
      <c r="F41" s="367" t="s">
        <v>865</v>
      </c>
      <c r="G41" s="367" t="s">
        <v>861</v>
      </c>
      <c r="H41" s="367" t="s">
        <v>862</v>
      </c>
      <c r="I41" s="367" t="s">
        <v>863</v>
      </c>
      <c r="J41" s="367" t="s">
        <v>864</v>
      </c>
      <c r="K41" s="1831"/>
      <c r="L41" s="1833"/>
    </row>
    <row r="42" spans="2:12">
      <c r="B42" s="1820"/>
      <c r="C42" s="1821"/>
      <c r="D42" s="1821"/>
      <c r="E42" s="106" t="s">
        <v>866</v>
      </c>
      <c r="F42" s="1834"/>
      <c r="G42" s="1834"/>
      <c r="H42" s="1834"/>
      <c r="I42" s="1834"/>
      <c r="J42" s="1834"/>
      <c r="K42" s="1834"/>
      <c r="L42" s="107"/>
    </row>
    <row r="43" spans="2:12">
      <c r="B43" s="1820"/>
      <c r="C43" s="1821"/>
      <c r="D43" s="1821"/>
      <c r="E43" s="108" t="s">
        <v>1757</v>
      </c>
      <c r="F43" s="109">
        <f>+O9*P9</f>
        <v>508.20000000000005</v>
      </c>
      <c r="G43" s="109"/>
      <c r="H43" s="1029">
        <v>0.2</v>
      </c>
      <c r="I43" s="1029"/>
      <c r="J43" s="1029">
        <f>F43*H43</f>
        <v>101.64000000000001</v>
      </c>
      <c r="K43" s="109">
        <v>1</v>
      </c>
      <c r="L43" s="1030">
        <f>J43*K43</f>
        <v>101.64000000000001</v>
      </c>
    </row>
    <row r="44" spans="2:12">
      <c r="B44" s="1820"/>
      <c r="C44" s="1821"/>
      <c r="D44" s="1821"/>
      <c r="E44" s="108" t="s">
        <v>868</v>
      </c>
      <c r="F44" s="109">
        <v>1.2</v>
      </c>
      <c r="G44" s="109">
        <v>0.8</v>
      </c>
      <c r="H44" s="109">
        <v>0.9</v>
      </c>
      <c r="I44" s="109"/>
      <c r="J44" s="109">
        <f>F44*G44*H44</f>
        <v>0.86399999999999999</v>
      </c>
      <c r="K44" s="109">
        <v>0</v>
      </c>
      <c r="L44" s="1030">
        <f t="shared" ref="L44:L56" si="0">J44*K44</f>
        <v>0</v>
      </c>
    </row>
    <row r="45" spans="2:12">
      <c r="B45" s="1820"/>
      <c r="C45" s="1821"/>
      <c r="D45" s="1821"/>
      <c r="E45" s="108" t="s">
        <v>1739</v>
      </c>
      <c r="F45" s="113">
        <f>+O12</f>
        <v>84.7</v>
      </c>
      <c r="G45" s="113">
        <v>1.4</v>
      </c>
      <c r="H45" s="113">
        <v>0.15</v>
      </c>
      <c r="I45" s="113"/>
      <c r="J45" s="109">
        <f>F45*G45*H45</f>
        <v>17.786999999999999</v>
      </c>
      <c r="K45" s="109">
        <v>1</v>
      </c>
      <c r="L45" s="1030">
        <f t="shared" si="0"/>
        <v>17.786999999999999</v>
      </c>
    </row>
    <row r="46" spans="2:12">
      <c r="B46" s="1820"/>
      <c r="C46" s="1821"/>
      <c r="D46" s="1821"/>
      <c r="E46" s="108" t="s">
        <v>1741</v>
      </c>
      <c r="F46" s="113">
        <f>+O10</f>
        <v>0</v>
      </c>
      <c r="G46" s="113">
        <v>0.5</v>
      </c>
      <c r="H46" s="113">
        <v>0.2</v>
      </c>
      <c r="I46" s="113"/>
      <c r="J46" s="109">
        <f>F46*G46*H46</f>
        <v>0</v>
      </c>
      <c r="K46" s="109">
        <v>1</v>
      </c>
      <c r="L46" s="1030">
        <f t="shared" si="0"/>
        <v>0</v>
      </c>
    </row>
    <row r="47" spans="2:12">
      <c r="B47" s="1820"/>
      <c r="C47" s="1821"/>
      <c r="D47" s="1821"/>
      <c r="E47" s="108" t="s">
        <v>1763</v>
      </c>
      <c r="F47" s="113">
        <f>+O11</f>
        <v>169.4</v>
      </c>
      <c r="G47" s="113">
        <v>0.3</v>
      </c>
      <c r="H47" s="113">
        <v>0.2</v>
      </c>
      <c r="I47" s="113"/>
      <c r="J47" s="109">
        <f>F47*G47*H47</f>
        <v>10.164000000000001</v>
      </c>
      <c r="K47" s="109">
        <v>1</v>
      </c>
      <c r="L47" s="1030">
        <f t="shared" si="0"/>
        <v>10.164000000000001</v>
      </c>
    </row>
    <row r="48" spans="2:12">
      <c r="B48" s="1820"/>
      <c r="C48" s="1821"/>
      <c r="D48" s="1821"/>
      <c r="E48" s="108"/>
      <c r="F48" s="113"/>
      <c r="G48" s="113"/>
      <c r="H48" s="113"/>
      <c r="I48" s="113"/>
      <c r="J48" s="1029"/>
      <c r="K48" s="109"/>
      <c r="L48" s="1030">
        <f t="shared" si="0"/>
        <v>0</v>
      </c>
    </row>
    <row r="49" spans="2:12">
      <c r="B49" s="1820"/>
      <c r="C49" s="1821"/>
      <c r="D49" s="1821"/>
      <c r="E49" s="108"/>
      <c r="F49" s="113"/>
      <c r="G49" s="113"/>
      <c r="H49" s="113"/>
      <c r="I49" s="113"/>
      <c r="J49" s="1029"/>
      <c r="K49" s="109"/>
      <c r="L49" s="1030">
        <f t="shared" si="0"/>
        <v>0</v>
      </c>
    </row>
    <row r="50" spans="2:12">
      <c r="B50" s="1820"/>
      <c r="C50" s="1821"/>
      <c r="D50" s="1821"/>
      <c r="E50" s="108"/>
      <c r="F50" s="113"/>
      <c r="G50" s="113"/>
      <c r="H50" s="113"/>
      <c r="I50" s="113"/>
      <c r="J50" s="1029"/>
      <c r="K50" s="109"/>
      <c r="L50" s="1030">
        <f t="shared" si="0"/>
        <v>0</v>
      </c>
    </row>
    <row r="51" spans="2:12">
      <c r="B51" s="1820"/>
      <c r="C51" s="1821"/>
      <c r="D51" s="1821"/>
      <c r="E51" s="117"/>
      <c r="F51" s="113"/>
      <c r="G51" s="113"/>
      <c r="H51" s="113"/>
      <c r="I51" s="113"/>
      <c r="J51" s="1029"/>
      <c r="K51" s="109"/>
      <c r="L51" s="1030">
        <f t="shared" si="0"/>
        <v>0</v>
      </c>
    </row>
    <row r="52" spans="2:12">
      <c r="B52" s="1820"/>
      <c r="C52" s="1821"/>
      <c r="D52" s="1821"/>
      <c r="E52" s="108"/>
      <c r="F52" s="109"/>
      <c r="G52" s="109"/>
      <c r="H52" s="113"/>
      <c r="I52" s="109"/>
      <c r="J52" s="1029"/>
      <c r="K52" s="109"/>
      <c r="L52" s="1030">
        <f t="shared" si="0"/>
        <v>0</v>
      </c>
    </row>
    <row r="53" spans="2:12">
      <c r="B53" s="1820"/>
      <c r="C53" s="1821"/>
      <c r="D53" s="1821"/>
      <c r="E53" s="117"/>
      <c r="F53" s="113"/>
      <c r="G53" s="113"/>
      <c r="H53" s="113"/>
      <c r="I53" s="113"/>
      <c r="J53" s="1029"/>
      <c r="K53" s="109"/>
      <c r="L53" s="1030">
        <f t="shared" si="0"/>
        <v>0</v>
      </c>
    </row>
    <row r="54" spans="2:12">
      <c r="B54" s="1820"/>
      <c r="C54" s="1821"/>
      <c r="D54" s="1821"/>
      <c r="E54" s="117"/>
      <c r="F54" s="113"/>
      <c r="G54" s="113"/>
      <c r="H54" s="113"/>
      <c r="I54" s="113"/>
      <c r="J54" s="1029"/>
      <c r="K54" s="109"/>
      <c r="L54" s="1030">
        <f t="shared" si="0"/>
        <v>0</v>
      </c>
    </row>
    <row r="55" spans="2:12">
      <c r="B55" s="1820"/>
      <c r="C55" s="1821"/>
      <c r="D55" s="1821"/>
      <c r="E55" s="117"/>
      <c r="F55" s="113"/>
      <c r="G55" s="113"/>
      <c r="H55" s="113"/>
      <c r="I55" s="113"/>
      <c r="J55" s="1029"/>
      <c r="K55" s="109"/>
      <c r="L55" s="1030">
        <f t="shared" si="0"/>
        <v>0</v>
      </c>
    </row>
    <row r="56" spans="2:12">
      <c r="B56" s="1820"/>
      <c r="C56" s="1821"/>
      <c r="D56" s="1821"/>
      <c r="E56" s="108"/>
      <c r="F56" s="109"/>
      <c r="G56" s="109"/>
      <c r="H56" s="109"/>
      <c r="I56" s="109"/>
      <c r="J56" s="109"/>
      <c r="K56" s="109"/>
      <c r="L56" s="1030">
        <f t="shared" si="0"/>
        <v>0</v>
      </c>
    </row>
    <row r="57" spans="2:12">
      <c r="B57" s="1820"/>
      <c r="C57" s="1821"/>
      <c r="D57" s="1821"/>
      <c r="E57" s="108"/>
      <c r="F57" s="109"/>
      <c r="G57" s="109"/>
      <c r="H57" s="109"/>
      <c r="I57" s="109"/>
      <c r="J57" s="109"/>
      <c r="K57" s="115"/>
      <c r="L57" s="119"/>
    </row>
    <row r="58" spans="2:12" ht="15" thickBot="1">
      <c r="B58" s="1823"/>
      <c r="C58" s="1824"/>
      <c r="D58" s="1824"/>
      <c r="E58" s="121"/>
      <c r="F58" s="1031"/>
      <c r="G58" s="1031"/>
      <c r="H58" s="1031"/>
      <c r="I58" s="1031"/>
      <c r="J58" s="1031"/>
      <c r="K58" s="122"/>
      <c r="L58" s="124"/>
    </row>
    <row r="59" spans="2:12" ht="15" thickBot="1"/>
    <row r="60" spans="2:12" ht="15" thickBot="1">
      <c r="B60" s="1835"/>
      <c r="C60" s="1836"/>
      <c r="D60" s="1841" t="s">
        <v>852</v>
      </c>
      <c r="E60" s="1842"/>
      <c r="F60" s="1842"/>
      <c r="G60" s="1842"/>
      <c r="H60" s="1842"/>
      <c r="I60" s="1842"/>
      <c r="J60" s="1842"/>
      <c r="K60" s="1842"/>
      <c r="L60" s="1843"/>
    </row>
    <row r="61" spans="2:12">
      <c r="B61" s="1837"/>
      <c r="C61" s="1838"/>
      <c r="D61" s="1844" t="s">
        <v>853</v>
      </c>
      <c r="E61" s="1846" t="str">
        <f>+[1]PRESUPUESTO!$A$2</f>
        <v>OBJETO: MEJORAMIENTO Y ADECUACIÓN DE LAS VIAS URBANAS DEL MUNICIPIO DE SANTA FE DE ANTIOQUIA</v>
      </c>
      <c r="F61" s="1847"/>
      <c r="G61" s="1847"/>
      <c r="H61" s="1848"/>
      <c r="I61" s="1844" t="s">
        <v>854</v>
      </c>
      <c r="J61" s="1852"/>
      <c r="K61" s="1852"/>
      <c r="L61" s="1852"/>
    </row>
    <row r="62" spans="2:12" ht="15" thickBot="1">
      <c r="B62" s="1837"/>
      <c r="C62" s="1838"/>
      <c r="D62" s="1845"/>
      <c r="E62" s="1849"/>
      <c r="F62" s="1850"/>
      <c r="G62" s="1850"/>
      <c r="H62" s="1851"/>
      <c r="I62" s="1845"/>
      <c r="J62" s="1853"/>
      <c r="K62" s="1853"/>
      <c r="L62" s="1854"/>
    </row>
    <row r="63" spans="2:12">
      <c r="B63" s="1837"/>
      <c r="C63" s="1838"/>
      <c r="D63" s="1855" t="str">
        <f>+[1]PRESUPUESTO!$A$2</f>
        <v>OBJETO: MEJORAMIENTO Y ADECUACIÓN DE LAS VIAS URBANAS DEL MUNICIPIO DE SANTA FE DE ANTIOQUIA</v>
      </c>
      <c r="E63" s="1856"/>
      <c r="F63" s="1856"/>
      <c r="G63" s="1856"/>
      <c r="H63" s="1856"/>
      <c r="I63" s="1856"/>
      <c r="J63" s="1856"/>
      <c r="K63" s="1856"/>
      <c r="L63" s="1857"/>
    </row>
    <row r="64" spans="2:12">
      <c r="B64" s="1837"/>
      <c r="C64" s="1838"/>
      <c r="D64" s="1858"/>
      <c r="E64" s="1859"/>
      <c r="F64" s="1859"/>
      <c r="G64" s="1859"/>
      <c r="H64" s="1859"/>
      <c r="I64" s="1859"/>
      <c r="J64" s="1859"/>
      <c r="K64" s="1859"/>
      <c r="L64" s="1860"/>
    </row>
    <row r="65" spans="2:12">
      <c r="B65" s="1837"/>
      <c r="C65" s="1838"/>
      <c r="D65" s="1858"/>
      <c r="E65" s="1859"/>
      <c r="F65" s="1859"/>
      <c r="G65" s="1859"/>
      <c r="H65" s="1859"/>
      <c r="I65" s="1859"/>
      <c r="J65" s="1859"/>
      <c r="K65" s="1859"/>
      <c r="L65" s="1860"/>
    </row>
    <row r="66" spans="2:12" ht="15" thickBot="1">
      <c r="B66" s="1839"/>
      <c r="C66" s="1840"/>
      <c r="D66" s="1861"/>
      <c r="E66" s="1862"/>
      <c r="F66" s="1862"/>
      <c r="G66" s="1862"/>
      <c r="H66" s="1862"/>
      <c r="I66" s="1862"/>
      <c r="J66" s="1862"/>
      <c r="K66" s="1862"/>
      <c r="L66" s="1863"/>
    </row>
    <row r="67" spans="2:12" ht="83.25" customHeight="1" thickBot="1">
      <c r="B67" s="327" t="s">
        <v>1</v>
      </c>
      <c r="C67" s="366">
        <v>2.2000000000000002</v>
      </c>
      <c r="D67" s="327" t="s">
        <v>228</v>
      </c>
      <c r="E67" s="430" t="str">
        <f>+VLOOKUP(C67,[1]PRESUPUESTO!$A$5:$C$30,2,)</f>
        <v>DEMOLICIÓN DE PAVIMENTO Y/O CONCRETO de cualquier resistencia con espesor hasta de 10 cm, manual o mecánicamente. Incluye  retiro de refuerzo e instalaciones embebidas, compresor neumático con martillo, además recuperación de los materiales aprovechables.</v>
      </c>
      <c r="F67" s="326" t="s">
        <v>193</v>
      </c>
      <c r="G67" s="1814" t="str">
        <f>+VLOOKUP(C67,[1]PRESUPUESTO!$A$5:$C$30,3,)</f>
        <v>m2</v>
      </c>
      <c r="H67" s="1815" t="e">
        <f>+VLOOKUP(F67,[1]PRESUPUESTO!$A$5:$C$30,2,)</f>
        <v>#N/A</v>
      </c>
      <c r="I67" s="1685" t="s">
        <v>855</v>
      </c>
      <c r="J67" s="1816"/>
      <c r="K67" s="1816"/>
      <c r="L67" s="368">
        <f>SUM(L70:L86)</f>
        <v>0</v>
      </c>
    </row>
    <row r="68" spans="2:12" ht="15" thickBot="1">
      <c r="B68" s="1817"/>
      <c r="C68" s="1818"/>
      <c r="D68" s="1819"/>
      <c r="E68" s="1825" t="s">
        <v>856</v>
      </c>
      <c r="F68" s="1827" t="s">
        <v>857</v>
      </c>
      <c r="G68" s="1828"/>
      <c r="H68" s="1828"/>
      <c r="I68" s="1828"/>
      <c r="J68" s="1829"/>
      <c r="K68" s="1830" t="s">
        <v>858</v>
      </c>
      <c r="L68" s="1832" t="s">
        <v>859</v>
      </c>
    </row>
    <row r="69" spans="2:12" ht="15" thickBot="1">
      <c r="B69" s="1820"/>
      <c r="C69" s="1821"/>
      <c r="D69" s="1822"/>
      <c r="E69" s="1826"/>
      <c r="F69" s="367" t="s">
        <v>860</v>
      </c>
      <c r="G69" s="367" t="s">
        <v>861</v>
      </c>
      <c r="H69" s="367" t="s">
        <v>862</v>
      </c>
      <c r="I69" s="367" t="s">
        <v>863</v>
      </c>
      <c r="J69" s="367" t="s">
        <v>864</v>
      </c>
      <c r="K69" s="1831"/>
      <c r="L69" s="1833"/>
    </row>
    <row r="70" spans="2:12">
      <c r="B70" s="1820"/>
      <c r="C70" s="1821"/>
      <c r="D70" s="1821"/>
      <c r="E70" s="106"/>
      <c r="F70" s="1834"/>
      <c r="G70" s="1834"/>
      <c r="H70" s="1834"/>
      <c r="I70" s="1834"/>
      <c r="J70" s="1834"/>
      <c r="K70" s="1834"/>
      <c r="L70" s="107"/>
    </row>
    <row r="71" spans="2:12">
      <c r="B71" s="1820"/>
      <c r="C71" s="1821"/>
      <c r="D71" s="1821"/>
      <c r="E71" s="108" t="s">
        <v>1757</v>
      </c>
      <c r="F71" s="113">
        <v>0</v>
      </c>
      <c r="G71" s="113">
        <v>6.6</v>
      </c>
      <c r="H71" s="113"/>
      <c r="I71" s="113"/>
      <c r="J71" s="113">
        <f t="shared" ref="J71" si="1">F71*G71</f>
        <v>0</v>
      </c>
      <c r="K71" s="109"/>
      <c r="L71" s="111">
        <f>J71</f>
        <v>0</v>
      </c>
    </row>
    <row r="72" spans="2:12">
      <c r="B72" s="1820"/>
      <c r="C72" s="1821"/>
      <c r="D72" s="1821"/>
      <c r="E72" s="108"/>
      <c r="F72" s="113"/>
      <c r="G72" s="113"/>
      <c r="H72" s="113"/>
      <c r="I72" s="113"/>
      <c r="J72" s="113"/>
      <c r="K72" s="115"/>
      <c r="L72" s="111">
        <f t="shared" ref="L72:L83" si="2">J72</f>
        <v>0</v>
      </c>
    </row>
    <row r="73" spans="2:12">
      <c r="B73" s="1820"/>
      <c r="C73" s="1821"/>
      <c r="D73" s="1821"/>
      <c r="E73" s="108"/>
      <c r="F73" s="113"/>
      <c r="G73" s="113"/>
      <c r="H73" s="113"/>
      <c r="I73" s="113"/>
      <c r="J73" s="113"/>
      <c r="K73" s="115"/>
      <c r="L73" s="111">
        <f t="shared" si="2"/>
        <v>0</v>
      </c>
    </row>
    <row r="74" spans="2:12">
      <c r="B74" s="1820"/>
      <c r="C74" s="1821"/>
      <c r="D74" s="1821"/>
      <c r="E74" s="108"/>
      <c r="F74" s="113"/>
      <c r="G74" s="113"/>
      <c r="H74" s="113"/>
      <c r="I74" s="113"/>
      <c r="J74" s="113"/>
      <c r="K74" s="115"/>
      <c r="L74" s="111">
        <f t="shared" si="2"/>
        <v>0</v>
      </c>
    </row>
    <row r="75" spans="2:12">
      <c r="B75" s="1820"/>
      <c r="C75" s="1821"/>
      <c r="D75" s="1821"/>
      <c r="E75" s="108"/>
      <c r="F75" s="113"/>
      <c r="G75" s="113"/>
      <c r="H75" s="113"/>
      <c r="I75" s="113"/>
      <c r="J75" s="113"/>
      <c r="K75" s="115"/>
      <c r="L75" s="111">
        <f t="shared" si="2"/>
        <v>0</v>
      </c>
    </row>
    <row r="76" spans="2:12">
      <c r="B76" s="1820"/>
      <c r="C76" s="1821"/>
      <c r="D76" s="1821"/>
      <c r="E76" s="108"/>
      <c r="F76" s="113"/>
      <c r="G76" s="113"/>
      <c r="H76" s="113"/>
      <c r="I76" s="113"/>
      <c r="J76" s="113"/>
      <c r="K76" s="115"/>
      <c r="L76" s="111">
        <f t="shared" si="2"/>
        <v>0</v>
      </c>
    </row>
    <row r="77" spans="2:12">
      <c r="B77" s="1820"/>
      <c r="C77" s="1821"/>
      <c r="D77" s="1821"/>
      <c r="E77" s="108"/>
      <c r="F77" s="113"/>
      <c r="G77" s="113"/>
      <c r="H77" s="113"/>
      <c r="I77" s="113"/>
      <c r="J77" s="113"/>
      <c r="K77" s="115"/>
      <c r="L77" s="111">
        <f t="shared" si="2"/>
        <v>0</v>
      </c>
    </row>
    <row r="78" spans="2:12">
      <c r="B78" s="1820"/>
      <c r="C78" s="1821"/>
      <c r="D78" s="1821"/>
      <c r="E78" s="108"/>
      <c r="F78" s="113"/>
      <c r="G78" s="113"/>
      <c r="H78" s="113"/>
      <c r="I78" s="113"/>
      <c r="J78" s="113"/>
      <c r="K78" s="115"/>
      <c r="L78" s="111">
        <f t="shared" si="2"/>
        <v>0</v>
      </c>
    </row>
    <row r="79" spans="2:12">
      <c r="B79" s="1820"/>
      <c r="C79" s="1821"/>
      <c r="D79" s="1821"/>
      <c r="E79" s="108"/>
      <c r="F79" s="113"/>
      <c r="G79" s="113"/>
      <c r="H79" s="113"/>
      <c r="I79" s="113"/>
      <c r="J79" s="113"/>
      <c r="K79" s="112"/>
      <c r="L79" s="111">
        <f t="shared" si="2"/>
        <v>0</v>
      </c>
    </row>
    <row r="80" spans="2:12">
      <c r="B80" s="1820"/>
      <c r="C80" s="1821"/>
      <c r="D80" s="1821"/>
      <c r="E80" s="108"/>
      <c r="F80" s="109"/>
      <c r="G80" s="113"/>
      <c r="H80" s="109"/>
      <c r="I80" s="109"/>
      <c r="J80" s="113"/>
      <c r="K80" s="115"/>
      <c r="L80" s="111">
        <f t="shared" si="2"/>
        <v>0</v>
      </c>
    </row>
    <row r="81" spans="2:12">
      <c r="B81" s="1820"/>
      <c r="C81" s="1821"/>
      <c r="D81" s="1821"/>
      <c r="E81" s="108"/>
      <c r="F81" s="113"/>
      <c r="G81" s="113"/>
      <c r="H81" s="113"/>
      <c r="I81" s="113"/>
      <c r="J81" s="113"/>
      <c r="K81" s="112"/>
      <c r="L81" s="111">
        <f t="shared" si="2"/>
        <v>0</v>
      </c>
    </row>
    <row r="82" spans="2:12">
      <c r="B82" s="1820"/>
      <c r="C82" s="1821"/>
      <c r="D82" s="1821"/>
      <c r="E82" s="108"/>
      <c r="F82" s="113"/>
      <c r="G82" s="113"/>
      <c r="H82" s="113"/>
      <c r="I82" s="113"/>
      <c r="J82" s="113"/>
      <c r="K82" s="112"/>
      <c r="L82" s="111">
        <f t="shared" si="2"/>
        <v>0</v>
      </c>
    </row>
    <row r="83" spans="2:12">
      <c r="B83" s="1820"/>
      <c r="C83" s="1821"/>
      <c r="D83" s="1821"/>
      <c r="E83" s="117"/>
      <c r="F83" s="113"/>
      <c r="G83" s="113"/>
      <c r="H83" s="113"/>
      <c r="I83" s="113"/>
      <c r="J83" s="113"/>
      <c r="K83" s="112"/>
      <c r="L83" s="119">
        <f t="shared" si="2"/>
        <v>0</v>
      </c>
    </row>
    <row r="84" spans="2:12">
      <c r="B84" s="1820"/>
      <c r="C84" s="1821"/>
      <c r="D84" s="1821"/>
      <c r="E84" s="108"/>
      <c r="F84" s="109"/>
      <c r="G84" s="109"/>
      <c r="H84" s="109"/>
      <c r="I84" s="109"/>
      <c r="J84" s="109"/>
      <c r="K84" s="115"/>
      <c r="L84" s="119"/>
    </row>
    <row r="85" spans="2:12">
      <c r="B85" s="1820"/>
      <c r="C85" s="1821"/>
      <c r="D85" s="1821"/>
      <c r="E85" s="108"/>
      <c r="F85" s="109"/>
      <c r="G85" s="109"/>
      <c r="H85" s="109"/>
      <c r="I85" s="109"/>
      <c r="J85" s="109"/>
      <c r="K85" s="115"/>
      <c r="L85" s="119"/>
    </row>
    <row r="86" spans="2:12" ht="15" thickBot="1">
      <c r="B86" s="1823"/>
      <c r="C86" s="1824"/>
      <c r="D86" s="1824"/>
      <c r="E86" s="121"/>
      <c r="F86" s="1031"/>
      <c r="G86" s="1031"/>
      <c r="H86" s="1031"/>
      <c r="I86" s="1031"/>
      <c r="J86" s="1031"/>
      <c r="K86" s="122"/>
      <c r="L86" s="124"/>
    </row>
    <row r="87" spans="2:12" ht="15" thickBot="1"/>
    <row r="88" spans="2:12" ht="15" thickBot="1">
      <c r="B88" s="1835"/>
      <c r="C88" s="1836"/>
      <c r="D88" s="1841" t="s">
        <v>852</v>
      </c>
      <c r="E88" s="1842"/>
      <c r="F88" s="1842"/>
      <c r="G88" s="1842"/>
      <c r="H88" s="1842"/>
      <c r="I88" s="1842"/>
      <c r="J88" s="1842"/>
      <c r="K88" s="1842"/>
      <c r="L88" s="1843"/>
    </row>
    <row r="89" spans="2:12">
      <c r="B89" s="1837"/>
      <c r="C89" s="1838"/>
      <c r="D89" s="1844" t="s">
        <v>853</v>
      </c>
      <c r="E89" s="1846" t="str">
        <f>+[1]PRESUPUESTO!$A$2</f>
        <v>OBJETO: MEJORAMIENTO Y ADECUACIÓN DE LAS VIAS URBANAS DEL MUNICIPIO DE SANTA FE DE ANTIOQUIA</v>
      </c>
      <c r="F89" s="1847"/>
      <c r="G89" s="1847"/>
      <c r="H89" s="1848"/>
      <c r="I89" s="1844" t="s">
        <v>854</v>
      </c>
      <c r="J89" s="1852"/>
      <c r="K89" s="1852"/>
      <c r="L89" s="1852"/>
    </row>
    <row r="90" spans="2:12" ht="15" thickBot="1">
      <c r="B90" s="1837"/>
      <c r="C90" s="1838"/>
      <c r="D90" s="1845"/>
      <c r="E90" s="1849"/>
      <c r="F90" s="1850"/>
      <c r="G90" s="1850"/>
      <c r="H90" s="1851"/>
      <c r="I90" s="1845"/>
      <c r="J90" s="1853"/>
      <c r="K90" s="1853"/>
      <c r="L90" s="1854"/>
    </row>
    <row r="91" spans="2:12">
      <c r="B91" s="1837"/>
      <c r="C91" s="1838"/>
      <c r="D91" s="1855" t="str">
        <f>+[1]PRESUPUESTO!$A$2</f>
        <v>OBJETO: MEJORAMIENTO Y ADECUACIÓN DE LAS VIAS URBANAS DEL MUNICIPIO DE SANTA FE DE ANTIOQUIA</v>
      </c>
      <c r="E91" s="1856"/>
      <c r="F91" s="1856"/>
      <c r="G91" s="1856"/>
      <c r="H91" s="1856"/>
      <c r="I91" s="1856"/>
      <c r="J91" s="1856"/>
      <c r="K91" s="1856"/>
      <c r="L91" s="1857"/>
    </row>
    <row r="92" spans="2:12">
      <c r="B92" s="1837"/>
      <c r="C92" s="1838"/>
      <c r="D92" s="1858"/>
      <c r="E92" s="1859"/>
      <c r="F92" s="1859"/>
      <c r="G92" s="1859"/>
      <c r="H92" s="1859"/>
      <c r="I92" s="1859"/>
      <c r="J92" s="1859"/>
      <c r="K92" s="1859"/>
      <c r="L92" s="1860"/>
    </row>
    <row r="93" spans="2:12">
      <c r="B93" s="1837"/>
      <c r="C93" s="1838"/>
      <c r="D93" s="1858"/>
      <c r="E93" s="1859"/>
      <c r="F93" s="1859"/>
      <c r="G93" s="1859"/>
      <c r="H93" s="1859"/>
      <c r="I93" s="1859"/>
      <c r="J93" s="1859"/>
      <c r="K93" s="1859"/>
      <c r="L93" s="1860"/>
    </row>
    <row r="94" spans="2:12" ht="15" thickBot="1">
      <c r="B94" s="1839"/>
      <c r="C94" s="1840"/>
      <c r="D94" s="1861"/>
      <c r="E94" s="1862"/>
      <c r="F94" s="1862"/>
      <c r="G94" s="1862"/>
      <c r="H94" s="1862"/>
      <c r="I94" s="1862"/>
      <c r="J94" s="1862"/>
      <c r="K94" s="1862"/>
      <c r="L94" s="1863"/>
    </row>
    <row r="95" spans="2:12" ht="15" thickBot="1">
      <c r="B95" s="327" t="s">
        <v>1</v>
      </c>
      <c r="C95" s="366">
        <v>2.2999999999999998</v>
      </c>
      <c r="D95" s="327" t="s">
        <v>228</v>
      </c>
      <c r="E95" s="430" t="e">
        <f>PRESUPUESTO!#REF!</f>
        <v>#REF!</v>
      </c>
      <c r="F95" s="326" t="s">
        <v>193</v>
      </c>
      <c r="G95" s="1814" t="str">
        <f>+VLOOKUP(C95,[1]PRESUPUESTO!$A$5:$C$30,3,)</f>
        <v>m2</v>
      </c>
      <c r="H95" s="1815" t="e">
        <f>+VLOOKUP(F95,[1]PRESUPUESTO!$A$5:$C$30,2,)</f>
        <v>#N/A</v>
      </c>
      <c r="I95" s="1685" t="s">
        <v>855</v>
      </c>
      <c r="J95" s="1816"/>
      <c r="K95" s="1816"/>
      <c r="L95" s="368">
        <f>SUM(L98:L114)</f>
        <v>30</v>
      </c>
    </row>
    <row r="96" spans="2:12" ht="15" thickBot="1">
      <c r="B96" s="1817"/>
      <c r="C96" s="1818"/>
      <c r="D96" s="1819"/>
      <c r="E96" s="1825" t="s">
        <v>856</v>
      </c>
      <c r="F96" s="1827" t="s">
        <v>857</v>
      </c>
      <c r="G96" s="1828"/>
      <c r="H96" s="1828"/>
      <c r="I96" s="1828"/>
      <c r="J96" s="1829"/>
      <c r="K96" s="1830" t="s">
        <v>858</v>
      </c>
      <c r="L96" s="1832" t="s">
        <v>859</v>
      </c>
    </row>
    <row r="97" spans="2:12" ht="15" thickBot="1">
      <c r="B97" s="1820"/>
      <c r="C97" s="1821"/>
      <c r="D97" s="1822"/>
      <c r="E97" s="1826"/>
      <c r="F97" s="367" t="s">
        <v>865</v>
      </c>
      <c r="G97" s="367" t="s">
        <v>861</v>
      </c>
      <c r="H97" s="367" t="s">
        <v>862</v>
      </c>
      <c r="I97" s="367" t="s">
        <v>863</v>
      </c>
      <c r="J97" s="367" t="s">
        <v>864</v>
      </c>
      <c r="K97" s="1831"/>
      <c r="L97" s="1833"/>
    </row>
    <row r="98" spans="2:12">
      <c r="B98" s="1820"/>
      <c r="C98" s="1821"/>
      <c r="D98" s="1821"/>
      <c r="E98" s="106" t="s">
        <v>866</v>
      </c>
      <c r="F98" s="1834"/>
      <c r="G98" s="1834"/>
      <c r="H98" s="1834"/>
      <c r="I98" s="1834"/>
      <c r="J98" s="1834"/>
      <c r="K98" s="1834"/>
      <c r="L98" s="107"/>
    </row>
    <row r="99" spans="2:12">
      <c r="B99" s="1820"/>
      <c r="C99" s="1821"/>
      <c r="D99" s="1821"/>
      <c r="E99" s="108"/>
      <c r="F99" s="109">
        <f>10*10</f>
        <v>100</v>
      </c>
      <c r="G99" s="109"/>
      <c r="H99" s="110"/>
      <c r="I99" s="110">
        <v>0.3</v>
      </c>
      <c r="J99" s="110"/>
      <c r="K99" s="109"/>
      <c r="L99" s="111">
        <f>F99*I99</f>
        <v>30</v>
      </c>
    </row>
    <row r="100" spans="2:12">
      <c r="B100" s="1820"/>
      <c r="C100" s="1821"/>
      <c r="D100" s="1821"/>
      <c r="E100" s="108"/>
      <c r="F100" s="113"/>
      <c r="G100" s="112"/>
      <c r="H100" s="112"/>
      <c r="I100" s="113"/>
      <c r="J100" s="114"/>
      <c r="K100" s="115"/>
      <c r="L100" s="111">
        <f t="shared" ref="L100:L111" si="3">F100</f>
        <v>0</v>
      </c>
    </row>
    <row r="101" spans="2:12">
      <c r="B101" s="1820"/>
      <c r="C101" s="1821"/>
      <c r="D101" s="1821"/>
      <c r="E101" s="108"/>
      <c r="F101" s="113"/>
      <c r="G101" s="112"/>
      <c r="H101" s="112"/>
      <c r="I101" s="113"/>
      <c r="J101" s="114"/>
      <c r="K101" s="115"/>
      <c r="L101" s="111">
        <f t="shared" si="3"/>
        <v>0</v>
      </c>
    </row>
    <row r="102" spans="2:12">
      <c r="B102" s="1820"/>
      <c r="C102" s="1821"/>
      <c r="D102" s="1821"/>
      <c r="E102" s="108"/>
      <c r="F102" s="113"/>
      <c r="G102" s="112"/>
      <c r="H102" s="112"/>
      <c r="I102" s="113"/>
      <c r="J102" s="114"/>
      <c r="K102" s="115"/>
      <c r="L102" s="111">
        <f t="shared" si="3"/>
        <v>0</v>
      </c>
    </row>
    <row r="103" spans="2:12">
      <c r="B103" s="1820"/>
      <c r="C103" s="1821"/>
      <c r="D103" s="1821"/>
      <c r="E103" s="108"/>
      <c r="F103" s="113"/>
      <c r="G103" s="112"/>
      <c r="H103" s="112"/>
      <c r="I103" s="113"/>
      <c r="J103" s="114"/>
      <c r="K103" s="115"/>
      <c r="L103" s="111">
        <f t="shared" si="3"/>
        <v>0</v>
      </c>
    </row>
    <row r="104" spans="2:12">
      <c r="B104" s="1820"/>
      <c r="C104" s="1821"/>
      <c r="D104" s="1821"/>
      <c r="E104" s="108"/>
      <c r="F104" s="113"/>
      <c r="G104" s="112"/>
      <c r="H104" s="112"/>
      <c r="I104" s="113"/>
      <c r="J104" s="114"/>
      <c r="K104" s="115"/>
      <c r="L104" s="111">
        <f t="shared" si="3"/>
        <v>0</v>
      </c>
    </row>
    <row r="105" spans="2:12">
      <c r="B105" s="1820"/>
      <c r="C105" s="1821"/>
      <c r="D105" s="1821"/>
      <c r="E105" s="108"/>
      <c r="F105" s="113"/>
      <c r="G105" s="112"/>
      <c r="H105" s="112"/>
      <c r="I105" s="113"/>
      <c r="J105" s="114"/>
      <c r="K105" s="115"/>
      <c r="L105" s="111">
        <f t="shared" si="3"/>
        <v>0</v>
      </c>
    </row>
    <row r="106" spans="2:12">
      <c r="B106" s="1820"/>
      <c r="C106" s="1821"/>
      <c r="D106" s="1821"/>
      <c r="E106" s="108"/>
      <c r="F106" s="113"/>
      <c r="G106" s="112"/>
      <c r="H106" s="112"/>
      <c r="I106" s="113"/>
      <c r="J106" s="114"/>
      <c r="K106" s="115"/>
      <c r="L106" s="111">
        <f t="shared" si="3"/>
        <v>0</v>
      </c>
    </row>
    <row r="107" spans="2:12">
      <c r="B107" s="1820"/>
      <c r="C107" s="1821"/>
      <c r="D107" s="1821"/>
      <c r="E107" s="117"/>
      <c r="F107" s="113"/>
      <c r="G107" s="112"/>
      <c r="H107" s="112"/>
      <c r="I107" s="113"/>
      <c r="J107" s="114"/>
      <c r="K107" s="112"/>
      <c r="L107" s="111">
        <f t="shared" si="3"/>
        <v>0</v>
      </c>
    </row>
    <row r="108" spans="2:12">
      <c r="B108" s="1820"/>
      <c r="C108" s="1821"/>
      <c r="D108" s="1821"/>
      <c r="E108" s="108"/>
      <c r="F108" s="109"/>
      <c r="G108" s="115"/>
      <c r="H108" s="115"/>
      <c r="I108" s="115"/>
      <c r="J108" s="118"/>
      <c r="K108" s="115"/>
      <c r="L108" s="111">
        <f t="shared" si="3"/>
        <v>0</v>
      </c>
    </row>
    <row r="109" spans="2:12">
      <c r="B109" s="1820"/>
      <c r="C109" s="1821"/>
      <c r="D109" s="1821"/>
      <c r="E109" s="117"/>
      <c r="F109" s="113"/>
      <c r="G109" s="112"/>
      <c r="H109" s="112"/>
      <c r="I109" s="112"/>
      <c r="J109" s="114"/>
      <c r="K109" s="112"/>
      <c r="L109" s="111">
        <f t="shared" si="3"/>
        <v>0</v>
      </c>
    </row>
    <row r="110" spans="2:12">
      <c r="B110" s="1820"/>
      <c r="C110" s="1821"/>
      <c r="D110" s="1821"/>
      <c r="E110" s="117"/>
      <c r="F110" s="113"/>
      <c r="G110" s="112"/>
      <c r="H110" s="112"/>
      <c r="I110" s="112"/>
      <c r="J110" s="114"/>
      <c r="K110" s="112"/>
      <c r="L110" s="111">
        <f t="shared" si="3"/>
        <v>0</v>
      </c>
    </row>
    <row r="111" spans="2:12">
      <c r="B111" s="1820"/>
      <c r="C111" s="1821"/>
      <c r="D111" s="1821"/>
      <c r="E111" s="117"/>
      <c r="F111" s="113"/>
      <c r="G111" s="112"/>
      <c r="H111" s="112"/>
      <c r="I111" s="112"/>
      <c r="J111" s="114"/>
      <c r="K111" s="112"/>
      <c r="L111" s="111">
        <f t="shared" si="3"/>
        <v>0</v>
      </c>
    </row>
    <row r="112" spans="2:12">
      <c r="B112" s="1820"/>
      <c r="C112" s="1821"/>
      <c r="D112" s="1821"/>
      <c r="E112" s="108"/>
      <c r="F112" s="115"/>
      <c r="G112" s="115"/>
      <c r="H112" s="115"/>
      <c r="I112" s="115"/>
      <c r="J112" s="120"/>
      <c r="K112" s="115"/>
      <c r="L112" s="111"/>
    </row>
    <row r="113" spans="2:12">
      <c r="B113" s="1820"/>
      <c r="C113" s="1821"/>
      <c r="D113" s="1821"/>
      <c r="E113" s="108"/>
      <c r="F113" s="115"/>
      <c r="G113" s="115"/>
      <c r="H113" s="115"/>
      <c r="I113" s="115"/>
      <c r="J113" s="115"/>
      <c r="K113" s="115"/>
      <c r="L113" s="119"/>
    </row>
    <row r="114" spans="2:12" ht="15" thickBot="1">
      <c r="B114" s="1823"/>
      <c r="C114" s="1824"/>
      <c r="D114" s="1824"/>
      <c r="E114" s="121"/>
      <c r="F114" s="122"/>
      <c r="G114" s="122"/>
      <c r="H114" s="122"/>
      <c r="I114" s="122"/>
      <c r="J114" s="123"/>
      <c r="K114" s="122"/>
      <c r="L114" s="124"/>
    </row>
    <row r="115" spans="2:12" ht="15" thickBot="1"/>
    <row r="116" spans="2:12" ht="15" thickBot="1">
      <c r="B116" s="1835"/>
      <c r="C116" s="1836"/>
      <c r="D116" s="1841" t="s">
        <v>852</v>
      </c>
      <c r="E116" s="1842"/>
      <c r="F116" s="1842"/>
      <c r="G116" s="1842"/>
      <c r="H116" s="1842"/>
      <c r="I116" s="1842"/>
      <c r="J116" s="1842"/>
      <c r="K116" s="1842"/>
      <c r="L116" s="1843"/>
    </row>
    <row r="117" spans="2:12">
      <c r="B117" s="1837"/>
      <c r="C117" s="1838"/>
      <c r="D117" s="1844" t="s">
        <v>853</v>
      </c>
      <c r="E117" s="1846" t="str">
        <f>+[1]PRESUPUESTO!$A$2</f>
        <v>OBJETO: MEJORAMIENTO Y ADECUACIÓN DE LAS VIAS URBANAS DEL MUNICIPIO DE SANTA FE DE ANTIOQUIA</v>
      </c>
      <c r="F117" s="1847"/>
      <c r="G117" s="1847"/>
      <c r="H117" s="1848"/>
      <c r="I117" s="1844" t="s">
        <v>854</v>
      </c>
      <c r="J117" s="1852"/>
      <c r="K117" s="1852"/>
      <c r="L117" s="1852"/>
    </row>
    <row r="118" spans="2:12" ht="15" thickBot="1">
      <c r="B118" s="1837"/>
      <c r="C118" s="1838"/>
      <c r="D118" s="1845"/>
      <c r="E118" s="1849"/>
      <c r="F118" s="1850"/>
      <c r="G118" s="1850"/>
      <c r="H118" s="1851"/>
      <c r="I118" s="1845"/>
      <c r="J118" s="1853"/>
      <c r="K118" s="1853"/>
      <c r="L118" s="1854"/>
    </row>
    <row r="119" spans="2:12">
      <c r="B119" s="1837"/>
      <c r="C119" s="1838"/>
      <c r="D119" s="1855" t="str">
        <f>+[1]PRESUPUESTO!$A$2</f>
        <v>OBJETO: MEJORAMIENTO Y ADECUACIÓN DE LAS VIAS URBANAS DEL MUNICIPIO DE SANTA FE DE ANTIOQUIA</v>
      </c>
      <c r="E119" s="1856"/>
      <c r="F119" s="1856"/>
      <c r="G119" s="1856"/>
      <c r="H119" s="1856"/>
      <c r="I119" s="1856"/>
      <c r="J119" s="1856"/>
      <c r="K119" s="1856"/>
      <c r="L119" s="1857"/>
    </row>
    <row r="120" spans="2:12">
      <c r="B120" s="1837"/>
      <c r="C120" s="1838"/>
      <c r="D120" s="1858"/>
      <c r="E120" s="1859"/>
      <c r="F120" s="1859"/>
      <c r="G120" s="1859"/>
      <c r="H120" s="1859"/>
      <c r="I120" s="1859"/>
      <c r="J120" s="1859"/>
      <c r="K120" s="1859"/>
      <c r="L120" s="1860"/>
    </row>
    <row r="121" spans="2:12">
      <c r="B121" s="1837"/>
      <c r="C121" s="1838"/>
      <c r="D121" s="1858"/>
      <c r="E121" s="1859"/>
      <c r="F121" s="1859"/>
      <c r="G121" s="1859"/>
      <c r="H121" s="1859"/>
      <c r="I121" s="1859"/>
      <c r="J121" s="1859"/>
      <c r="K121" s="1859"/>
      <c r="L121" s="1860"/>
    </row>
    <row r="122" spans="2:12" ht="15" thickBot="1">
      <c r="B122" s="1839"/>
      <c r="C122" s="1840"/>
      <c r="D122" s="1861"/>
      <c r="E122" s="1862"/>
      <c r="F122" s="1862"/>
      <c r="G122" s="1862"/>
      <c r="H122" s="1862"/>
      <c r="I122" s="1862"/>
      <c r="J122" s="1862"/>
      <c r="K122" s="1862"/>
      <c r="L122" s="1863"/>
    </row>
    <row r="123" spans="2:12" ht="45.75" customHeight="1" thickBot="1">
      <c r="B123" s="327" t="s">
        <v>1</v>
      </c>
      <c r="C123" s="366">
        <v>2.4</v>
      </c>
      <c r="D123" s="327" t="s">
        <v>228</v>
      </c>
      <c r="E123" s="430" t="str">
        <f>+VLOOKUP(C123,[1]PRESUPUESTO!$A$5:$C$30,2,)</f>
        <v>Cargue,   transporte  y   botada   de   material proveniente de las excavaciones y demoliciones. Hasta el sitio que indique la interventoria.</v>
      </c>
      <c r="F123" s="326" t="s">
        <v>193</v>
      </c>
      <c r="G123" s="1814" t="str">
        <f>+VLOOKUP(C123,[1]PRESUPUESTO!$A$5:$C$30,3,)</f>
        <v>m³</v>
      </c>
      <c r="H123" s="1815" t="e">
        <f>+VLOOKUP(F123,[1]PRESUPUESTO!$A$5:$C$30,2,)</f>
        <v>#N/A</v>
      </c>
      <c r="I123" s="1685" t="s">
        <v>855</v>
      </c>
      <c r="J123" s="1816"/>
      <c r="K123" s="1816"/>
      <c r="L123" s="368">
        <f>SUM(L126:L163)</f>
        <v>276.96899999999999</v>
      </c>
    </row>
    <row r="124" spans="2:12" ht="15" thickBot="1">
      <c r="B124" s="1817"/>
      <c r="C124" s="1818"/>
      <c r="D124" s="1819"/>
      <c r="E124" s="1825" t="s">
        <v>856</v>
      </c>
      <c r="F124" s="1827" t="s">
        <v>857</v>
      </c>
      <c r="G124" s="1828"/>
      <c r="H124" s="1828"/>
      <c r="I124" s="1828"/>
      <c r="J124" s="1829"/>
      <c r="K124" s="1830" t="s">
        <v>858</v>
      </c>
      <c r="L124" s="1832" t="s">
        <v>859</v>
      </c>
    </row>
    <row r="125" spans="2:12" ht="29.5" thickBot="1">
      <c r="B125" s="1820"/>
      <c r="C125" s="1821"/>
      <c r="D125" s="1822"/>
      <c r="E125" s="1826"/>
      <c r="F125" s="367" t="s">
        <v>869</v>
      </c>
      <c r="G125" s="367" t="s">
        <v>861</v>
      </c>
      <c r="H125" s="367" t="s">
        <v>862</v>
      </c>
      <c r="I125" s="367" t="s">
        <v>863</v>
      </c>
      <c r="J125" s="367" t="s">
        <v>871</v>
      </c>
      <c r="K125" s="1831"/>
      <c r="L125" s="1833"/>
    </row>
    <row r="126" spans="2:12">
      <c r="B126" s="1820"/>
      <c r="C126" s="1821"/>
      <c r="D126" s="1821"/>
      <c r="E126" s="106" t="s">
        <v>870</v>
      </c>
      <c r="F126" s="1834"/>
      <c r="G126" s="1834"/>
      <c r="H126" s="1834"/>
      <c r="I126" s="1834"/>
      <c r="J126" s="1834"/>
      <c r="K126" s="1834"/>
      <c r="L126" s="107"/>
    </row>
    <row r="127" spans="2:12">
      <c r="B127" s="1820"/>
      <c r="C127" s="1821"/>
      <c r="D127" s="1821"/>
      <c r="E127" s="108" t="s">
        <v>1757</v>
      </c>
      <c r="F127" s="109">
        <f>+O9</f>
        <v>84.7</v>
      </c>
      <c r="G127" s="109">
        <f>+P9</f>
        <v>6</v>
      </c>
      <c r="H127" s="1029">
        <v>0.5</v>
      </c>
      <c r="I127" s="1029"/>
      <c r="J127" s="1029">
        <f>F127*H127*G127</f>
        <v>254.10000000000002</v>
      </c>
      <c r="K127" s="109">
        <v>1</v>
      </c>
      <c r="L127" s="111">
        <f>J127</f>
        <v>254.10000000000002</v>
      </c>
    </row>
    <row r="128" spans="2:12">
      <c r="B128" s="1820"/>
      <c r="C128" s="1821"/>
      <c r="D128" s="1821"/>
      <c r="E128" s="108" t="s">
        <v>1739</v>
      </c>
      <c r="F128" s="113">
        <f>+O12</f>
        <v>84.7</v>
      </c>
      <c r="G128" s="113">
        <f>+P12</f>
        <v>1.4</v>
      </c>
      <c r="H128" s="1029">
        <v>0.15</v>
      </c>
      <c r="I128" s="113"/>
      <c r="J128" s="1029">
        <f>F128*H128</f>
        <v>12.705</v>
      </c>
      <c r="K128" s="109">
        <v>1</v>
      </c>
      <c r="L128" s="111">
        <f t="shared" ref="L128:L161" si="4">J128</f>
        <v>12.705</v>
      </c>
    </row>
    <row r="129" spans="2:12">
      <c r="B129" s="1820"/>
      <c r="C129" s="1821"/>
      <c r="D129" s="1821"/>
      <c r="E129" s="108" t="s">
        <v>868</v>
      </c>
      <c r="F129" s="113">
        <v>0</v>
      </c>
      <c r="G129" s="113"/>
      <c r="H129" s="113">
        <f t="shared" ref="H129" si="5">H44</f>
        <v>0.9</v>
      </c>
      <c r="I129" s="113"/>
      <c r="J129" s="1029">
        <f>F129*H129*G129</f>
        <v>0</v>
      </c>
      <c r="K129" s="109">
        <f>L508</f>
        <v>0</v>
      </c>
      <c r="L129" s="111">
        <f>J129*K129</f>
        <v>0</v>
      </c>
    </row>
    <row r="130" spans="2:12">
      <c r="B130" s="1820"/>
      <c r="C130" s="1821"/>
      <c r="D130" s="1821"/>
      <c r="E130" s="108" t="s">
        <v>1741</v>
      </c>
      <c r="F130" s="113">
        <f>+O10</f>
        <v>0</v>
      </c>
      <c r="G130" s="113">
        <v>0.5</v>
      </c>
      <c r="H130" s="113">
        <v>0.2</v>
      </c>
      <c r="I130" s="113"/>
      <c r="J130" s="1029">
        <f>F130*H130*G130</f>
        <v>0</v>
      </c>
      <c r="K130" s="109">
        <v>1</v>
      </c>
      <c r="L130" s="111">
        <f>J130*K130</f>
        <v>0</v>
      </c>
    </row>
    <row r="131" spans="2:12">
      <c r="B131" s="1820"/>
      <c r="C131" s="1821"/>
      <c r="D131" s="1821"/>
      <c r="E131" s="108" t="s">
        <v>1763</v>
      </c>
      <c r="F131" s="113">
        <f>+O11</f>
        <v>169.4</v>
      </c>
      <c r="G131" s="113">
        <v>0.2</v>
      </c>
      <c r="H131" s="113">
        <v>0.3</v>
      </c>
      <c r="I131" s="1029"/>
      <c r="J131" s="1029">
        <f>F131*H131*G131</f>
        <v>10.164000000000001</v>
      </c>
      <c r="K131" s="109">
        <v>1</v>
      </c>
      <c r="L131" s="111">
        <f>J131*K131</f>
        <v>10.164000000000001</v>
      </c>
    </row>
    <row r="132" spans="2:12">
      <c r="B132" s="1820"/>
      <c r="C132" s="1821"/>
      <c r="D132" s="1821"/>
      <c r="E132" s="108" t="s">
        <v>39</v>
      </c>
      <c r="F132" s="113"/>
      <c r="G132" s="113"/>
      <c r="H132" s="113"/>
      <c r="I132" s="113">
        <v>0.3</v>
      </c>
      <c r="J132" s="1029">
        <f>F132*G132*I132</f>
        <v>0</v>
      </c>
      <c r="K132" s="109"/>
      <c r="L132" s="111">
        <f t="shared" si="4"/>
        <v>0</v>
      </c>
    </row>
    <row r="133" spans="2:12">
      <c r="B133" s="1820"/>
      <c r="C133" s="1821"/>
      <c r="D133" s="1821"/>
      <c r="E133" s="108"/>
      <c r="F133" s="113"/>
      <c r="G133" s="113"/>
      <c r="H133" s="113"/>
      <c r="I133" s="113"/>
      <c r="J133" s="1029"/>
      <c r="K133" s="109"/>
      <c r="L133" s="111">
        <f t="shared" si="4"/>
        <v>0</v>
      </c>
    </row>
    <row r="134" spans="2:12">
      <c r="B134" s="1820"/>
      <c r="C134" s="1821"/>
      <c r="D134" s="1821"/>
      <c r="E134" s="108"/>
      <c r="F134" s="113"/>
      <c r="G134" s="113"/>
      <c r="H134" s="113"/>
      <c r="I134" s="113"/>
      <c r="J134" s="1029"/>
      <c r="K134" s="109"/>
      <c r="L134" s="111">
        <f t="shared" si="4"/>
        <v>0</v>
      </c>
    </row>
    <row r="135" spans="2:12">
      <c r="B135" s="1820"/>
      <c r="C135" s="1821"/>
      <c r="D135" s="1821"/>
      <c r="E135" s="117"/>
      <c r="F135" s="113"/>
      <c r="G135" s="113"/>
      <c r="H135" s="113"/>
      <c r="I135" s="113"/>
      <c r="J135" s="1029"/>
      <c r="K135" s="113"/>
      <c r="L135" s="111">
        <f t="shared" si="4"/>
        <v>0</v>
      </c>
    </row>
    <row r="136" spans="2:12">
      <c r="B136" s="1820"/>
      <c r="C136" s="1821"/>
      <c r="D136" s="1821"/>
      <c r="E136" s="108"/>
      <c r="F136" s="109"/>
      <c r="G136" s="109"/>
      <c r="H136" s="113"/>
      <c r="I136" s="113"/>
      <c r="J136" s="1029"/>
      <c r="K136" s="113"/>
      <c r="L136" s="111">
        <f t="shared" si="4"/>
        <v>0</v>
      </c>
    </row>
    <row r="137" spans="2:12">
      <c r="B137" s="1820"/>
      <c r="C137" s="1821"/>
      <c r="D137" s="1821"/>
      <c r="E137" s="117"/>
      <c r="F137" s="113"/>
      <c r="G137" s="113"/>
      <c r="H137" s="113"/>
      <c r="I137" s="113"/>
      <c r="J137" s="1029"/>
      <c r="K137" s="113"/>
      <c r="L137" s="111">
        <f t="shared" si="4"/>
        <v>0</v>
      </c>
    </row>
    <row r="138" spans="2:12">
      <c r="B138" s="1820"/>
      <c r="C138" s="1821"/>
      <c r="D138" s="1821"/>
      <c r="E138" s="117"/>
      <c r="F138" s="113"/>
      <c r="G138" s="113"/>
      <c r="H138" s="113"/>
      <c r="I138" s="113"/>
      <c r="J138" s="1029"/>
      <c r="K138" s="113"/>
      <c r="L138" s="111">
        <f t="shared" si="4"/>
        <v>0</v>
      </c>
    </row>
    <row r="139" spans="2:12">
      <c r="B139" s="1820"/>
      <c r="C139" s="1821"/>
      <c r="D139" s="1821"/>
      <c r="E139" s="108"/>
      <c r="F139" s="109"/>
      <c r="G139" s="113"/>
      <c r="H139" s="113"/>
      <c r="I139" s="113"/>
      <c r="J139" s="113"/>
      <c r="K139" s="113"/>
      <c r="L139" s="111">
        <f t="shared" si="4"/>
        <v>0</v>
      </c>
    </row>
    <row r="140" spans="2:12">
      <c r="B140" s="1820"/>
      <c r="C140" s="1821"/>
      <c r="D140" s="1821"/>
      <c r="E140" s="108"/>
      <c r="F140" s="113"/>
      <c r="G140" s="113"/>
      <c r="H140" s="113"/>
      <c r="I140" s="113"/>
      <c r="J140" s="113"/>
      <c r="K140" s="113"/>
      <c r="L140" s="111">
        <f t="shared" si="4"/>
        <v>0</v>
      </c>
    </row>
    <row r="141" spans="2:12">
      <c r="B141" s="1820"/>
      <c r="C141" s="1821"/>
      <c r="D141" s="1821"/>
      <c r="E141" s="108"/>
      <c r="F141" s="113"/>
      <c r="G141" s="113"/>
      <c r="H141" s="113"/>
      <c r="I141" s="113"/>
      <c r="J141" s="113"/>
      <c r="K141" s="113"/>
      <c r="L141" s="111">
        <f t="shared" si="4"/>
        <v>0</v>
      </c>
    </row>
    <row r="142" spans="2:12">
      <c r="B142" s="1820"/>
      <c r="C142" s="1821"/>
      <c r="D142" s="1821"/>
      <c r="E142" s="108"/>
      <c r="F142" s="113"/>
      <c r="G142" s="113"/>
      <c r="H142" s="113"/>
      <c r="I142" s="113"/>
      <c r="J142" s="113"/>
      <c r="K142" s="113"/>
      <c r="L142" s="111">
        <f t="shared" si="4"/>
        <v>0</v>
      </c>
    </row>
    <row r="143" spans="2:12">
      <c r="B143" s="1820"/>
      <c r="C143" s="1821"/>
      <c r="D143" s="1821"/>
      <c r="E143" s="108"/>
      <c r="F143" s="113"/>
      <c r="G143" s="113"/>
      <c r="H143" s="113"/>
      <c r="I143" s="113"/>
      <c r="J143" s="113"/>
      <c r="K143" s="113"/>
      <c r="L143" s="111">
        <f t="shared" si="4"/>
        <v>0</v>
      </c>
    </row>
    <row r="144" spans="2:12">
      <c r="B144" s="1820"/>
      <c r="C144" s="1821"/>
      <c r="D144" s="1821"/>
      <c r="E144" s="108"/>
      <c r="F144" s="113"/>
      <c r="G144" s="113"/>
      <c r="H144" s="113"/>
      <c r="I144" s="113"/>
      <c r="J144" s="113"/>
      <c r="K144" s="113"/>
      <c r="L144" s="111">
        <f t="shared" si="4"/>
        <v>0</v>
      </c>
    </row>
    <row r="145" spans="2:12">
      <c r="B145" s="1820"/>
      <c r="C145" s="1821"/>
      <c r="D145" s="1821"/>
      <c r="E145" s="108"/>
      <c r="F145" s="113"/>
      <c r="G145" s="113"/>
      <c r="H145" s="113"/>
      <c r="I145" s="113"/>
      <c r="J145" s="113"/>
      <c r="K145" s="113"/>
      <c r="L145" s="111">
        <f t="shared" si="4"/>
        <v>0</v>
      </c>
    </row>
    <row r="146" spans="2:12">
      <c r="B146" s="1820"/>
      <c r="C146" s="1821"/>
      <c r="D146" s="1821"/>
      <c r="E146" s="108"/>
      <c r="F146" s="113"/>
      <c r="G146" s="113"/>
      <c r="H146" s="113"/>
      <c r="I146" s="113"/>
      <c r="J146" s="113"/>
      <c r="K146" s="113"/>
      <c r="L146" s="111">
        <f t="shared" si="4"/>
        <v>0</v>
      </c>
    </row>
    <row r="147" spans="2:12">
      <c r="B147" s="1820"/>
      <c r="C147" s="1821"/>
      <c r="D147" s="1821"/>
      <c r="E147" s="108"/>
      <c r="F147" s="113"/>
      <c r="G147" s="113"/>
      <c r="H147" s="113"/>
      <c r="I147" s="113"/>
      <c r="J147" s="113"/>
      <c r="K147" s="113"/>
      <c r="L147" s="111">
        <f t="shared" si="4"/>
        <v>0</v>
      </c>
    </row>
    <row r="148" spans="2:12">
      <c r="B148" s="1820"/>
      <c r="C148" s="1821"/>
      <c r="D148" s="1821"/>
      <c r="E148" s="108"/>
      <c r="F148" s="109"/>
      <c r="G148" s="113"/>
      <c r="H148" s="113"/>
      <c r="I148" s="113"/>
      <c r="J148" s="113"/>
      <c r="K148" s="113"/>
      <c r="L148" s="111">
        <f t="shared" si="4"/>
        <v>0</v>
      </c>
    </row>
    <row r="149" spans="2:12">
      <c r="B149" s="1820"/>
      <c r="C149" s="1821"/>
      <c r="D149" s="1821"/>
      <c r="E149" s="108"/>
      <c r="F149" s="113"/>
      <c r="G149" s="113"/>
      <c r="H149" s="113"/>
      <c r="I149" s="113"/>
      <c r="J149" s="113"/>
      <c r="K149" s="113"/>
      <c r="L149" s="111">
        <f t="shared" si="4"/>
        <v>0</v>
      </c>
    </row>
    <row r="150" spans="2:12">
      <c r="B150" s="1820"/>
      <c r="C150" s="1821"/>
      <c r="D150" s="1821"/>
      <c r="E150" s="108"/>
      <c r="F150" s="113"/>
      <c r="G150" s="113"/>
      <c r="H150" s="113"/>
      <c r="I150" s="113"/>
      <c r="J150" s="113"/>
      <c r="K150" s="113"/>
      <c r="L150" s="111">
        <f t="shared" si="4"/>
        <v>0</v>
      </c>
    </row>
    <row r="151" spans="2:12">
      <c r="B151" s="1820"/>
      <c r="C151" s="1821"/>
      <c r="D151" s="1821"/>
      <c r="E151" s="108"/>
      <c r="F151" s="109"/>
      <c r="G151" s="113"/>
      <c r="H151" s="113"/>
      <c r="I151" s="113"/>
      <c r="J151" s="113"/>
      <c r="K151" s="113"/>
      <c r="L151" s="111">
        <f t="shared" si="4"/>
        <v>0</v>
      </c>
    </row>
    <row r="152" spans="2:12">
      <c r="B152" s="1820"/>
      <c r="C152" s="1821"/>
      <c r="D152" s="1821"/>
      <c r="E152" s="108"/>
      <c r="F152" s="113"/>
      <c r="G152" s="109"/>
      <c r="H152" s="113"/>
      <c r="I152" s="109"/>
      <c r="J152" s="113"/>
      <c r="K152" s="109"/>
      <c r="L152" s="111">
        <f t="shared" si="4"/>
        <v>0</v>
      </c>
    </row>
    <row r="153" spans="2:12">
      <c r="B153" s="1820"/>
      <c r="C153" s="1821"/>
      <c r="D153" s="1821"/>
      <c r="E153" s="108"/>
      <c r="F153" s="113"/>
      <c r="G153" s="113"/>
      <c r="H153" s="113"/>
      <c r="I153" s="113"/>
      <c r="J153" s="113"/>
      <c r="K153" s="113"/>
      <c r="L153" s="111">
        <f t="shared" si="4"/>
        <v>0</v>
      </c>
    </row>
    <row r="154" spans="2:12">
      <c r="B154" s="1820"/>
      <c r="C154" s="1821"/>
      <c r="D154" s="1821"/>
      <c r="E154" s="108"/>
      <c r="F154" s="113"/>
      <c r="G154" s="113"/>
      <c r="H154" s="113"/>
      <c r="I154" s="113"/>
      <c r="J154" s="113"/>
      <c r="K154" s="113"/>
      <c r="L154" s="111">
        <f t="shared" si="4"/>
        <v>0</v>
      </c>
    </row>
    <row r="155" spans="2:12">
      <c r="B155" s="1820"/>
      <c r="C155" s="1821"/>
      <c r="D155" s="1821"/>
      <c r="E155" s="108"/>
      <c r="F155" s="113"/>
      <c r="G155" s="113"/>
      <c r="H155" s="113"/>
      <c r="I155" s="113"/>
      <c r="J155" s="113"/>
      <c r="K155" s="113"/>
      <c r="L155" s="111">
        <f t="shared" si="4"/>
        <v>0</v>
      </c>
    </row>
    <row r="156" spans="2:12">
      <c r="B156" s="1820"/>
      <c r="C156" s="1821"/>
      <c r="D156" s="1821"/>
      <c r="E156" s="108"/>
      <c r="F156" s="113"/>
      <c r="G156" s="113"/>
      <c r="H156" s="113"/>
      <c r="I156" s="113"/>
      <c r="J156" s="113"/>
      <c r="K156" s="113"/>
      <c r="L156" s="111">
        <f t="shared" si="4"/>
        <v>0</v>
      </c>
    </row>
    <row r="157" spans="2:12">
      <c r="B157" s="1820"/>
      <c r="C157" s="1821"/>
      <c r="D157" s="1821"/>
      <c r="E157" s="108"/>
      <c r="F157" s="113"/>
      <c r="G157" s="113"/>
      <c r="H157" s="113"/>
      <c r="I157" s="113"/>
      <c r="J157" s="113"/>
      <c r="K157" s="113"/>
      <c r="L157" s="111">
        <f t="shared" si="4"/>
        <v>0</v>
      </c>
    </row>
    <row r="158" spans="2:12">
      <c r="B158" s="1820"/>
      <c r="C158" s="1821"/>
      <c r="D158" s="1821"/>
      <c r="E158" s="108"/>
      <c r="F158" s="113"/>
      <c r="G158" s="113"/>
      <c r="H158" s="113"/>
      <c r="I158" s="113"/>
      <c r="J158" s="113"/>
      <c r="K158" s="113"/>
      <c r="L158" s="111">
        <f t="shared" si="4"/>
        <v>0</v>
      </c>
    </row>
    <row r="159" spans="2:12">
      <c r="B159" s="1820"/>
      <c r="C159" s="1821"/>
      <c r="D159" s="1821"/>
      <c r="E159" s="117"/>
      <c r="F159" s="113"/>
      <c r="G159" s="113"/>
      <c r="H159" s="113"/>
      <c r="I159" s="113"/>
      <c r="J159" s="113"/>
      <c r="K159" s="113"/>
      <c r="L159" s="111">
        <f t="shared" si="4"/>
        <v>0</v>
      </c>
    </row>
    <row r="160" spans="2:12">
      <c r="B160" s="1820"/>
      <c r="C160" s="1821"/>
      <c r="D160" s="1821"/>
      <c r="E160" s="108"/>
      <c r="F160" s="109"/>
      <c r="G160" s="113"/>
      <c r="H160" s="113"/>
      <c r="I160" s="113"/>
      <c r="J160" s="113"/>
      <c r="K160" s="113"/>
      <c r="L160" s="111">
        <f t="shared" si="4"/>
        <v>0</v>
      </c>
    </row>
    <row r="161" spans="2:12">
      <c r="B161" s="1820"/>
      <c r="C161" s="1821"/>
      <c r="D161" s="1821"/>
      <c r="E161" s="117"/>
      <c r="F161" s="113"/>
      <c r="G161" s="109"/>
      <c r="H161" s="113"/>
      <c r="I161" s="109"/>
      <c r="J161" s="113"/>
      <c r="K161" s="109"/>
      <c r="L161" s="111">
        <f t="shared" si="4"/>
        <v>0</v>
      </c>
    </row>
    <row r="162" spans="2:12">
      <c r="B162" s="1820"/>
      <c r="C162" s="1821"/>
      <c r="D162" s="1821"/>
      <c r="E162" s="1389"/>
      <c r="F162" s="109"/>
      <c r="G162" s="109"/>
      <c r="H162" s="109"/>
      <c r="I162" s="109"/>
      <c r="J162" s="109"/>
      <c r="K162" s="109"/>
      <c r="L162" s="116">
        <f>J162</f>
        <v>0</v>
      </c>
    </row>
    <row r="163" spans="2:12" ht="15" thickBot="1">
      <c r="B163" s="1823"/>
      <c r="C163" s="1824"/>
      <c r="D163" s="1824"/>
      <c r="E163" s="1390"/>
      <c r="F163" s="1387"/>
      <c r="G163" s="1387"/>
      <c r="H163" s="1387"/>
      <c r="I163" s="1387"/>
      <c r="J163" s="1387"/>
      <c r="K163" s="1387"/>
      <c r="L163" s="1388">
        <f>J163</f>
        <v>0</v>
      </c>
    </row>
    <row r="164" spans="2:12" ht="15" thickBot="1"/>
    <row r="165" spans="2:12" ht="15" thickBot="1">
      <c r="B165" s="1835"/>
      <c r="C165" s="1836"/>
      <c r="D165" s="1841" t="s">
        <v>852</v>
      </c>
      <c r="E165" s="1842"/>
      <c r="F165" s="1842"/>
      <c r="G165" s="1842"/>
      <c r="H165" s="1842"/>
      <c r="I165" s="1842"/>
      <c r="J165" s="1842"/>
      <c r="K165" s="1842"/>
      <c r="L165" s="1843"/>
    </row>
    <row r="166" spans="2:12">
      <c r="B166" s="1837"/>
      <c r="C166" s="1838"/>
      <c r="D166" s="1844" t="s">
        <v>853</v>
      </c>
      <c r="E166" s="1846" t="str">
        <f>+[1]PRESUPUESTO!$A$2</f>
        <v>OBJETO: MEJORAMIENTO Y ADECUACIÓN DE LAS VIAS URBANAS DEL MUNICIPIO DE SANTA FE DE ANTIOQUIA</v>
      </c>
      <c r="F166" s="1847"/>
      <c r="G166" s="1847"/>
      <c r="H166" s="1848"/>
      <c r="I166" s="1844" t="s">
        <v>854</v>
      </c>
      <c r="J166" s="1852"/>
      <c r="K166" s="1852"/>
      <c r="L166" s="1852"/>
    </row>
    <row r="167" spans="2:12" ht="15" thickBot="1">
      <c r="B167" s="1837"/>
      <c r="C167" s="1838"/>
      <c r="D167" s="1845"/>
      <c r="E167" s="1849"/>
      <c r="F167" s="1850"/>
      <c r="G167" s="1850"/>
      <c r="H167" s="1851"/>
      <c r="I167" s="1845"/>
      <c r="J167" s="1853"/>
      <c r="K167" s="1853"/>
      <c r="L167" s="1854"/>
    </row>
    <row r="168" spans="2:12">
      <c r="B168" s="1837"/>
      <c r="C168" s="1838"/>
      <c r="D168" s="1855" t="str">
        <f>+[1]PRESUPUESTO!$A$2</f>
        <v>OBJETO: MEJORAMIENTO Y ADECUACIÓN DE LAS VIAS URBANAS DEL MUNICIPIO DE SANTA FE DE ANTIOQUIA</v>
      </c>
      <c r="E168" s="1856"/>
      <c r="F168" s="1856"/>
      <c r="G168" s="1856"/>
      <c r="H168" s="1856"/>
      <c r="I168" s="1856"/>
      <c r="J168" s="1856"/>
      <c r="K168" s="1856"/>
      <c r="L168" s="1857"/>
    </row>
    <row r="169" spans="2:12">
      <c r="B169" s="1837"/>
      <c r="C169" s="1838"/>
      <c r="D169" s="1858"/>
      <c r="E169" s="1859"/>
      <c r="F169" s="1859"/>
      <c r="G169" s="1859"/>
      <c r="H169" s="1859"/>
      <c r="I169" s="1859"/>
      <c r="J169" s="1859"/>
      <c r="K169" s="1859"/>
      <c r="L169" s="1860"/>
    </row>
    <row r="170" spans="2:12">
      <c r="B170" s="1837"/>
      <c r="C170" s="1838"/>
      <c r="D170" s="1858"/>
      <c r="E170" s="1859"/>
      <c r="F170" s="1859"/>
      <c r="G170" s="1859"/>
      <c r="H170" s="1859"/>
      <c r="I170" s="1859"/>
      <c r="J170" s="1859"/>
      <c r="K170" s="1859"/>
      <c r="L170" s="1860"/>
    </row>
    <row r="171" spans="2:12" ht="15" thickBot="1">
      <c r="B171" s="1839"/>
      <c r="C171" s="1840"/>
      <c r="D171" s="1861"/>
      <c r="E171" s="1862"/>
      <c r="F171" s="1862"/>
      <c r="G171" s="1862"/>
      <c r="H171" s="1862"/>
      <c r="I171" s="1862"/>
      <c r="J171" s="1862"/>
      <c r="K171" s="1862"/>
      <c r="L171" s="1863"/>
    </row>
    <row r="172" spans="2:12" ht="48" customHeight="1" thickBot="1">
      <c r="B172" s="327" t="s">
        <v>1</v>
      </c>
      <c r="C172" s="366">
        <v>2.5</v>
      </c>
      <c r="D172" s="327" t="s">
        <v>228</v>
      </c>
      <c r="E172" s="430" t="str">
        <f>+VLOOKUP(C172,[1]PRESUPUESTO!$A$5:$C$30,2,)</f>
        <v>Confomacion de calzada existente despues de cajeo y al final de instalacio estructura pavimento</v>
      </c>
      <c r="F172" s="326" t="s">
        <v>193</v>
      </c>
      <c r="G172" s="1814" t="str">
        <f>+VLOOKUP(C172,[1]PRESUPUESTO!$A$5:$C$30,3,)</f>
        <v>m2</v>
      </c>
      <c r="H172" s="1815" t="e">
        <f>+VLOOKUP(F172,[1]PRESUPUESTO!$A$5:$C$30,2,)</f>
        <v>#N/A</v>
      </c>
      <c r="I172" s="1685" t="s">
        <v>855</v>
      </c>
      <c r="J172" s="1816"/>
      <c r="K172" s="1816"/>
      <c r="L172" s="368">
        <f>SUM(L175:L191)</f>
        <v>508.20000000000005</v>
      </c>
    </row>
    <row r="173" spans="2:12" ht="15" thickBot="1">
      <c r="B173" s="1817"/>
      <c r="C173" s="1818"/>
      <c r="D173" s="1819"/>
      <c r="E173" s="1825" t="s">
        <v>856</v>
      </c>
      <c r="F173" s="1827" t="s">
        <v>857</v>
      </c>
      <c r="G173" s="1828"/>
      <c r="H173" s="1828"/>
      <c r="I173" s="1828"/>
      <c r="J173" s="1829"/>
      <c r="K173" s="1830" t="s">
        <v>858</v>
      </c>
      <c r="L173" s="1832" t="s">
        <v>859</v>
      </c>
    </row>
    <row r="174" spans="2:12" ht="15" thickBot="1">
      <c r="B174" s="1820"/>
      <c r="C174" s="1821"/>
      <c r="D174" s="1822"/>
      <c r="E174" s="1826"/>
      <c r="F174" s="367" t="s">
        <v>865</v>
      </c>
      <c r="G174" s="367" t="s">
        <v>861</v>
      </c>
      <c r="H174" s="367" t="s">
        <v>862</v>
      </c>
      <c r="I174" s="367" t="s">
        <v>863</v>
      </c>
      <c r="J174" s="367" t="s">
        <v>864</v>
      </c>
      <c r="K174" s="1831"/>
      <c r="L174" s="1833"/>
    </row>
    <row r="175" spans="2:12">
      <c r="B175" s="1820"/>
      <c r="C175" s="1821"/>
      <c r="D175" s="1821"/>
      <c r="E175" s="106"/>
      <c r="F175" s="1834"/>
      <c r="G175" s="1834"/>
      <c r="H175" s="1834"/>
      <c r="I175" s="1834"/>
      <c r="J175" s="1834"/>
      <c r="K175" s="1834"/>
      <c r="L175" s="107"/>
    </row>
    <row r="176" spans="2:12">
      <c r="B176" s="1820"/>
      <c r="C176" s="1821"/>
      <c r="D176" s="1821"/>
      <c r="E176" s="108" t="s">
        <v>1757</v>
      </c>
      <c r="F176" s="109">
        <f>+O9</f>
        <v>84.7</v>
      </c>
      <c r="G176" s="109">
        <f>+P9</f>
        <v>6</v>
      </c>
      <c r="H176" s="110"/>
      <c r="I176" s="110"/>
      <c r="J176" s="110"/>
      <c r="K176" s="109">
        <v>1</v>
      </c>
      <c r="L176" s="111">
        <f>+K176*G176*F176</f>
        <v>508.20000000000005</v>
      </c>
    </row>
    <row r="177" spans="2:12">
      <c r="B177" s="1820"/>
      <c r="C177" s="1821"/>
      <c r="D177" s="1821"/>
      <c r="E177" s="108" t="s">
        <v>1739</v>
      </c>
      <c r="F177" s="113">
        <v>0</v>
      </c>
      <c r="G177" s="112"/>
      <c r="H177" s="112"/>
      <c r="I177" s="113"/>
      <c r="J177" s="114"/>
      <c r="K177" s="115"/>
      <c r="L177" s="111">
        <f>F177</f>
        <v>0</v>
      </c>
    </row>
    <row r="178" spans="2:12">
      <c r="B178" s="1820"/>
      <c r="C178" s="1821"/>
      <c r="D178" s="1821"/>
      <c r="E178" s="108" t="s">
        <v>1741</v>
      </c>
      <c r="F178" s="113">
        <f>+O10</f>
        <v>0</v>
      </c>
      <c r="G178" s="112">
        <f>+P10</f>
        <v>0.5</v>
      </c>
      <c r="H178" s="112"/>
      <c r="I178" s="113"/>
      <c r="J178" s="114"/>
      <c r="K178" s="115"/>
      <c r="L178" s="111">
        <f t="shared" ref="L178:L188" si="6">F178</f>
        <v>0</v>
      </c>
    </row>
    <row r="179" spans="2:12">
      <c r="B179" s="1820"/>
      <c r="C179" s="1821"/>
      <c r="D179" s="1821"/>
      <c r="E179" s="108"/>
      <c r="F179" s="113"/>
      <c r="G179" s="112"/>
      <c r="H179" s="112"/>
      <c r="I179" s="113"/>
      <c r="J179" s="114"/>
      <c r="K179" s="115"/>
      <c r="L179" s="111">
        <f t="shared" si="6"/>
        <v>0</v>
      </c>
    </row>
    <row r="180" spans="2:12">
      <c r="B180" s="1820"/>
      <c r="C180" s="1821"/>
      <c r="D180" s="1821"/>
      <c r="E180" s="108"/>
      <c r="F180" s="113"/>
      <c r="G180" s="112"/>
      <c r="H180" s="112"/>
      <c r="I180" s="113"/>
      <c r="J180" s="114"/>
      <c r="K180" s="115"/>
      <c r="L180" s="111">
        <f t="shared" si="6"/>
        <v>0</v>
      </c>
    </row>
    <row r="181" spans="2:12">
      <c r="B181" s="1820"/>
      <c r="C181" s="1821"/>
      <c r="D181" s="1821"/>
      <c r="E181" s="108"/>
      <c r="F181" s="113"/>
      <c r="G181" s="112"/>
      <c r="H181" s="112"/>
      <c r="I181" s="113"/>
      <c r="J181" s="114"/>
      <c r="K181" s="115"/>
      <c r="L181" s="111">
        <f>F181</f>
        <v>0</v>
      </c>
    </row>
    <row r="182" spans="2:12">
      <c r="B182" s="1820"/>
      <c r="C182" s="1821"/>
      <c r="D182" s="1821"/>
      <c r="E182" s="108"/>
      <c r="F182" s="113"/>
      <c r="G182" s="112"/>
      <c r="H182" s="112"/>
      <c r="I182" s="113"/>
      <c r="J182" s="114"/>
      <c r="K182" s="115"/>
      <c r="L182" s="111">
        <f>F182</f>
        <v>0</v>
      </c>
    </row>
    <row r="183" spans="2:12">
      <c r="B183" s="1820"/>
      <c r="C183" s="1821"/>
      <c r="D183" s="1821"/>
      <c r="E183" s="108"/>
      <c r="F183" s="113"/>
      <c r="G183" s="112"/>
      <c r="H183" s="112"/>
      <c r="I183" s="113"/>
      <c r="J183" s="114"/>
      <c r="K183" s="115"/>
      <c r="L183" s="111">
        <f>F183</f>
        <v>0</v>
      </c>
    </row>
    <row r="184" spans="2:12">
      <c r="B184" s="1820"/>
      <c r="C184" s="1821"/>
      <c r="D184" s="1821"/>
      <c r="E184" s="117"/>
      <c r="F184" s="113"/>
      <c r="G184" s="112"/>
      <c r="H184" s="112"/>
      <c r="I184" s="113"/>
      <c r="J184" s="114"/>
      <c r="K184" s="112"/>
      <c r="L184" s="111">
        <f t="shared" si="6"/>
        <v>0</v>
      </c>
    </row>
    <row r="185" spans="2:12">
      <c r="B185" s="1820"/>
      <c r="C185" s="1821"/>
      <c r="D185" s="1821"/>
      <c r="E185" s="108"/>
      <c r="F185" s="109"/>
      <c r="G185" s="115"/>
      <c r="H185" s="115"/>
      <c r="I185" s="115"/>
      <c r="J185" s="118"/>
      <c r="K185" s="115"/>
      <c r="L185" s="111">
        <f t="shared" si="6"/>
        <v>0</v>
      </c>
    </row>
    <row r="186" spans="2:12">
      <c r="B186" s="1820"/>
      <c r="C186" s="1821"/>
      <c r="D186" s="1821"/>
      <c r="E186" s="117"/>
      <c r="F186" s="113"/>
      <c r="G186" s="112"/>
      <c r="H186" s="112"/>
      <c r="I186" s="112"/>
      <c r="J186" s="114"/>
      <c r="K186" s="112"/>
      <c r="L186" s="111">
        <f t="shared" si="6"/>
        <v>0</v>
      </c>
    </row>
    <row r="187" spans="2:12">
      <c r="B187" s="1820"/>
      <c r="C187" s="1821"/>
      <c r="D187" s="1821"/>
      <c r="E187" s="117"/>
      <c r="F187" s="113"/>
      <c r="G187" s="112"/>
      <c r="H187" s="112"/>
      <c r="I187" s="112"/>
      <c r="J187" s="114"/>
      <c r="K187" s="112"/>
      <c r="L187" s="111">
        <f t="shared" si="6"/>
        <v>0</v>
      </c>
    </row>
    <row r="188" spans="2:12">
      <c r="B188" s="1820"/>
      <c r="C188" s="1821"/>
      <c r="D188" s="1821"/>
      <c r="E188" s="117"/>
      <c r="F188" s="113"/>
      <c r="G188" s="112"/>
      <c r="H188" s="112"/>
      <c r="I188" s="112"/>
      <c r="J188" s="114"/>
      <c r="K188" s="112"/>
      <c r="L188" s="111">
        <f t="shared" si="6"/>
        <v>0</v>
      </c>
    </row>
    <row r="189" spans="2:12">
      <c r="B189" s="1820"/>
      <c r="C189" s="1821"/>
      <c r="D189" s="1821"/>
      <c r="E189" s="108"/>
      <c r="F189" s="115"/>
      <c r="G189" s="115"/>
      <c r="H189" s="115"/>
      <c r="I189" s="115"/>
      <c r="J189" s="120"/>
      <c r="K189" s="115"/>
      <c r="L189" s="119"/>
    </row>
    <row r="190" spans="2:12">
      <c r="B190" s="1820"/>
      <c r="C190" s="1821"/>
      <c r="D190" s="1821"/>
      <c r="E190" s="108"/>
      <c r="F190" s="115"/>
      <c r="G190" s="115"/>
      <c r="H190" s="115"/>
      <c r="I190" s="115"/>
      <c r="J190" s="115"/>
      <c r="K190" s="115"/>
      <c r="L190" s="119"/>
    </row>
    <row r="191" spans="2:12" ht="15" thickBot="1">
      <c r="B191" s="1823"/>
      <c r="C191" s="1824"/>
      <c r="D191" s="1824"/>
      <c r="E191" s="121"/>
      <c r="F191" s="122"/>
      <c r="G191" s="122"/>
      <c r="H191" s="122"/>
      <c r="I191" s="122"/>
      <c r="J191" s="123"/>
      <c r="K191" s="122"/>
      <c r="L191" s="124"/>
    </row>
    <row r="192" spans="2:12" ht="15" thickBot="1"/>
    <row r="193" spans="2:12" ht="15" thickBot="1">
      <c r="B193" s="1835"/>
      <c r="C193" s="1836"/>
      <c r="D193" s="1841" t="s">
        <v>852</v>
      </c>
      <c r="E193" s="1842"/>
      <c r="F193" s="1842"/>
      <c r="G193" s="1842"/>
      <c r="H193" s="1842"/>
      <c r="I193" s="1842"/>
      <c r="J193" s="1842"/>
      <c r="K193" s="1842"/>
      <c r="L193" s="1843"/>
    </row>
    <row r="194" spans="2:12">
      <c r="B194" s="1837"/>
      <c r="C194" s="1838"/>
      <c r="D194" s="1844" t="s">
        <v>853</v>
      </c>
      <c r="E194" s="1846" t="str">
        <f>+[1]PRESUPUESTO!$A$2</f>
        <v>OBJETO: MEJORAMIENTO Y ADECUACIÓN DE LAS VIAS URBANAS DEL MUNICIPIO DE SANTA FE DE ANTIOQUIA</v>
      </c>
      <c r="F194" s="1847"/>
      <c r="G194" s="1847"/>
      <c r="H194" s="1848"/>
      <c r="I194" s="1844" t="s">
        <v>854</v>
      </c>
      <c r="J194" s="1852"/>
      <c r="K194" s="1852"/>
      <c r="L194" s="1852"/>
    </row>
    <row r="195" spans="2:12" ht="15" thickBot="1">
      <c r="B195" s="1837"/>
      <c r="C195" s="1838"/>
      <c r="D195" s="1845"/>
      <c r="E195" s="1849"/>
      <c r="F195" s="1850"/>
      <c r="G195" s="1850"/>
      <c r="H195" s="1851"/>
      <c r="I195" s="1845"/>
      <c r="J195" s="1853"/>
      <c r="K195" s="1853"/>
      <c r="L195" s="1854"/>
    </row>
    <row r="196" spans="2:12">
      <c r="B196" s="1837"/>
      <c r="C196" s="1838"/>
      <c r="D196" s="1855" t="str">
        <f>+[1]PRESUPUESTO!$A$2</f>
        <v>OBJETO: MEJORAMIENTO Y ADECUACIÓN DE LAS VIAS URBANAS DEL MUNICIPIO DE SANTA FE DE ANTIOQUIA</v>
      </c>
      <c r="E196" s="1856"/>
      <c r="F196" s="1856"/>
      <c r="G196" s="1856"/>
      <c r="H196" s="1856"/>
      <c r="I196" s="1856"/>
      <c r="J196" s="1856"/>
      <c r="K196" s="1856"/>
      <c r="L196" s="1857"/>
    </row>
    <row r="197" spans="2:12">
      <c r="B197" s="1837"/>
      <c r="C197" s="1838"/>
      <c r="D197" s="1858"/>
      <c r="E197" s="1859"/>
      <c r="F197" s="1859"/>
      <c r="G197" s="1859"/>
      <c r="H197" s="1859"/>
      <c r="I197" s="1859"/>
      <c r="J197" s="1859"/>
      <c r="K197" s="1859"/>
      <c r="L197" s="1860"/>
    </row>
    <row r="198" spans="2:12">
      <c r="B198" s="1837"/>
      <c r="C198" s="1838"/>
      <c r="D198" s="1858"/>
      <c r="E198" s="1859"/>
      <c r="F198" s="1859"/>
      <c r="G198" s="1859"/>
      <c r="H198" s="1859"/>
      <c r="I198" s="1859"/>
      <c r="J198" s="1859"/>
      <c r="K198" s="1859"/>
      <c r="L198" s="1860"/>
    </row>
    <row r="199" spans="2:12" ht="15" thickBot="1">
      <c r="B199" s="1839"/>
      <c r="C199" s="1840"/>
      <c r="D199" s="1861"/>
      <c r="E199" s="1862"/>
      <c r="F199" s="1862"/>
      <c r="G199" s="1862"/>
      <c r="H199" s="1862"/>
      <c r="I199" s="1862"/>
      <c r="J199" s="1862"/>
      <c r="K199" s="1862"/>
      <c r="L199" s="1863"/>
    </row>
    <row r="200" spans="2:12" ht="69.75" customHeight="1" thickBot="1">
      <c r="B200" s="327" t="s">
        <v>1</v>
      </c>
      <c r="C200" s="366">
        <v>2.6</v>
      </c>
      <c r="D200" s="327" t="s">
        <v>228</v>
      </c>
      <c r="E200" s="430" t="str">
        <f>+VLOOKUP(C200,[1]PRESUPUESTO!$A$5:$C$30,2,)</f>
        <v xml:space="preserve">Suministro, transporte y colocación de subbase granular de máximo Ø 2 1/2", reacomodado con medios mecánicos y compactado al 98% mínimo del ensayo del proctor modificado, según normas INVIAS para la construcción de pavimentos </v>
      </c>
      <c r="F200" s="326" t="s">
        <v>193</v>
      </c>
      <c r="G200" s="1814" t="str">
        <f>+VLOOKUP(C200,[1]PRESUPUESTO!$A$5:$C$30,3,)</f>
        <v>m³</v>
      </c>
      <c r="H200" s="1815" t="e">
        <f>+VLOOKUP(F200,[1]PRESUPUESTO!$A$5:$C$30,2,)</f>
        <v>#N/A</v>
      </c>
      <c r="I200" s="1685" t="s">
        <v>855</v>
      </c>
      <c r="J200" s="1816"/>
      <c r="K200" s="1816"/>
      <c r="L200" s="368">
        <f>SUM(L203:L219)</f>
        <v>0</v>
      </c>
    </row>
    <row r="201" spans="2:12" ht="15" thickBot="1">
      <c r="B201" s="1817"/>
      <c r="C201" s="1818"/>
      <c r="D201" s="1819"/>
      <c r="E201" s="1825" t="s">
        <v>856</v>
      </c>
      <c r="F201" s="1827" t="s">
        <v>857</v>
      </c>
      <c r="G201" s="1828"/>
      <c r="H201" s="1828"/>
      <c r="I201" s="1828"/>
      <c r="J201" s="1829"/>
      <c r="K201" s="1830" t="s">
        <v>858</v>
      </c>
      <c r="L201" s="1832" t="s">
        <v>859</v>
      </c>
    </row>
    <row r="202" spans="2:12" ht="15" thickBot="1">
      <c r="B202" s="1820"/>
      <c r="C202" s="1821"/>
      <c r="D202" s="1822"/>
      <c r="E202" s="1826"/>
      <c r="F202" s="367" t="s">
        <v>865</v>
      </c>
      <c r="G202" s="367" t="s">
        <v>861</v>
      </c>
      <c r="H202" s="367" t="s">
        <v>862</v>
      </c>
      <c r="I202" s="367" t="s">
        <v>863</v>
      </c>
      <c r="J202" s="367" t="s">
        <v>864</v>
      </c>
      <c r="K202" s="1831"/>
      <c r="L202" s="1833"/>
    </row>
    <row r="203" spans="2:12">
      <c r="B203" s="1820"/>
      <c r="C203" s="1821"/>
      <c r="D203" s="1821"/>
      <c r="E203" s="106"/>
      <c r="F203" s="1834"/>
      <c r="G203" s="1834"/>
      <c r="H203" s="1834"/>
      <c r="I203" s="1834"/>
      <c r="J203" s="1834"/>
      <c r="K203" s="1834"/>
      <c r="L203" s="107"/>
    </row>
    <row r="204" spans="2:12">
      <c r="B204" s="1820"/>
      <c r="C204" s="1821"/>
      <c r="D204" s="1821"/>
      <c r="E204" s="108" t="s">
        <v>1757</v>
      </c>
      <c r="F204" s="113">
        <v>0</v>
      </c>
      <c r="G204" s="112"/>
      <c r="H204" s="112"/>
      <c r="I204" s="1029">
        <v>0.2</v>
      </c>
      <c r="J204" s="1029">
        <f t="shared" ref="J204" si="7">F204*I204</f>
        <v>0</v>
      </c>
      <c r="K204" s="109"/>
      <c r="L204" s="111">
        <f>J204</f>
        <v>0</v>
      </c>
    </row>
    <row r="205" spans="2:12">
      <c r="B205" s="1820"/>
      <c r="C205" s="1821"/>
      <c r="D205" s="1821"/>
      <c r="E205" s="108" t="s">
        <v>1756</v>
      </c>
      <c r="F205" s="113">
        <v>0</v>
      </c>
      <c r="G205" s="112"/>
      <c r="H205" s="112">
        <v>1</v>
      </c>
      <c r="I205" s="1029"/>
      <c r="J205" s="1029">
        <f>F205*H205</f>
        <v>0</v>
      </c>
      <c r="K205" s="115"/>
      <c r="L205" s="111">
        <f t="shared" ref="L205:L215" si="8">J205</f>
        <v>0</v>
      </c>
    </row>
    <row r="206" spans="2:12">
      <c r="B206" s="1820"/>
      <c r="C206" s="1821"/>
      <c r="D206" s="1821"/>
      <c r="E206" s="108"/>
      <c r="F206" s="113"/>
      <c r="G206" s="112"/>
      <c r="H206" s="112"/>
      <c r="I206" s="1029"/>
      <c r="J206" s="1029"/>
      <c r="K206" s="115"/>
      <c r="L206" s="111">
        <f t="shared" si="8"/>
        <v>0</v>
      </c>
    </row>
    <row r="207" spans="2:12">
      <c r="B207" s="1820"/>
      <c r="C207" s="1821"/>
      <c r="D207" s="1821"/>
      <c r="E207" s="108"/>
      <c r="F207" s="113"/>
      <c r="G207" s="112"/>
      <c r="H207" s="112"/>
      <c r="I207" s="1029"/>
      <c r="J207" s="1029"/>
      <c r="K207" s="115"/>
      <c r="L207" s="111">
        <f t="shared" si="8"/>
        <v>0</v>
      </c>
    </row>
    <row r="208" spans="2:12">
      <c r="B208" s="1820"/>
      <c r="C208" s="1821"/>
      <c r="D208" s="1821"/>
      <c r="E208" s="108"/>
      <c r="F208" s="113"/>
      <c r="G208" s="112"/>
      <c r="H208" s="112"/>
      <c r="I208" s="1029"/>
      <c r="J208" s="1029"/>
      <c r="K208" s="115"/>
      <c r="L208" s="111">
        <f t="shared" si="8"/>
        <v>0</v>
      </c>
    </row>
    <row r="209" spans="2:12">
      <c r="B209" s="1820"/>
      <c r="C209" s="1821"/>
      <c r="D209" s="1821"/>
      <c r="E209" s="108"/>
      <c r="F209" s="113"/>
      <c r="G209" s="112"/>
      <c r="H209" s="112"/>
      <c r="I209" s="1029"/>
      <c r="J209" s="1029"/>
      <c r="K209" s="115"/>
      <c r="L209" s="111">
        <f t="shared" si="8"/>
        <v>0</v>
      </c>
    </row>
    <row r="210" spans="2:12">
      <c r="B210" s="1820"/>
      <c r="C210" s="1821"/>
      <c r="D210" s="1821"/>
      <c r="E210" s="108"/>
      <c r="F210" s="113"/>
      <c r="G210" s="112"/>
      <c r="H210" s="112"/>
      <c r="I210" s="1029"/>
      <c r="J210" s="1029"/>
      <c r="K210" s="115"/>
      <c r="L210" s="111">
        <f t="shared" si="8"/>
        <v>0</v>
      </c>
    </row>
    <row r="211" spans="2:12">
      <c r="B211" s="1820"/>
      <c r="C211" s="1821"/>
      <c r="D211" s="1821"/>
      <c r="E211" s="108"/>
      <c r="F211" s="113"/>
      <c r="G211" s="112"/>
      <c r="H211" s="112"/>
      <c r="I211" s="1029"/>
      <c r="J211" s="1029"/>
      <c r="K211" s="115"/>
      <c r="L211" s="111">
        <f t="shared" si="8"/>
        <v>0</v>
      </c>
    </row>
    <row r="212" spans="2:12">
      <c r="B212" s="1820"/>
      <c r="C212" s="1821"/>
      <c r="D212" s="1821"/>
      <c r="E212" s="117"/>
      <c r="F212" s="113"/>
      <c r="G212" s="112"/>
      <c r="H212" s="112"/>
      <c r="I212" s="1029"/>
      <c r="J212" s="1029"/>
      <c r="K212" s="112"/>
      <c r="L212" s="111">
        <f t="shared" si="8"/>
        <v>0</v>
      </c>
    </row>
    <row r="213" spans="2:12">
      <c r="B213" s="1820"/>
      <c r="C213" s="1821"/>
      <c r="D213" s="1821"/>
      <c r="E213" s="108"/>
      <c r="F213" s="109"/>
      <c r="G213" s="115"/>
      <c r="H213" s="115"/>
      <c r="I213" s="1029"/>
      <c r="J213" s="1029"/>
      <c r="K213" s="115"/>
      <c r="L213" s="111">
        <f t="shared" si="8"/>
        <v>0</v>
      </c>
    </row>
    <row r="214" spans="2:12">
      <c r="B214" s="1820"/>
      <c r="C214" s="1821"/>
      <c r="D214" s="1821"/>
      <c r="E214" s="117"/>
      <c r="F214" s="113"/>
      <c r="G214" s="112"/>
      <c r="H214" s="112"/>
      <c r="I214" s="1029"/>
      <c r="J214" s="1029"/>
      <c r="K214" s="112"/>
      <c r="L214" s="111">
        <f t="shared" si="8"/>
        <v>0</v>
      </c>
    </row>
    <row r="215" spans="2:12">
      <c r="B215" s="1820"/>
      <c r="C215" s="1821"/>
      <c r="D215" s="1821"/>
      <c r="E215" s="117"/>
      <c r="F215" s="113"/>
      <c r="G215" s="112"/>
      <c r="H215" s="112"/>
      <c r="I215" s="1029"/>
      <c r="J215" s="1029"/>
      <c r="K215" s="112"/>
      <c r="L215" s="111">
        <f t="shared" si="8"/>
        <v>0</v>
      </c>
    </row>
    <row r="216" spans="2:12">
      <c r="B216" s="1820"/>
      <c r="C216" s="1821"/>
      <c r="D216" s="1821"/>
      <c r="E216" s="117"/>
      <c r="F216" s="113"/>
      <c r="G216" s="112"/>
      <c r="H216" s="112"/>
      <c r="I216" s="1029"/>
      <c r="J216" s="1029"/>
      <c r="K216" s="112"/>
      <c r="L216" s="111">
        <f t="shared" ref="L216" si="9">J216</f>
        <v>0</v>
      </c>
    </row>
    <row r="217" spans="2:12">
      <c r="B217" s="1820"/>
      <c r="C217" s="1821"/>
      <c r="D217" s="1821"/>
      <c r="E217" s="108"/>
      <c r="F217" s="115"/>
      <c r="G217" s="115"/>
      <c r="H217" s="115"/>
      <c r="I217" s="115"/>
      <c r="J217" s="120"/>
      <c r="K217" s="115"/>
      <c r="L217" s="119"/>
    </row>
    <row r="218" spans="2:12">
      <c r="B218" s="1820"/>
      <c r="C218" s="1821"/>
      <c r="D218" s="1821"/>
      <c r="E218" s="108"/>
      <c r="F218" s="115"/>
      <c r="G218" s="115"/>
      <c r="H218" s="115"/>
      <c r="I218" s="115"/>
      <c r="J218" s="115"/>
      <c r="K218" s="115"/>
      <c r="L218" s="119"/>
    </row>
    <row r="219" spans="2:12" ht="15" thickBot="1">
      <c r="B219" s="1823"/>
      <c r="C219" s="1824"/>
      <c r="D219" s="1824"/>
      <c r="E219" s="121"/>
      <c r="F219" s="122"/>
      <c r="G219" s="122"/>
      <c r="H219" s="122"/>
      <c r="I219" s="122"/>
      <c r="J219" s="123"/>
      <c r="K219" s="122"/>
      <c r="L219" s="124"/>
    </row>
    <row r="220" spans="2:12" ht="15" thickBot="1"/>
    <row r="221" spans="2:12" ht="15" thickBot="1">
      <c r="B221" s="1835"/>
      <c r="C221" s="1836"/>
      <c r="D221" s="1841" t="s">
        <v>852</v>
      </c>
      <c r="E221" s="1842"/>
      <c r="F221" s="1842"/>
      <c r="G221" s="1842"/>
      <c r="H221" s="1842"/>
      <c r="I221" s="1842"/>
      <c r="J221" s="1842"/>
      <c r="K221" s="1842"/>
      <c r="L221" s="1843"/>
    </row>
    <row r="222" spans="2:12">
      <c r="B222" s="1837"/>
      <c r="C222" s="1838"/>
      <c r="D222" s="1844" t="s">
        <v>853</v>
      </c>
      <c r="E222" s="1846" t="str">
        <f>+[1]PRESUPUESTO!$A$2</f>
        <v>OBJETO: MEJORAMIENTO Y ADECUACIÓN DE LAS VIAS URBANAS DEL MUNICIPIO DE SANTA FE DE ANTIOQUIA</v>
      </c>
      <c r="F222" s="1847"/>
      <c r="G222" s="1847"/>
      <c r="H222" s="1848"/>
      <c r="I222" s="1844" t="s">
        <v>854</v>
      </c>
      <c r="J222" s="1852"/>
      <c r="K222" s="1852"/>
      <c r="L222" s="1852"/>
    </row>
    <row r="223" spans="2:12" ht="15" thickBot="1">
      <c r="B223" s="1837"/>
      <c r="C223" s="1838"/>
      <c r="D223" s="1845"/>
      <c r="E223" s="1849"/>
      <c r="F223" s="1850"/>
      <c r="G223" s="1850"/>
      <c r="H223" s="1851"/>
      <c r="I223" s="1845"/>
      <c r="J223" s="1853"/>
      <c r="K223" s="1853"/>
      <c r="L223" s="1854"/>
    </row>
    <row r="224" spans="2:12">
      <c r="B224" s="1837"/>
      <c r="C224" s="1838"/>
      <c r="D224" s="1855" t="str">
        <f>+[1]PRESUPUESTO!$A$2</f>
        <v>OBJETO: MEJORAMIENTO Y ADECUACIÓN DE LAS VIAS URBANAS DEL MUNICIPIO DE SANTA FE DE ANTIOQUIA</v>
      </c>
      <c r="E224" s="1856"/>
      <c r="F224" s="1856"/>
      <c r="G224" s="1856"/>
      <c r="H224" s="1856"/>
      <c r="I224" s="1856"/>
      <c r="J224" s="1856"/>
      <c r="K224" s="1856"/>
      <c r="L224" s="1857"/>
    </row>
    <row r="225" spans="2:12">
      <c r="B225" s="1837"/>
      <c r="C225" s="1838"/>
      <c r="D225" s="1858"/>
      <c r="E225" s="1859"/>
      <c r="F225" s="1859"/>
      <c r="G225" s="1859"/>
      <c r="H225" s="1859"/>
      <c r="I225" s="1859"/>
      <c r="J225" s="1859"/>
      <c r="K225" s="1859"/>
      <c r="L225" s="1860"/>
    </row>
    <row r="226" spans="2:12">
      <c r="B226" s="1837"/>
      <c r="C226" s="1838"/>
      <c r="D226" s="1858"/>
      <c r="E226" s="1859"/>
      <c r="F226" s="1859"/>
      <c r="G226" s="1859"/>
      <c r="H226" s="1859"/>
      <c r="I226" s="1859"/>
      <c r="J226" s="1859"/>
      <c r="K226" s="1859"/>
      <c r="L226" s="1860"/>
    </row>
    <row r="227" spans="2:12" ht="15" thickBot="1">
      <c r="B227" s="1839"/>
      <c r="C227" s="1840"/>
      <c r="D227" s="1861"/>
      <c r="E227" s="1862"/>
      <c r="F227" s="1862"/>
      <c r="G227" s="1862"/>
      <c r="H227" s="1862"/>
      <c r="I227" s="1862"/>
      <c r="J227" s="1862"/>
      <c r="K227" s="1862"/>
      <c r="L227" s="1863"/>
    </row>
    <row r="228" spans="2:12" ht="98.25" customHeight="1" thickBot="1">
      <c r="B228" s="327" t="s">
        <v>1</v>
      </c>
      <c r="C228" s="366">
        <v>2.7</v>
      </c>
      <c r="D228" s="327" t="s">
        <v>228</v>
      </c>
      <c r="E228" s="430" t="str">
        <f>+VLOOKUP(C228,[1]PRESUPUESTO!$A$5:$C$30,2,)</f>
        <v>Suministro, transporte y colocación de base granular de máximo Ø 1½", reacomodado con medios mecánicos y compactado al  100% mínimo del ensayo del proctor modificado, según normas para la construcción de pavimentos, y todo lo necesario para su correcta construcción y funcionamiento Su medida sera tomada en sitio ya compactado, debe cumplir con los requisitos de invias 301</v>
      </c>
      <c r="F228" s="326" t="s">
        <v>193</v>
      </c>
      <c r="G228" s="1814" t="str">
        <f>+VLOOKUP(C228,[1]PRESUPUESTO!$A$5:$C$30,3,)</f>
        <v>m³</v>
      </c>
      <c r="H228" s="1815" t="e">
        <f>+VLOOKUP(F228,[1]PRESUPUESTO!$A$5:$C$30,2,)</f>
        <v>#N/A</v>
      </c>
      <c r="I228" s="1685" t="s">
        <v>855</v>
      </c>
      <c r="J228" s="1816"/>
      <c r="K228" s="1816"/>
      <c r="L228" s="368">
        <f>SUM(L231:L247)</f>
        <v>119.42700000000002</v>
      </c>
    </row>
    <row r="229" spans="2:12" ht="15" thickBot="1">
      <c r="B229" s="1817"/>
      <c r="C229" s="1818"/>
      <c r="D229" s="1819"/>
      <c r="E229" s="1825" t="s">
        <v>856</v>
      </c>
      <c r="F229" s="1827" t="s">
        <v>857</v>
      </c>
      <c r="G229" s="1828"/>
      <c r="H229" s="1828"/>
      <c r="I229" s="1828"/>
      <c r="J229" s="1829"/>
      <c r="K229" s="1830" t="s">
        <v>858</v>
      </c>
      <c r="L229" s="1832" t="s">
        <v>859</v>
      </c>
    </row>
    <row r="230" spans="2:12" ht="15" thickBot="1">
      <c r="B230" s="1820"/>
      <c r="C230" s="1821"/>
      <c r="D230" s="1822"/>
      <c r="E230" s="1826"/>
      <c r="F230" s="367" t="s">
        <v>865</v>
      </c>
      <c r="G230" s="367" t="s">
        <v>861</v>
      </c>
      <c r="H230" s="367" t="s">
        <v>862</v>
      </c>
      <c r="I230" s="367" t="s">
        <v>863</v>
      </c>
      <c r="J230" s="367" t="s">
        <v>864</v>
      </c>
      <c r="K230" s="1831"/>
      <c r="L230" s="1833"/>
    </row>
    <row r="231" spans="2:12">
      <c r="B231" s="1820"/>
      <c r="C231" s="1821"/>
      <c r="D231" s="1821"/>
      <c r="E231" s="106"/>
      <c r="F231" s="1834"/>
      <c r="G231" s="1834"/>
      <c r="H231" s="1834"/>
      <c r="I231" s="1834"/>
      <c r="J231" s="1834"/>
      <c r="K231" s="1834"/>
      <c r="L231" s="107"/>
    </row>
    <row r="232" spans="2:12">
      <c r="B232" s="1820"/>
      <c r="C232" s="1821"/>
      <c r="D232" s="1821"/>
      <c r="E232" s="108" t="s">
        <v>1771</v>
      </c>
      <c r="F232" s="113">
        <f>+Q9</f>
        <v>508.20000000000005</v>
      </c>
      <c r="G232" s="112"/>
      <c r="H232" s="112"/>
      <c r="I232" s="1029">
        <v>0.2</v>
      </c>
      <c r="J232" s="1029">
        <f t="shared" ref="J232:J235" si="10">F232*I232</f>
        <v>101.64000000000001</v>
      </c>
      <c r="K232" s="109"/>
      <c r="L232" s="111">
        <f>J232</f>
        <v>101.64000000000001</v>
      </c>
    </row>
    <row r="233" spans="2:12">
      <c r="B233" s="1820"/>
      <c r="C233" s="1821"/>
      <c r="D233" s="1821"/>
      <c r="E233" s="108" t="s">
        <v>1739</v>
      </c>
      <c r="F233" s="113">
        <f>+Q12</f>
        <v>118.58</v>
      </c>
      <c r="G233" s="112"/>
      <c r="H233" s="112"/>
      <c r="I233" s="1029">
        <v>0.15</v>
      </c>
      <c r="J233" s="1029">
        <f t="shared" si="10"/>
        <v>17.786999999999999</v>
      </c>
      <c r="K233" s="115"/>
      <c r="L233" s="111">
        <f t="shared" ref="L233:L243" si="11">J233</f>
        <v>17.786999999999999</v>
      </c>
    </row>
    <row r="234" spans="2:12">
      <c r="B234" s="1820"/>
      <c r="C234" s="1821"/>
      <c r="D234" s="1821"/>
      <c r="E234" s="108" t="s">
        <v>1741</v>
      </c>
      <c r="F234" s="113">
        <f>+Q10</f>
        <v>0</v>
      </c>
      <c r="G234" s="112"/>
      <c r="H234" s="112"/>
      <c r="I234" s="1029">
        <v>0.2</v>
      </c>
      <c r="J234" s="1029">
        <f t="shared" si="10"/>
        <v>0</v>
      </c>
      <c r="K234" s="115">
        <v>1</v>
      </c>
      <c r="L234" s="111">
        <f>J234*K234</f>
        <v>0</v>
      </c>
    </row>
    <row r="235" spans="2:12">
      <c r="B235" s="1820"/>
      <c r="C235" s="1821"/>
      <c r="D235" s="1821"/>
      <c r="E235" s="108"/>
      <c r="F235" s="113"/>
      <c r="G235" s="112"/>
      <c r="H235" s="112"/>
      <c r="I235" s="1029"/>
      <c r="J235" s="1029">
        <f t="shared" si="10"/>
        <v>0</v>
      </c>
      <c r="K235" s="115"/>
      <c r="L235" s="111">
        <f t="shared" si="11"/>
        <v>0</v>
      </c>
    </row>
    <row r="236" spans="2:12">
      <c r="B236" s="1820"/>
      <c r="C236" s="1821"/>
      <c r="D236" s="1821"/>
      <c r="E236" s="108"/>
      <c r="F236" s="113"/>
      <c r="G236" s="112"/>
      <c r="H236" s="112"/>
      <c r="I236" s="1029"/>
      <c r="J236" s="1029"/>
      <c r="K236" s="115"/>
      <c r="L236" s="111">
        <f t="shared" si="11"/>
        <v>0</v>
      </c>
    </row>
    <row r="237" spans="2:12">
      <c r="B237" s="1820"/>
      <c r="C237" s="1821"/>
      <c r="D237" s="1821"/>
      <c r="E237" s="108"/>
      <c r="F237" s="113"/>
      <c r="G237" s="112"/>
      <c r="H237" s="112"/>
      <c r="I237" s="1029"/>
      <c r="J237" s="1029"/>
      <c r="K237" s="115"/>
      <c r="L237" s="111">
        <f t="shared" si="11"/>
        <v>0</v>
      </c>
    </row>
    <row r="238" spans="2:12">
      <c r="B238" s="1820"/>
      <c r="C238" s="1821"/>
      <c r="D238" s="1821"/>
      <c r="E238" s="108"/>
      <c r="F238" s="113"/>
      <c r="G238" s="112"/>
      <c r="H238" s="112"/>
      <c r="I238" s="1029"/>
      <c r="J238" s="1029"/>
      <c r="K238" s="115"/>
      <c r="L238" s="111">
        <f t="shared" si="11"/>
        <v>0</v>
      </c>
    </row>
    <row r="239" spans="2:12">
      <c r="B239" s="1820"/>
      <c r="C239" s="1821"/>
      <c r="D239" s="1821"/>
      <c r="E239" s="108"/>
      <c r="F239" s="113"/>
      <c r="G239" s="112"/>
      <c r="H239" s="112"/>
      <c r="I239" s="1029"/>
      <c r="J239" s="1029"/>
      <c r="K239" s="115"/>
      <c r="L239" s="111">
        <f t="shared" si="11"/>
        <v>0</v>
      </c>
    </row>
    <row r="240" spans="2:12">
      <c r="B240" s="1820"/>
      <c r="C240" s="1821"/>
      <c r="D240" s="1821"/>
      <c r="E240" s="117"/>
      <c r="F240" s="113"/>
      <c r="G240" s="112"/>
      <c r="H240" s="112"/>
      <c r="I240" s="1029"/>
      <c r="J240" s="1029"/>
      <c r="K240" s="112"/>
      <c r="L240" s="111">
        <f t="shared" si="11"/>
        <v>0</v>
      </c>
    </row>
    <row r="241" spans="2:12">
      <c r="B241" s="1820"/>
      <c r="C241" s="1821"/>
      <c r="D241" s="1821"/>
      <c r="E241" s="108"/>
      <c r="F241" s="109"/>
      <c r="G241" s="115"/>
      <c r="H241" s="115"/>
      <c r="I241" s="1029"/>
      <c r="J241" s="1029"/>
      <c r="K241" s="115"/>
      <c r="L241" s="111">
        <f t="shared" si="11"/>
        <v>0</v>
      </c>
    </row>
    <row r="242" spans="2:12">
      <c r="B242" s="1820"/>
      <c r="C242" s="1821"/>
      <c r="D242" s="1821"/>
      <c r="E242" s="117"/>
      <c r="F242" s="113"/>
      <c r="G242" s="112"/>
      <c r="H242" s="112"/>
      <c r="I242" s="1029"/>
      <c r="J242" s="1029"/>
      <c r="K242" s="112"/>
      <c r="L242" s="111">
        <f t="shared" si="11"/>
        <v>0</v>
      </c>
    </row>
    <row r="243" spans="2:12">
      <c r="B243" s="1820"/>
      <c r="C243" s="1821"/>
      <c r="D243" s="1821"/>
      <c r="E243" s="117"/>
      <c r="F243" s="113"/>
      <c r="G243" s="112"/>
      <c r="H243" s="112"/>
      <c r="I243" s="1029"/>
      <c r="J243" s="1029"/>
      <c r="K243" s="112"/>
      <c r="L243" s="111">
        <f t="shared" si="11"/>
        <v>0</v>
      </c>
    </row>
    <row r="244" spans="2:12">
      <c r="B244" s="1820"/>
      <c r="C244" s="1821"/>
      <c r="D244" s="1821"/>
      <c r="E244" s="117"/>
      <c r="F244" s="113"/>
      <c r="G244" s="112"/>
      <c r="H244" s="112"/>
      <c r="I244" s="1029"/>
      <c r="J244" s="1029"/>
      <c r="K244" s="112"/>
      <c r="L244" s="111">
        <f t="shared" ref="L244" si="12">J244</f>
        <v>0</v>
      </c>
    </row>
    <row r="245" spans="2:12">
      <c r="B245" s="1820"/>
      <c r="C245" s="1821"/>
      <c r="D245" s="1821"/>
      <c r="E245" s="108"/>
      <c r="F245" s="115"/>
      <c r="G245" s="115"/>
      <c r="H245" s="115"/>
      <c r="I245" s="115"/>
      <c r="J245" s="120"/>
      <c r="K245" s="115"/>
      <c r="L245" s="119"/>
    </row>
    <row r="246" spans="2:12">
      <c r="B246" s="1820"/>
      <c r="C246" s="1821"/>
      <c r="D246" s="1821"/>
      <c r="E246" s="108"/>
      <c r="F246" s="115"/>
      <c r="G246" s="115"/>
      <c r="H246" s="115"/>
      <c r="I246" s="115"/>
      <c r="J246" s="115"/>
      <c r="K246" s="115"/>
      <c r="L246" s="119"/>
    </row>
    <row r="247" spans="2:12" ht="15" thickBot="1">
      <c r="B247" s="1823"/>
      <c r="C247" s="1824"/>
      <c r="D247" s="1824"/>
      <c r="E247" s="121"/>
      <c r="F247" s="122"/>
      <c r="G247" s="122"/>
      <c r="H247" s="122"/>
      <c r="I247" s="122"/>
      <c r="J247" s="123"/>
      <c r="K247" s="122"/>
      <c r="L247" s="124"/>
    </row>
    <row r="248" spans="2:12" ht="15" thickBot="1"/>
    <row r="249" spans="2:12" ht="15" thickBot="1">
      <c r="B249" s="1835"/>
      <c r="C249" s="1836"/>
      <c r="D249" s="1841" t="s">
        <v>852</v>
      </c>
      <c r="E249" s="1842"/>
      <c r="F249" s="1842"/>
      <c r="G249" s="1842"/>
      <c r="H249" s="1842"/>
      <c r="I249" s="1842"/>
      <c r="J249" s="1842"/>
      <c r="K249" s="1842"/>
      <c r="L249" s="1843"/>
    </row>
    <row r="250" spans="2:12">
      <c r="B250" s="1837"/>
      <c r="C250" s="1838"/>
      <c r="D250" s="1844" t="s">
        <v>853</v>
      </c>
      <c r="E250" s="1846" t="str">
        <f>+[1]PRESUPUESTO!$A$2</f>
        <v>OBJETO: MEJORAMIENTO Y ADECUACIÓN DE LAS VIAS URBANAS DEL MUNICIPIO DE SANTA FE DE ANTIOQUIA</v>
      </c>
      <c r="F250" s="1847"/>
      <c r="G250" s="1847"/>
      <c r="H250" s="1848"/>
      <c r="I250" s="1844" t="s">
        <v>854</v>
      </c>
      <c r="J250" s="1852"/>
      <c r="K250" s="1852"/>
      <c r="L250" s="1852"/>
    </row>
    <row r="251" spans="2:12" ht="15" thickBot="1">
      <c r="B251" s="1837"/>
      <c r="C251" s="1838"/>
      <c r="D251" s="1845"/>
      <c r="E251" s="1849"/>
      <c r="F251" s="1850"/>
      <c r="G251" s="1850"/>
      <c r="H251" s="1851"/>
      <c r="I251" s="1845"/>
      <c r="J251" s="1853"/>
      <c r="K251" s="1853"/>
      <c r="L251" s="1854"/>
    </row>
    <row r="252" spans="2:12">
      <c r="B252" s="1837"/>
      <c r="C252" s="1838"/>
      <c r="D252" s="1855" t="str">
        <f>+[1]PRESUPUESTO!$A$2</f>
        <v>OBJETO: MEJORAMIENTO Y ADECUACIÓN DE LAS VIAS URBANAS DEL MUNICIPIO DE SANTA FE DE ANTIOQUIA</v>
      </c>
      <c r="E252" s="1856"/>
      <c r="F252" s="1856"/>
      <c r="G252" s="1856"/>
      <c r="H252" s="1856"/>
      <c r="I252" s="1856"/>
      <c r="J252" s="1856"/>
      <c r="K252" s="1856"/>
      <c r="L252" s="1857"/>
    </row>
    <row r="253" spans="2:12">
      <c r="B253" s="1837"/>
      <c r="C253" s="1838"/>
      <c r="D253" s="1858"/>
      <c r="E253" s="1859"/>
      <c r="F253" s="1859"/>
      <c r="G253" s="1859"/>
      <c r="H253" s="1859"/>
      <c r="I253" s="1859"/>
      <c r="J253" s="1859"/>
      <c r="K253" s="1859"/>
      <c r="L253" s="1860"/>
    </row>
    <row r="254" spans="2:12">
      <c r="B254" s="1837"/>
      <c r="C254" s="1838"/>
      <c r="D254" s="1858"/>
      <c r="E254" s="1859"/>
      <c r="F254" s="1859"/>
      <c r="G254" s="1859"/>
      <c r="H254" s="1859"/>
      <c r="I254" s="1859"/>
      <c r="J254" s="1859"/>
      <c r="K254" s="1859"/>
      <c r="L254" s="1860"/>
    </row>
    <row r="255" spans="2:12" ht="15" thickBot="1">
      <c r="B255" s="1839"/>
      <c r="C255" s="1840"/>
      <c r="D255" s="1861"/>
      <c r="E255" s="1862"/>
      <c r="F255" s="1862"/>
      <c r="G255" s="1862"/>
      <c r="H255" s="1862"/>
      <c r="I255" s="1862"/>
      <c r="J255" s="1862"/>
      <c r="K255" s="1862"/>
      <c r="L255" s="1863"/>
    </row>
    <row r="256" spans="2:12" ht="40.5" customHeight="1" thickBot="1">
      <c r="B256" s="327" t="s">
        <v>1</v>
      </c>
      <c r="C256" s="366">
        <v>3.1</v>
      </c>
      <c r="D256" s="327" t="s">
        <v>228</v>
      </c>
      <c r="E256" s="430" t="str">
        <f>+[1]PRESUPUESTO!B17</f>
        <v>Fresado de Pavimento Asfaltico en espesor de 10 cm.  Incluye fresadora de pavimento y cargue, no incluye transporte.</v>
      </c>
      <c r="F256" s="326" t="s">
        <v>193</v>
      </c>
      <c r="G256" s="1814" t="str">
        <f>+[1]PRESUPUESTO!C17</f>
        <v>m2</v>
      </c>
      <c r="H256" s="1815" t="e">
        <f>+VLOOKUP(F256,[1]PRESUPUESTO!$A$5:$C$30,2,)</f>
        <v>#N/A</v>
      </c>
      <c r="I256" s="1685" t="s">
        <v>855</v>
      </c>
      <c r="J256" s="1816"/>
      <c r="K256" s="1816"/>
      <c r="L256" s="368">
        <f>SUM(L259:L275)</f>
        <v>315</v>
      </c>
    </row>
    <row r="257" spans="2:12" ht="15" thickBot="1">
      <c r="B257" s="1817"/>
      <c r="C257" s="1818"/>
      <c r="D257" s="1819"/>
      <c r="E257" s="1825" t="s">
        <v>856</v>
      </c>
      <c r="F257" s="1827" t="s">
        <v>857</v>
      </c>
      <c r="G257" s="1828"/>
      <c r="H257" s="1828"/>
      <c r="I257" s="1828"/>
      <c r="J257" s="1829"/>
      <c r="K257" s="1830" t="s">
        <v>858</v>
      </c>
      <c r="L257" s="1832" t="s">
        <v>859</v>
      </c>
    </row>
    <row r="258" spans="2:12" ht="15" thickBot="1">
      <c r="B258" s="1820"/>
      <c r="C258" s="1821"/>
      <c r="D258" s="1822"/>
      <c r="E258" s="1826"/>
      <c r="F258" s="367" t="s">
        <v>865</v>
      </c>
      <c r="G258" s="367" t="s">
        <v>861</v>
      </c>
      <c r="H258" s="367" t="s">
        <v>862</v>
      </c>
      <c r="I258" s="367" t="s">
        <v>863</v>
      </c>
      <c r="J258" s="367" t="s">
        <v>864</v>
      </c>
      <c r="K258" s="1831"/>
      <c r="L258" s="1833"/>
    </row>
    <row r="259" spans="2:12">
      <c r="B259" s="1820"/>
      <c r="C259" s="1821"/>
      <c r="D259" s="1821"/>
      <c r="E259" s="106" t="s">
        <v>866</v>
      </c>
      <c r="F259" s="1834"/>
      <c r="G259" s="1834"/>
      <c r="H259" s="1834"/>
      <c r="I259" s="1834"/>
      <c r="J259" s="1834"/>
      <c r="K259" s="1834"/>
      <c r="L259" s="107"/>
    </row>
    <row r="260" spans="2:12">
      <c r="B260" s="1820"/>
      <c r="C260" s="1821"/>
      <c r="D260" s="1821"/>
      <c r="E260" s="108"/>
      <c r="F260" s="109">
        <f>G260*H260</f>
        <v>315</v>
      </c>
      <c r="G260" s="109">
        <v>6.3</v>
      </c>
      <c r="H260" s="110">
        <v>50</v>
      </c>
      <c r="I260" s="110"/>
      <c r="J260" s="110"/>
      <c r="K260" s="109"/>
      <c r="L260" s="111">
        <f>F260</f>
        <v>315</v>
      </c>
    </row>
    <row r="261" spans="2:12">
      <c r="B261" s="1820"/>
      <c r="C261" s="1821"/>
      <c r="D261" s="1821"/>
      <c r="E261" s="108"/>
      <c r="F261" s="113"/>
      <c r="G261" s="112"/>
      <c r="H261" s="112"/>
      <c r="I261" s="113"/>
      <c r="J261" s="114"/>
      <c r="K261" s="115"/>
      <c r="L261" s="111">
        <f>F261</f>
        <v>0</v>
      </c>
    </row>
    <row r="262" spans="2:12">
      <c r="B262" s="1820"/>
      <c r="C262" s="1821"/>
      <c r="D262" s="1821"/>
      <c r="E262" s="108"/>
      <c r="F262" s="113"/>
      <c r="G262" s="112"/>
      <c r="H262" s="112"/>
      <c r="I262" s="113"/>
      <c r="J262" s="114"/>
      <c r="K262" s="115"/>
      <c r="L262" s="111">
        <f>F262</f>
        <v>0</v>
      </c>
    </row>
    <row r="263" spans="2:12">
      <c r="B263" s="1820"/>
      <c r="C263" s="1821"/>
      <c r="D263" s="1821"/>
      <c r="E263" s="108"/>
      <c r="F263" s="112"/>
      <c r="G263" s="112"/>
      <c r="H263" s="112"/>
      <c r="I263" s="113"/>
      <c r="J263" s="114"/>
      <c r="K263" s="115"/>
      <c r="L263" s="116"/>
    </row>
    <row r="264" spans="2:12">
      <c r="B264" s="1820"/>
      <c r="C264" s="1821"/>
      <c r="D264" s="1821"/>
      <c r="E264" s="108"/>
      <c r="F264" s="112"/>
      <c r="G264" s="112"/>
      <c r="H264" s="112"/>
      <c r="I264" s="113"/>
      <c r="J264" s="114"/>
      <c r="K264" s="115"/>
      <c r="L264" s="116"/>
    </row>
    <row r="265" spans="2:12">
      <c r="B265" s="1820"/>
      <c r="C265" s="1821"/>
      <c r="D265" s="1821"/>
      <c r="E265" s="108"/>
      <c r="F265" s="112"/>
      <c r="G265" s="112"/>
      <c r="H265" s="112"/>
      <c r="I265" s="113"/>
      <c r="J265" s="114"/>
      <c r="K265" s="115"/>
      <c r="L265" s="116"/>
    </row>
    <row r="266" spans="2:12">
      <c r="B266" s="1820"/>
      <c r="C266" s="1821"/>
      <c r="D266" s="1821"/>
      <c r="E266" s="108"/>
      <c r="F266" s="112"/>
      <c r="G266" s="112"/>
      <c r="H266" s="112"/>
      <c r="I266" s="113"/>
      <c r="J266" s="114"/>
      <c r="K266" s="115"/>
      <c r="L266" s="116"/>
    </row>
    <row r="267" spans="2:12">
      <c r="B267" s="1820"/>
      <c r="C267" s="1821"/>
      <c r="D267" s="1821"/>
      <c r="E267" s="108"/>
      <c r="F267" s="112"/>
      <c r="G267" s="112"/>
      <c r="H267" s="112"/>
      <c r="I267" s="113"/>
      <c r="J267" s="114"/>
      <c r="K267" s="115"/>
      <c r="L267" s="116"/>
    </row>
    <row r="268" spans="2:12">
      <c r="B268" s="1820"/>
      <c r="C268" s="1821"/>
      <c r="D268" s="1821"/>
      <c r="E268" s="117"/>
      <c r="F268" s="112"/>
      <c r="G268" s="112"/>
      <c r="H268" s="112"/>
      <c r="I268" s="113"/>
      <c r="J268" s="114"/>
      <c r="K268" s="112"/>
      <c r="L268" s="116"/>
    </row>
    <row r="269" spans="2:12">
      <c r="B269" s="1820"/>
      <c r="C269" s="1821"/>
      <c r="D269" s="1821"/>
      <c r="E269" s="108"/>
      <c r="F269" s="115"/>
      <c r="G269" s="115"/>
      <c r="H269" s="115"/>
      <c r="I269" s="115"/>
      <c r="J269" s="118"/>
      <c r="K269" s="115"/>
      <c r="L269" s="116"/>
    </row>
    <row r="270" spans="2:12">
      <c r="B270" s="1820"/>
      <c r="C270" s="1821"/>
      <c r="D270" s="1821"/>
      <c r="E270" s="117"/>
      <c r="F270" s="112"/>
      <c r="G270" s="112"/>
      <c r="H270" s="112"/>
      <c r="I270" s="112"/>
      <c r="J270" s="114"/>
      <c r="K270" s="112"/>
      <c r="L270" s="116"/>
    </row>
    <row r="271" spans="2:12">
      <c r="B271" s="1820"/>
      <c r="C271" s="1821"/>
      <c r="D271" s="1821"/>
      <c r="E271" s="117"/>
      <c r="F271" s="112"/>
      <c r="G271" s="112"/>
      <c r="H271" s="112"/>
      <c r="I271" s="112"/>
      <c r="J271" s="114"/>
      <c r="K271" s="112"/>
      <c r="L271" s="116"/>
    </row>
    <row r="272" spans="2:12">
      <c r="B272" s="1820"/>
      <c r="C272" s="1821"/>
      <c r="D272" s="1821"/>
      <c r="E272" s="117"/>
      <c r="F272" s="112"/>
      <c r="G272" s="112"/>
      <c r="H272" s="112"/>
      <c r="I272" s="112"/>
      <c r="J272" s="114"/>
      <c r="K272" s="112"/>
      <c r="L272" s="119"/>
    </row>
    <row r="273" spans="2:12">
      <c r="B273" s="1820"/>
      <c r="C273" s="1821"/>
      <c r="D273" s="1821"/>
      <c r="E273" s="108"/>
      <c r="F273" s="115"/>
      <c r="G273" s="115"/>
      <c r="H273" s="115"/>
      <c r="I273" s="115"/>
      <c r="J273" s="120"/>
      <c r="K273" s="115"/>
      <c r="L273" s="119"/>
    </row>
    <row r="274" spans="2:12">
      <c r="B274" s="1820"/>
      <c r="C274" s="1821"/>
      <c r="D274" s="1821"/>
      <c r="E274" s="108"/>
      <c r="F274" s="115"/>
      <c r="G274" s="115"/>
      <c r="H274" s="115"/>
      <c r="I274" s="115"/>
      <c r="J274" s="115"/>
      <c r="K274" s="115"/>
      <c r="L274" s="119"/>
    </row>
    <row r="275" spans="2:12" ht="15" thickBot="1">
      <c r="B275" s="1823"/>
      <c r="C275" s="1824"/>
      <c r="D275" s="1824"/>
      <c r="E275" s="121"/>
      <c r="F275" s="122"/>
      <c r="G275" s="122"/>
      <c r="H275" s="122"/>
      <c r="I275" s="122"/>
      <c r="J275" s="123"/>
      <c r="K275" s="122"/>
      <c r="L275" s="124"/>
    </row>
    <row r="276" spans="2:12" ht="15" thickBot="1"/>
    <row r="277" spans="2:12" ht="15" thickBot="1">
      <c r="B277" s="1835"/>
      <c r="C277" s="1836"/>
      <c r="D277" s="1841" t="s">
        <v>852</v>
      </c>
      <c r="E277" s="1842"/>
      <c r="F277" s="1842"/>
      <c r="G277" s="1842"/>
      <c r="H277" s="1842"/>
      <c r="I277" s="1842"/>
      <c r="J277" s="1842"/>
      <c r="K277" s="1842"/>
      <c r="L277" s="1843"/>
    </row>
    <row r="278" spans="2:12">
      <c r="B278" s="1837"/>
      <c r="C278" s="1838"/>
      <c r="D278" s="1844" t="s">
        <v>853</v>
      </c>
      <c r="E278" s="1846" t="str">
        <f>+[1]PRESUPUESTO!$A$2</f>
        <v>OBJETO: MEJORAMIENTO Y ADECUACIÓN DE LAS VIAS URBANAS DEL MUNICIPIO DE SANTA FE DE ANTIOQUIA</v>
      </c>
      <c r="F278" s="1847"/>
      <c r="G278" s="1847"/>
      <c r="H278" s="1848"/>
      <c r="I278" s="1844" t="s">
        <v>854</v>
      </c>
      <c r="J278" s="1852"/>
      <c r="K278" s="1852"/>
      <c r="L278" s="1852"/>
    </row>
    <row r="279" spans="2:12" ht="15" thickBot="1">
      <c r="B279" s="1837"/>
      <c r="C279" s="1838"/>
      <c r="D279" s="1845"/>
      <c r="E279" s="1849"/>
      <c r="F279" s="1850"/>
      <c r="G279" s="1850"/>
      <c r="H279" s="1851"/>
      <c r="I279" s="1845"/>
      <c r="J279" s="1853"/>
      <c r="K279" s="1853"/>
      <c r="L279" s="1854"/>
    </row>
    <row r="280" spans="2:12">
      <c r="B280" s="1837"/>
      <c r="C280" s="1838"/>
      <c r="D280" s="1855" t="str">
        <f>+[1]PRESUPUESTO!$A$2</f>
        <v>OBJETO: MEJORAMIENTO Y ADECUACIÓN DE LAS VIAS URBANAS DEL MUNICIPIO DE SANTA FE DE ANTIOQUIA</v>
      </c>
      <c r="E280" s="1856"/>
      <c r="F280" s="1856"/>
      <c r="G280" s="1856"/>
      <c r="H280" s="1856"/>
      <c r="I280" s="1856"/>
      <c r="J280" s="1856"/>
      <c r="K280" s="1856"/>
      <c r="L280" s="1857"/>
    </row>
    <row r="281" spans="2:12">
      <c r="B281" s="1837"/>
      <c r="C281" s="1838"/>
      <c r="D281" s="1858"/>
      <c r="E281" s="1859"/>
      <c r="F281" s="1859"/>
      <c r="G281" s="1859"/>
      <c r="H281" s="1859"/>
      <c r="I281" s="1859"/>
      <c r="J281" s="1859"/>
      <c r="K281" s="1859"/>
      <c r="L281" s="1860"/>
    </row>
    <row r="282" spans="2:12">
      <c r="B282" s="1837"/>
      <c r="C282" s="1838"/>
      <c r="D282" s="1858"/>
      <c r="E282" s="1859"/>
      <c r="F282" s="1859"/>
      <c r="G282" s="1859"/>
      <c r="H282" s="1859"/>
      <c r="I282" s="1859"/>
      <c r="J282" s="1859"/>
      <c r="K282" s="1859"/>
      <c r="L282" s="1860"/>
    </row>
    <row r="283" spans="2:12" ht="15" thickBot="1">
      <c r="B283" s="1839"/>
      <c r="C283" s="1840"/>
      <c r="D283" s="1861"/>
      <c r="E283" s="1862"/>
      <c r="F283" s="1862"/>
      <c r="G283" s="1862"/>
      <c r="H283" s="1862"/>
      <c r="I283" s="1862"/>
      <c r="J283" s="1862"/>
      <c r="K283" s="1862"/>
      <c r="L283" s="1863"/>
    </row>
    <row r="284" spans="2:12" ht="44" thickBot="1">
      <c r="B284" s="327" t="s">
        <v>1</v>
      </c>
      <c r="C284" s="366">
        <v>3.2</v>
      </c>
      <c r="D284" s="327" t="s">
        <v>228</v>
      </c>
      <c r="E284" s="430" t="str">
        <f>+[1]PRESUPUESTO!B18</f>
        <v>Suministro, transporte y colocación de mezcla asfáltica en caliente MDC - 19. Compactada con medios mecánicos. Según normas para la construcción de pavimentos. Según Normas INVIAS.</v>
      </c>
      <c r="F284" s="326" t="s">
        <v>193</v>
      </c>
      <c r="G284" s="1814" t="str">
        <f>+[1]PRESUPUESTO!C18</f>
        <v>m3</v>
      </c>
      <c r="H284" s="1815" t="e">
        <f>+VLOOKUP(F284,[1]PRESUPUESTO!$A$5:$C$30,2,)</f>
        <v>#N/A</v>
      </c>
      <c r="I284" s="1685" t="s">
        <v>855</v>
      </c>
      <c r="J284" s="1816"/>
      <c r="K284" s="1816"/>
      <c r="L284" s="368">
        <f>SUM(L287:L303)</f>
        <v>50.820000000000007</v>
      </c>
    </row>
    <row r="285" spans="2:12" ht="15" thickBot="1">
      <c r="B285" s="1817"/>
      <c r="C285" s="1818"/>
      <c r="D285" s="1819"/>
      <c r="E285" s="1825" t="s">
        <v>856</v>
      </c>
      <c r="F285" s="1827" t="s">
        <v>857</v>
      </c>
      <c r="G285" s="1828"/>
      <c r="H285" s="1828"/>
      <c r="I285" s="1828"/>
      <c r="J285" s="1829"/>
      <c r="K285" s="1830" t="s">
        <v>858</v>
      </c>
      <c r="L285" s="1832" t="s">
        <v>859</v>
      </c>
    </row>
    <row r="286" spans="2:12" ht="15" thickBot="1">
      <c r="B286" s="1820"/>
      <c r="C286" s="1821"/>
      <c r="D286" s="1822"/>
      <c r="E286" s="1826"/>
      <c r="F286" s="367" t="s">
        <v>865</v>
      </c>
      <c r="G286" s="367" t="s">
        <v>861</v>
      </c>
      <c r="H286" s="367" t="s">
        <v>862</v>
      </c>
      <c r="I286" s="367" t="s">
        <v>863</v>
      </c>
      <c r="J286" s="367" t="s">
        <v>871</v>
      </c>
      <c r="K286" s="1831"/>
      <c r="L286" s="1833"/>
    </row>
    <row r="287" spans="2:12">
      <c r="B287" s="1820"/>
      <c r="C287" s="1821"/>
      <c r="D287" s="1821"/>
      <c r="E287" s="106"/>
      <c r="F287" s="1834"/>
      <c r="G287" s="1834"/>
      <c r="H287" s="1834"/>
      <c r="I287" s="1834"/>
      <c r="J287" s="1834"/>
      <c r="K287" s="1834"/>
      <c r="L287" s="107"/>
    </row>
    <row r="288" spans="2:12">
      <c r="B288" s="1820"/>
      <c r="C288" s="1821"/>
      <c r="D288" s="1821"/>
      <c r="E288" s="108" t="s">
        <v>1757</v>
      </c>
      <c r="F288" s="113">
        <f>+$F$43</f>
        <v>508.20000000000005</v>
      </c>
      <c r="G288" s="112"/>
      <c r="H288" s="112"/>
      <c r="I288" s="1029">
        <v>0.1</v>
      </c>
      <c r="J288" s="1029">
        <f t="shared" ref="J288" si="13">F288*I288</f>
        <v>50.820000000000007</v>
      </c>
      <c r="K288" s="109"/>
      <c r="L288" s="111">
        <f>J288</f>
        <v>50.820000000000007</v>
      </c>
    </row>
    <row r="289" spans="2:12">
      <c r="B289" s="1820"/>
      <c r="C289" s="1821"/>
      <c r="D289" s="1821"/>
      <c r="E289" s="108"/>
      <c r="F289" s="113"/>
      <c r="G289" s="112"/>
      <c r="H289" s="112"/>
      <c r="I289" s="1029"/>
      <c r="J289" s="1029"/>
      <c r="K289" s="115"/>
      <c r="L289" s="111">
        <f t="shared" ref="L289:L300" si="14">J289</f>
        <v>0</v>
      </c>
    </row>
    <row r="290" spans="2:12">
      <c r="B290" s="1820"/>
      <c r="C290" s="1821"/>
      <c r="D290" s="1821"/>
      <c r="E290" s="108"/>
      <c r="F290" s="113"/>
      <c r="G290" s="112"/>
      <c r="H290" s="112"/>
      <c r="I290" s="1029"/>
      <c r="J290" s="1029"/>
      <c r="K290" s="115"/>
      <c r="L290" s="111">
        <f t="shared" si="14"/>
        <v>0</v>
      </c>
    </row>
    <row r="291" spans="2:12">
      <c r="B291" s="1820"/>
      <c r="C291" s="1821"/>
      <c r="D291" s="1821"/>
      <c r="E291" s="108"/>
      <c r="F291" s="113"/>
      <c r="G291" s="112"/>
      <c r="H291" s="112"/>
      <c r="I291" s="1029"/>
      <c r="J291" s="1029"/>
      <c r="K291" s="115"/>
      <c r="L291" s="111">
        <f t="shared" si="14"/>
        <v>0</v>
      </c>
    </row>
    <row r="292" spans="2:12">
      <c r="B292" s="1820"/>
      <c r="C292" s="1821"/>
      <c r="D292" s="1821"/>
      <c r="E292" s="108"/>
      <c r="F292" s="113"/>
      <c r="G292" s="112"/>
      <c r="H292" s="112"/>
      <c r="I292" s="1029"/>
      <c r="J292" s="1029"/>
      <c r="K292" s="115"/>
      <c r="L292" s="111">
        <f t="shared" si="14"/>
        <v>0</v>
      </c>
    </row>
    <row r="293" spans="2:12">
      <c r="B293" s="1820"/>
      <c r="C293" s="1821"/>
      <c r="D293" s="1821"/>
      <c r="E293" s="108"/>
      <c r="F293" s="113"/>
      <c r="G293" s="112"/>
      <c r="H293" s="112"/>
      <c r="I293" s="1029"/>
      <c r="J293" s="1029"/>
      <c r="K293" s="115"/>
      <c r="L293" s="111">
        <f t="shared" si="14"/>
        <v>0</v>
      </c>
    </row>
    <row r="294" spans="2:12">
      <c r="B294" s="1820"/>
      <c r="C294" s="1821"/>
      <c r="D294" s="1821"/>
      <c r="E294" s="108"/>
      <c r="F294" s="113"/>
      <c r="G294" s="112"/>
      <c r="H294" s="112"/>
      <c r="I294" s="1029"/>
      <c r="J294" s="1029"/>
      <c r="K294" s="115"/>
      <c r="L294" s="111">
        <f t="shared" si="14"/>
        <v>0</v>
      </c>
    </row>
    <row r="295" spans="2:12">
      <c r="B295" s="1820"/>
      <c r="C295" s="1821"/>
      <c r="D295" s="1821"/>
      <c r="E295" s="108"/>
      <c r="F295" s="113"/>
      <c r="G295" s="112"/>
      <c r="H295" s="112"/>
      <c r="I295" s="1029"/>
      <c r="J295" s="1029"/>
      <c r="K295" s="115"/>
      <c r="L295" s="111">
        <f t="shared" si="14"/>
        <v>0</v>
      </c>
    </row>
    <row r="296" spans="2:12">
      <c r="B296" s="1820"/>
      <c r="C296" s="1821"/>
      <c r="D296" s="1821"/>
      <c r="E296" s="117"/>
      <c r="F296" s="113"/>
      <c r="G296" s="112"/>
      <c r="H296" s="112"/>
      <c r="I296" s="1029"/>
      <c r="J296" s="1029"/>
      <c r="K296" s="112"/>
      <c r="L296" s="111">
        <f t="shared" si="14"/>
        <v>0</v>
      </c>
    </row>
    <row r="297" spans="2:12">
      <c r="B297" s="1820"/>
      <c r="C297" s="1821"/>
      <c r="D297" s="1821"/>
      <c r="E297" s="108"/>
      <c r="F297" s="109"/>
      <c r="G297" s="115"/>
      <c r="H297" s="115"/>
      <c r="I297" s="1029"/>
      <c r="J297" s="1029"/>
      <c r="K297" s="115"/>
      <c r="L297" s="111">
        <f t="shared" si="14"/>
        <v>0</v>
      </c>
    </row>
    <row r="298" spans="2:12">
      <c r="B298" s="1820"/>
      <c r="C298" s="1821"/>
      <c r="D298" s="1821"/>
      <c r="E298" s="117"/>
      <c r="F298" s="113"/>
      <c r="G298" s="112"/>
      <c r="H298" s="112"/>
      <c r="I298" s="1029"/>
      <c r="J298" s="1029"/>
      <c r="K298" s="112"/>
      <c r="L298" s="111">
        <f t="shared" si="14"/>
        <v>0</v>
      </c>
    </row>
    <row r="299" spans="2:12">
      <c r="B299" s="1820"/>
      <c r="C299" s="1821"/>
      <c r="D299" s="1821"/>
      <c r="E299" s="117"/>
      <c r="F299" s="113"/>
      <c r="G299" s="112"/>
      <c r="H299" s="112"/>
      <c r="I299" s="1029"/>
      <c r="J299" s="1029"/>
      <c r="K299" s="112"/>
      <c r="L299" s="111">
        <f t="shared" si="14"/>
        <v>0</v>
      </c>
    </row>
    <row r="300" spans="2:12">
      <c r="B300" s="1820"/>
      <c r="C300" s="1821"/>
      <c r="D300" s="1821"/>
      <c r="E300" s="117"/>
      <c r="F300" s="113"/>
      <c r="G300" s="112"/>
      <c r="H300" s="112"/>
      <c r="I300" s="113"/>
      <c r="J300" s="1029"/>
      <c r="K300" s="112"/>
      <c r="L300" s="111">
        <f t="shared" si="14"/>
        <v>0</v>
      </c>
    </row>
    <row r="301" spans="2:12">
      <c r="B301" s="1820"/>
      <c r="C301" s="1821"/>
      <c r="D301" s="1821"/>
      <c r="E301" s="108"/>
      <c r="F301" s="115"/>
      <c r="G301" s="115"/>
      <c r="H301" s="115"/>
      <c r="I301" s="115"/>
      <c r="J301" s="1029"/>
      <c r="K301" s="115"/>
      <c r="L301" s="119"/>
    </row>
    <row r="302" spans="2:12">
      <c r="B302" s="1820"/>
      <c r="C302" s="1821"/>
      <c r="D302" s="1821"/>
      <c r="E302" s="108"/>
      <c r="F302" s="115"/>
      <c r="G302" s="115"/>
      <c r="H302" s="115"/>
      <c r="I302" s="115"/>
      <c r="J302" s="115"/>
      <c r="K302" s="115"/>
      <c r="L302" s="119"/>
    </row>
    <row r="303" spans="2:12" ht="15" thickBot="1">
      <c r="B303" s="1823"/>
      <c r="C303" s="1824"/>
      <c r="D303" s="1824"/>
      <c r="E303" s="121"/>
      <c r="F303" s="122"/>
      <c r="G303" s="122"/>
      <c r="H303" s="122"/>
      <c r="I303" s="122"/>
      <c r="J303" s="123"/>
      <c r="K303" s="122"/>
      <c r="L303" s="124"/>
    </row>
    <row r="304" spans="2:12" ht="15" thickBot="1"/>
    <row r="305" spans="2:12" ht="15" thickBot="1">
      <c r="B305" s="1835"/>
      <c r="C305" s="1836"/>
      <c r="D305" s="1841" t="s">
        <v>852</v>
      </c>
      <c r="E305" s="1842"/>
      <c r="F305" s="1842"/>
      <c r="G305" s="1842"/>
      <c r="H305" s="1842"/>
      <c r="I305" s="1842"/>
      <c r="J305" s="1842"/>
      <c r="K305" s="1842"/>
      <c r="L305" s="1843"/>
    </row>
    <row r="306" spans="2:12">
      <c r="B306" s="1837"/>
      <c r="C306" s="1838"/>
      <c r="D306" s="1844" t="s">
        <v>853</v>
      </c>
      <c r="E306" s="1846" t="str">
        <f>+[1]PRESUPUESTO!$A$2</f>
        <v>OBJETO: MEJORAMIENTO Y ADECUACIÓN DE LAS VIAS URBANAS DEL MUNICIPIO DE SANTA FE DE ANTIOQUIA</v>
      </c>
      <c r="F306" s="1847"/>
      <c r="G306" s="1847"/>
      <c r="H306" s="1848"/>
      <c r="I306" s="1844" t="s">
        <v>854</v>
      </c>
      <c r="J306" s="1852"/>
      <c r="K306" s="1852"/>
      <c r="L306" s="1852"/>
    </row>
    <row r="307" spans="2:12" ht="15" thickBot="1">
      <c r="B307" s="1837"/>
      <c r="C307" s="1838"/>
      <c r="D307" s="1845"/>
      <c r="E307" s="1849"/>
      <c r="F307" s="1850"/>
      <c r="G307" s="1850"/>
      <c r="H307" s="1851"/>
      <c r="I307" s="1845"/>
      <c r="J307" s="1853"/>
      <c r="K307" s="1853"/>
      <c r="L307" s="1854"/>
    </row>
    <row r="308" spans="2:12">
      <c r="B308" s="1837"/>
      <c r="C308" s="1838"/>
      <c r="D308" s="1855" t="str">
        <f>+[1]PRESUPUESTO!$A$2</f>
        <v>OBJETO: MEJORAMIENTO Y ADECUACIÓN DE LAS VIAS URBANAS DEL MUNICIPIO DE SANTA FE DE ANTIOQUIA</v>
      </c>
      <c r="E308" s="1856"/>
      <c r="F308" s="1856"/>
      <c r="G308" s="1856"/>
      <c r="H308" s="1856"/>
      <c r="I308" s="1856"/>
      <c r="J308" s="1856"/>
      <c r="K308" s="1856"/>
      <c r="L308" s="1857"/>
    </row>
    <row r="309" spans="2:12">
      <c r="B309" s="1837"/>
      <c r="C309" s="1838"/>
      <c r="D309" s="1858"/>
      <c r="E309" s="1859"/>
      <c r="F309" s="1859"/>
      <c r="G309" s="1859"/>
      <c r="H309" s="1859"/>
      <c r="I309" s="1859"/>
      <c r="J309" s="1859"/>
      <c r="K309" s="1859"/>
      <c r="L309" s="1860"/>
    </row>
    <row r="310" spans="2:12">
      <c r="B310" s="1837"/>
      <c r="C310" s="1838"/>
      <c r="D310" s="1858"/>
      <c r="E310" s="1859"/>
      <c r="F310" s="1859"/>
      <c r="G310" s="1859"/>
      <c r="H310" s="1859"/>
      <c r="I310" s="1859"/>
      <c r="J310" s="1859"/>
      <c r="K310" s="1859"/>
      <c r="L310" s="1860"/>
    </row>
    <row r="311" spans="2:12" ht="15" thickBot="1">
      <c r="B311" s="1839"/>
      <c r="C311" s="1840"/>
      <c r="D311" s="1861"/>
      <c r="E311" s="1862"/>
      <c r="F311" s="1862"/>
      <c r="G311" s="1862"/>
      <c r="H311" s="1862"/>
      <c r="I311" s="1862"/>
      <c r="J311" s="1862"/>
      <c r="K311" s="1862"/>
      <c r="L311" s="1863"/>
    </row>
    <row r="312" spans="2:12" ht="56" customHeight="1" thickBot="1">
      <c r="B312" s="327" t="s">
        <v>1</v>
      </c>
      <c r="C312" s="366">
        <v>3.3</v>
      </c>
      <c r="D312" s="327" t="s">
        <v>228</v>
      </c>
      <c r="E312" s="430" t="str">
        <f>+[1]PRESUPUESTO!B19</f>
        <v>Suministro, transporte y colocación de emulsión asfáltica catiónica de rompimiento lento C.R.L. para imprimación de superficie a pavimentar. Incluye todo lo necesario para su correcta construcción y funcionamiento.</v>
      </c>
      <c r="F312" s="326" t="s">
        <v>193</v>
      </c>
      <c r="G312" s="1814" t="str">
        <f>+[1]PRESUPUESTO!C19</f>
        <v>m2</v>
      </c>
      <c r="H312" s="1815" t="e">
        <f>+VLOOKUP(F312,[1]PRESUPUESTO!$A$5:$C$30,2,)</f>
        <v>#N/A</v>
      </c>
      <c r="I312" s="1685" t="s">
        <v>855</v>
      </c>
      <c r="J312" s="1816"/>
      <c r="K312" s="1816"/>
      <c r="L312" s="368">
        <f>SUM(L315:L331)</f>
        <v>1016.4000000000001</v>
      </c>
    </row>
    <row r="313" spans="2:12" ht="15" thickBot="1">
      <c r="B313" s="1817"/>
      <c r="C313" s="1818"/>
      <c r="D313" s="1819"/>
      <c r="E313" s="1825" t="s">
        <v>856</v>
      </c>
      <c r="F313" s="1827" t="s">
        <v>857</v>
      </c>
      <c r="G313" s="1828"/>
      <c r="H313" s="1828"/>
      <c r="I313" s="1828"/>
      <c r="J313" s="1829"/>
      <c r="K313" s="1830" t="s">
        <v>858</v>
      </c>
      <c r="L313" s="1832" t="s">
        <v>859</v>
      </c>
    </row>
    <row r="314" spans="2:12" ht="15" thickBot="1">
      <c r="B314" s="1820"/>
      <c r="C314" s="1821"/>
      <c r="D314" s="1822"/>
      <c r="E314" s="1826"/>
      <c r="F314" s="367" t="s">
        <v>865</v>
      </c>
      <c r="G314" s="367" t="s">
        <v>861</v>
      </c>
      <c r="H314" s="367" t="s">
        <v>862</v>
      </c>
      <c r="I314" s="367" t="s">
        <v>863</v>
      </c>
      <c r="J314" s="367" t="s">
        <v>864</v>
      </c>
      <c r="K314" s="1831"/>
      <c r="L314" s="1833"/>
    </row>
    <row r="315" spans="2:12">
      <c r="B315" s="1820"/>
      <c r="C315" s="1821"/>
      <c r="D315" s="1821"/>
      <c r="E315" s="106"/>
      <c r="F315" s="1834"/>
      <c r="G315" s="1834"/>
      <c r="H315" s="1834"/>
      <c r="I315" s="1834"/>
      <c r="J315" s="1834"/>
      <c r="K315" s="1834"/>
      <c r="L315" s="107"/>
    </row>
    <row r="316" spans="2:12">
      <c r="B316" s="1820"/>
      <c r="C316" s="1821"/>
      <c r="D316" s="1821"/>
      <c r="E316" s="108" t="s">
        <v>1757</v>
      </c>
      <c r="F316" s="113">
        <f>+$F$43</f>
        <v>508.20000000000005</v>
      </c>
      <c r="G316" s="109"/>
      <c r="H316" s="110"/>
      <c r="I316" s="1029"/>
      <c r="J316" s="1029"/>
      <c r="K316" s="109">
        <v>2</v>
      </c>
      <c r="L316" s="111">
        <f>F316*K316</f>
        <v>1016.4000000000001</v>
      </c>
    </row>
    <row r="317" spans="2:12">
      <c r="B317" s="1820"/>
      <c r="C317" s="1821"/>
      <c r="D317" s="1821"/>
      <c r="E317" s="108"/>
      <c r="F317" s="113"/>
      <c r="G317" s="112"/>
      <c r="H317" s="112"/>
      <c r="I317" s="1029"/>
      <c r="J317" s="1029"/>
      <c r="K317" s="115"/>
      <c r="L317" s="111">
        <f t="shared" ref="L317:L328" si="15">F317</f>
        <v>0</v>
      </c>
    </row>
    <row r="318" spans="2:12">
      <c r="B318" s="1820"/>
      <c r="C318" s="1821"/>
      <c r="D318" s="1821"/>
      <c r="E318" s="108"/>
      <c r="F318" s="113"/>
      <c r="G318" s="112"/>
      <c r="H318" s="112"/>
      <c r="I318" s="1029"/>
      <c r="J318" s="1029"/>
      <c r="K318" s="115"/>
      <c r="L318" s="111">
        <f t="shared" si="15"/>
        <v>0</v>
      </c>
    </row>
    <row r="319" spans="2:12">
      <c r="B319" s="1820"/>
      <c r="C319" s="1821"/>
      <c r="D319" s="1821"/>
      <c r="E319" s="108"/>
      <c r="F319" s="113"/>
      <c r="G319" s="112"/>
      <c r="H319" s="112"/>
      <c r="I319" s="1029"/>
      <c r="J319" s="1029"/>
      <c r="K319" s="115"/>
      <c r="L319" s="111">
        <f t="shared" si="15"/>
        <v>0</v>
      </c>
    </row>
    <row r="320" spans="2:12">
      <c r="B320" s="1820"/>
      <c r="C320" s="1821"/>
      <c r="D320" s="1821"/>
      <c r="E320" s="108"/>
      <c r="F320" s="113"/>
      <c r="G320" s="112"/>
      <c r="H320" s="112"/>
      <c r="I320" s="1029"/>
      <c r="J320" s="1029"/>
      <c r="K320" s="115"/>
      <c r="L320" s="111">
        <f t="shared" si="15"/>
        <v>0</v>
      </c>
    </row>
    <row r="321" spans="2:12">
      <c r="B321" s="1820"/>
      <c r="C321" s="1821"/>
      <c r="D321" s="1821"/>
      <c r="E321" s="108"/>
      <c r="F321" s="113"/>
      <c r="G321" s="112"/>
      <c r="H321" s="112"/>
      <c r="I321" s="1029"/>
      <c r="J321" s="1029"/>
      <c r="K321" s="115"/>
      <c r="L321" s="111">
        <f t="shared" si="15"/>
        <v>0</v>
      </c>
    </row>
    <row r="322" spans="2:12">
      <c r="B322" s="1820"/>
      <c r="C322" s="1821"/>
      <c r="D322" s="1821"/>
      <c r="E322" s="108"/>
      <c r="F322" s="113"/>
      <c r="G322" s="112"/>
      <c r="H322" s="112"/>
      <c r="I322" s="1029"/>
      <c r="J322" s="1029"/>
      <c r="K322" s="115"/>
      <c r="L322" s="111">
        <f t="shared" si="15"/>
        <v>0</v>
      </c>
    </row>
    <row r="323" spans="2:12">
      <c r="B323" s="1820"/>
      <c r="C323" s="1821"/>
      <c r="D323" s="1821"/>
      <c r="E323" s="108"/>
      <c r="F323" s="113"/>
      <c r="G323" s="112"/>
      <c r="H323" s="112"/>
      <c r="I323" s="1029"/>
      <c r="J323" s="1029"/>
      <c r="K323" s="115"/>
      <c r="L323" s="111">
        <f t="shared" si="15"/>
        <v>0</v>
      </c>
    </row>
    <row r="324" spans="2:12">
      <c r="B324" s="1820"/>
      <c r="C324" s="1821"/>
      <c r="D324" s="1821"/>
      <c r="E324" s="117"/>
      <c r="F324" s="113"/>
      <c r="G324" s="112"/>
      <c r="H324" s="112"/>
      <c r="I324" s="1029"/>
      <c r="J324" s="1029"/>
      <c r="K324" s="112"/>
      <c r="L324" s="111">
        <f t="shared" si="15"/>
        <v>0</v>
      </c>
    </row>
    <row r="325" spans="2:12">
      <c r="B325" s="1820"/>
      <c r="C325" s="1821"/>
      <c r="D325" s="1821"/>
      <c r="E325" s="108"/>
      <c r="F325" s="109"/>
      <c r="G325" s="115"/>
      <c r="H325" s="115"/>
      <c r="I325" s="1029"/>
      <c r="J325" s="1029"/>
      <c r="K325" s="115"/>
      <c r="L325" s="111">
        <f t="shared" si="15"/>
        <v>0</v>
      </c>
    </row>
    <row r="326" spans="2:12">
      <c r="B326" s="1820"/>
      <c r="C326" s="1821"/>
      <c r="D326" s="1821"/>
      <c r="E326" s="117"/>
      <c r="F326" s="113"/>
      <c r="G326" s="112"/>
      <c r="H326" s="112"/>
      <c r="I326" s="1029"/>
      <c r="J326" s="1029"/>
      <c r="K326" s="112"/>
      <c r="L326" s="111">
        <f t="shared" si="15"/>
        <v>0</v>
      </c>
    </row>
    <row r="327" spans="2:12">
      <c r="B327" s="1820"/>
      <c r="C327" s="1821"/>
      <c r="D327" s="1821"/>
      <c r="E327" s="117"/>
      <c r="F327" s="113"/>
      <c r="G327" s="112"/>
      <c r="H327" s="112"/>
      <c r="I327" s="1029"/>
      <c r="J327" s="1029"/>
      <c r="K327" s="112"/>
      <c r="L327" s="111">
        <f t="shared" si="15"/>
        <v>0</v>
      </c>
    </row>
    <row r="328" spans="2:12">
      <c r="B328" s="1820"/>
      <c r="C328" s="1821"/>
      <c r="D328" s="1821"/>
      <c r="E328" s="117"/>
      <c r="F328" s="113"/>
      <c r="G328" s="112"/>
      <c r="H328" s="112"/>
      <c r="I328" s="112"/>
      <c r="J328" s="114"/>
      <c r="K328" s="112"/>
      <c r="L328" s="111">
        <f t="shared" si="15"/>
        <v>0</v>
      </c>
    </row>
    <row r="329" spans="2:12">
      <c r="B329" s="1820"/>
      <c r="C329" s="1821"/>
      <c r="D329" s="1821"/>
      <c r="E329" s="108"/>
      <c r="F329" s="115"/>
      <c r="G329" s="115"/>
      <c r="H329" s="115"/>
      <c r="I329" s="115"/>
      <c r="J329" s="120"/>
      <c r="K329" s="115"/>
      <c r="L329" s="119"/>
    </row>
    <row r="330" spans="2:12">
      <c r="B330" s="1820"/>
      <c r="C330" s="1821"/>
      <c r="D330" s="1821"/>
      <c r="E330" s="108"/>
      <c r="F330" s="115"/>
      <c r="G330" s="115"/>
      <c r="H330" s="115"/>
      <c r="I330" s="115"/>
      <c r="J330" s="115"/>
      <c r="K330" s="115"/>
      <c r="L330" s="119"/>
    </row>
    <row r="331" spans="2:12" ht="15" thickBot="1">
      <c r="B331" s="1823"/>
      <c r="C331" s="1824"/>
      <c r="D331" s="1824"/>
      <c r="E331" s="121"/>
      <c r="F331" s="122"/>
      <c r="G331" s="122"/>
      <c r="H331" s="122"/>
      <c r="I331" s="122"/>
      <c r="J331" s="123"/>
      <c r="K331" s="122"/>
      <c r="L331" s="124"/>
    </row>
    <row r="332" spans="2:12" ht="15" thickBot="1"/>
    <row r="333" spans="2:12" ht="15" thickBot="1">
      <c r="B333" s="1835"/>
      <c r="C333" s="1836"/>
      <c r="D333" s="1841" t="s">
        <v>852</v>
      </c>
      <c r="E333" s="1842"/>
      <c r="F333" s="1842"/>
      <c r="G333" s="1842"/>
      <c r="H333" s="1842"/>
      <c r="I333" s="1842"/>
      <c r="J333" s="1842"/>
      <c r="K333" s="1842"/>
      <c r="L333" s="1843"/>
    </row>
    <row r="334" spans="2:12">
      <c r="B334" s="1837"/>
      <c r="C334" s="1838"/>
      <c r="D334" s="1844" t="s">
        <v>853</v>
      </c>
      <c r="E334" s="1846" t="str">
        <f>+[1]PRESUPUESTO!$A$2</f>
        <v>OBJETO: MEJORAMIENTO Y ADECUACIÓN DE LAS VIAS URBANAS DEL MUNICIPIO DE SANTA FE DE ANTIOQUIA</v>
      </c>
      <c r="F334" s="1847"/>
      <c r="G334" s="1847"/>
      <c r="H334" s="1848"/>
      <c r="I334" s="1844" t="s">
        <v>854</v>
      </c>
      <c r="J334" s="1852"/>
      <c r="K334" s="1852"/>
      <c r="L334" s="1852"/>
    </row>
    <row r="335" spans="2:12" ht="15" thickBot="1">
      <c r="B335" s="1837"/>
      <c r="C335" s="1838"/>
      <c r="D335" s="1845"/>
      <c r="E335" s="1849"/>
      <c r="F335" s="1850"/>
      <c r="G335" s="1850"/>
      <c r="H335" s="1851"/>
      <c r="I335" s="1845"/>
      <c r="J335" s="1853"/>
      <c r="K335" s="1853"/>
      <c r="L335" s="1854"/>
    </row>
    <row r="336" spans="2:12">
      <c r="B336" s="1837"/>
      <c r="C336" s="1838"/>
      <c r="D336" s="1855" t="str">
        <f>+[1]PRESUPUESTO!$A$2</f>
        <v>OBJETO: MEJORAMIENTO Y ADECUACIÓN DE LAS VIAS URBANAS DEL MUNICIPIO DE SANTA FE DE ANTIOQUIA</v>
      </c>
      <c r="E336" s="1856"/>
      <c r="F336" s="1856"/>
      <c r="G336" s="1856"/>
      <c r="H336" s="1856"/>
      <c r="I336" s="1856"/>
      <c r="J336" s="1856"/>
      <c r="K336" s="1856"/>
      <c r="L336" s="1857"/>
    </row>
    <row r="337" spans="2:12">
      <c r="B337" s="1837"/>
      <c r="C337" s="1838"/>
      <c r="D337" s="1858"/>
      <c r="E337" s="1859"/>
      <c r="F337" s="1859"/>
      <c r="G337" s="1859"/>
      <c r="H337" s="1859"/>
      <c r="I337" s="1859"/>
      <c r="J337" s="1859"/>
      <c r="K337" s="1859"/>
      <c r="L337" s="1860"/>
    </row>
    <row r="338" spans="2:12">
      <c r="B338" s="1837"/>
      <c r="C338" s="1838"/>
      <c r="D338" s="1858"/>
      <c r="E338" s="1859"/>
      <c r="F338" s="1859"/>
      <c r="G338" s="1859"/>
      <c r="H338" s="1859"/>
      <c r="I338" s="1859"/>
      <c r="J338" s="1859"/>
      <c r="K338" s="1859"/>
      <c r="L338" s="1860"/>
    </row>
    <row r="339" spans="2:12" ht="15" thickBot="1">
      <c r="B339" s="1839"/>
      <c r="C339" s="1840"/>
      <c r="D339" s="1861"/>
      <c r="E339" s="1862"/>
      <c r="F339" s="1862"/>
      <c r="G339" s="1862"/>
      <c r="H339" s="1862"/>
      <c r="I339" s="1862"/>
      <c r="J339" s="1862"/>
      <c r="K339" s="1862"/>
      <c r="L339" s="1863"/>
    </row>
    <row r="340" spans="2:12" ht="129.75" customHeight="1" thickBot="1">
      <c r="B340" s="327" t="s">
        <v>1</v>
      </c>
      <c r="C340" s="366">
        <v>3.4</v>
      </c>
      <c r="D340" s="327" t="s">
        <v>228</v>
      </c>
      <c r="E340" s="430" t="str">
        <f>+[1]PRESUPUESTO!B20</f>
        <v>Suministro, transporte y colocación de cordón prefabricado de 0.15 x 0.45 x 0.80 m de concreto de 21 Mpa, tres caras, juntas ranuradas, referencia Bordillo Barrera Recto Tipo U10 (según M.E.P). Incluye excavación, conformación del terreno, ajustes de concreto o pavimento donde sea necesario, mortero 1:4 de asiento y pega en las longitudes más adecuadas para el desarrollo de la obra, y todo lo necesario para su correcta construcción y funcionamiento. Según diseño.</v>
      </c>
      <c r="F340" s="326" t="s">
        <v>193</v>
      </c>
      <c r="G340" s="1814" t="str">
        <f>+[1]PRESUPUESTO!C20</f>
        <v>ml</v>
      </c>
      <c r="H340" s="1815" t="e">
        <f>+VLOOKUP(F340,[1]PRESUPUESTO!$A$5:$C$30,2,)</f>
        <v>#N/A</v>
      </c>
      <c r="I340" s="1685" t="s">
        <v>855</v>
      </c>
      <c r="J340" s="1816"/>
      <c r="K340" s="1816"/>
      <c r="L340" s="368">
        <f>SUM(L343:L359)</f>
        <v>169.4</v>
      </c>
    </row>
    <row r="341" spans="2:12" ht="15" thickBot="1">
      <c r="B341" s="1817"/>
      <c r="C341" s="1818"/>
      <c r="D341" s="1819"/>
      <c r="E341" s="1825" t="s">
        <v>856</v>
      </c>
      <c r="F341" s="1827" t="s">
        <v>857</v>
      </c>
      <c r="G341" s="1828"/>
      <c r="H341" s="1828"/>
      <c r="I341" s="1828"/>
      <c r="J341" s="1829"/>
      <c r="K341" s="1830" t="s">
        <v>858</v>
      </c>
      <c r="L341" s="1832" t="s">
        <v>859</v>
      </c>
    </row>
    <row r="342" spans="2:12" ht="15" thickBot="1">
      <c r="B342" s="1820"/>
      <c r="C342" s="1821"/>
      <c r="D342" s="1822"/>
      <c r="E342" s="1826"/>
      <c r="F342" s="367" t="s">
        <v>860</v>
      </c>
      <c r="G342" s="367" t="s">
        <v>861</v>
      </c>
      <c r="H342" s="367" t="s">
        <v>862</v>
      </c>
      <c r="I342" s="367" t="s">
        <v>863</v>
      </c>
      <c r="J342" s="367" t="s">
        <v>864</v>
      </c>
      <c r="K342" s="1831"/>
      <c r="L342" s="1833"/>
    </row>
    <row r="343" spans="2:12">
      <c r="B343" s="1820"/>
      <c r="C343" s="1821"/>
      <c r="D343" s="1821"/>
      <c r="E343" s="106"/>
      <c r="F343" s="1834"/>
      <c r="G343" s="1834"/>
      <c r="H343" s="1834"/>
      <c r="I343" s="1834"/>
      <c r="J343" s="1834"/>
      <c r="K343" s="1834"/>
      <c r="L343" s="107"/>
    </row>
    <row r="344" spans="2:12">
      <c r="B344" s="1820"/>
      <c r="C344" s="1821"/>
      <c r="D344" s="1821"/>
      <c r="E344" s="108" t="s">
        <v>1766</v>
      </c>
      <c r="F344" s="113">
        <f>+O11</f>
        <v>169.4</v>
      </c>
      <c r="G344" s="109"/>
      <c r="H344" s="110"/>
      <c r="I344" s="1029"/>
      <c r="J344" s="1029"/>
      <c r="K344" s="109">
        <v>1</v>
      </c>
      <c r="L344" s="111">
        <f>F344*K344</f>
        <v>169.4</v>
      </c>
    </row>
    <row r="345" spans="2:12">
      <c r="B345" s="1820"/>
      <c r="C345" s="1821"/>
      <c r="D345" s="1821"/>
      <c r="E345" s="108">
        <v>0</v>
      </c>
      <c r="F345" s="113"/>
      <c r="G345" s="112"/>
      <c r="H345" s="112"/>
      <c r="I345" s="1029"/>
      <c r="J345" s="1029"/>
      <c r="K345" s="109">
        <v>0</v>
      </c>
      <c r="L345" s="111">
        <f t="shared" ref="L345:L356" si="16">F345*K345</f>
        <v>0</v>
      </c>
    </row>
    <row r="346" spans="2:12">
      <c r="B346" s="1820"/>
      <c r="C346" s="1821"/>
      <c r="D346" s="1821"/>
      <c r="E346" s="108">
        <v>0</v>
      </c>
      <c r="F346" s="113"/>
      <c r="G346" s="112"/>
      <c r="H346" s="112"/>
      <c r="I346" s="1029"/>
      <c r="J346" s="1029"/>
      <c r="K346" s="109">
        <v>0</v>
      </c>
      <c r="L346" s="111">
        <f t="shared" si="16"/>
        <v>0</v>
      </c>
    </row>
    <row r="347" spans="2:12">
      <c r="B347" s="1820"/>
      <c r="C347" s="1821"/>
      <c r="D347" s="1821"/>
      <c r="E347" s="108">
        <v>0</v>
      </c>
      <c r="F347" s="113"/>
      <c r="G347" s="112"/>
      <c r="H347" s="112"/>
      <c r="I347" s="1029"/>
      <c r="J347" s="1029"/>
      <c r="K347" s="109">
        <v>0</v>
      </c>
      <c r="L347" s="111">
        <f t="shared" si="16"/>
        <v>0</v>
      </c>
    </row>
    <row r="348" spans="2:12">
      <c r="B348" s="1820"/>
      <c r="C348" s="1821"/>
      <c r="D348" s="1821"/>
      <c r="E348" s="108">
        <v>0</v>
      </c>
      <c r="F348" s="113"/>
      <c r="G348" s="112"/>
      <c r="H348" s="112"/>
      <c r="I348" s="1029"/>
      <c r="J348" s="1029"/>
      <c r="K348" s="109">
        <v>0</v>
      </c>
      <c r="L348" s="111">
        <f t="shared" si="16"/>
        <v>0</v>
      </c>
    </row>
    <row r="349" spans="2:12">
      <c r="B349" s="1820"/>
      <c r="C349" s="1821"/>
      <c r="D349" s="1821"/>
      <c r="E349" s="108"/>
      <c r="F349" s="113"/>
      <c r="G349" s="112"/>
      <c r="H349" s="112"/>
      <c r="I349" s="1029"/>
      <c r="J349" s="1029"/>
      <c r="K349" s="109"/>
      <c r="L349" s="111">
        <f t="shared" si="16"/>
        <v>0</v>
      </c>
    </row>
    <row r="350" spans="2:12">
      <c r="B350" s="1820"/>
      <c r="C350" s="1821"/>
      <c r="D350" s="1821"/>
      <c r="E350" s="108"/>
      <c r="F350" s="113"/>
      <c r="G350" s="112"/>
      <c r="H350" s="112"/>
      <c r="I350" s="1029"/>
      <c r="J350" s="1029"/>
      <c r="K350" s="109"/>
      <c r="L350" s="111">
        <f t="shared" si="16"/>
        <v>0</v>
      </c>
    </row>
    <row r="351" spans="2:12">
      <c r="B351" s="1820"/>
      <c r="C351" s="1821"/>
      <c r="D351" s="1821"/>
      <c r="E351" s="108"/>
      <c r="F351" s="113"/>
      <c r="G351" s="112"/>
      <c r="H351" s="112"/>
      <c r="I351" s="1029"/>
      <c r="J351" s="1029"/>
      <c r="K351" s="109"/>
      <c r="L351" s="111">
        <f t="shared" si="16"/>
        <v>0</v>
      </c>
    </row>
    <row r="352" spans="2:12">
      <c r="B352" s="1820"/>
      <c r="C352" s="1821"/>
      <c r="D352" s="1821"/>
      <c r="E352" s="108"/>
      <c r="F352" s="113"/>
      <c r="G352" s="112"/>
      <c r="H352" s="112"/>
      <c r="I352" s="1029"/>
      <c r="J352" s="1029"/>
      <c r="K352" s="109"/>
      <c r="L352" s="111">
        <f t="shared" si="16"/>
        <v>0</v>
      </c>
    </row>
    <row r="353" spans="2:12">
      <c r="B353" s="1820"/>
      <c r="C353" s="1821"/>
      <c r="D353" s="1821"/>
      <c r="E353" s="108"/>
      <c r="F353" s="109"/>
      <c r="G353" s="115"/>
      <c r="H353" s="115"/>
      <c r="I353" s="1029"/>
      <c r="J353" s="1029"/>
      <c r="K353" s="109"/>
      <c r="L353" s="111">
        <f t="shared" si="16"/>
        <v>0</v>
      </c>
    </row>
    <row r="354" spans="2:12">
      <c r="B354" s="1820"/>
      <c r="C354" s="1821"/>
      <c r="D354" s="1821"/>
      <c r="E354" s="108"/>
      <c r="F354" s="113"/>
      <c r="G354" s="112"/>
      <c r="H354" s="112"/>
      <c r="I354" s="1029"/>
      <c r="J354" s="1029"/>
      <c r="K354" s="109"/>
      <c r="L354" s="111">
        <f t="shared" si="16"/>
        <v>0</v>
      </c>
    </row>
    <row r="355" spans="2:12">
      <c r="B355" s="1820"/>
      <c r="C355" s="1821"/>
      <c r="D355" s="1821"/>
      <c r="E355" s="108"/>
      <c r="F355" s="113"/>
      <c r="G355" s="112"/>
      <c r="H355" s="112"/>
      <c r="I355" s="1029"/>
      <c r="J355" s="1029"/>
      <c r="K355" s="109"/>
      <c r="L355" s="111">
        <f t="shared" si="16"/>
        <v>0</v>
      </c>
    </row>
    <row r="356" spans="2:12">
      <c r="B356" s="1820"/>
      <c r="C356" s="1821"/>
      <c r="D356" s="1821"/>
      <c r="E356" s="117"/>
      <c r="F356" s="113"/>
      <c r="G356" s="112"/>
      <c r="H356" s="112"/>
      <c r="I356" s="112"/>
      <c r="J356" s="114"/>
      <c r="K356" s="113"/>
      <c r="L356" s="119">
        <f t="shared" si="16"/>
        <v>0</v>
      </c>
    </row>
    <row r="357" spans="2:12">
      <c r="B357" s="1820"/>
      <c r="C357" s="1821"/>
      <c r="D357" s="1821"/>
      <c r="E357" s="108"/>
      <c r="F357" s="115"/>
      <c r="G357" s="115"/>
      <c r="H357" s="115"/>
      <c r="I357" s="115"/>
      <c r="J357" s="120"/>
      <c r="K357" s="115"/>
      <c r="L357" s="119"/>
    </row>
    <row r="358" spans="2:12">
      <c r="B358" s="1820"/>
      <c r="C358" s="1821"/>
      <c r="D358" s="1821"/>
      <c r="E358" s="108"/>
      <c r="F358" s="115"/>
      <c r="G358" s="115"/>
      <c r="H358" s="115"/>
      <c r="I358" s="115"/>
      <c r="J358" s="115"/>
      <c r="K358" s="115"/>
      <c r="L358" s="119"/>
    </row>
    <row r="359" spans="2:12" ht="15" thickBot="1">
      <c r="B359" s="1823"/>
      <c r="C359" s="1824"/>
      <c r="D359" s="1824"/>
      <c r="E359" s="121"/>
      <c r="F359" s="122"/>
      <c r="G359" s="122"/>
      <c r="H359" s="122"/>
      <c r="I359" s="122"/>
      <c r="J359" s="123"/>
      <c r="K359" s="122"/>
      <c r="L359" s="124"/>
    </row>
    <row r="360" spans="2:12" ht="15" thickBot="1"/>
    <row r="361" spans="2:12" ht="15" thickBot="1">
      <c r="B361" s="1835"/>
      <c r="C361" s="1836"/>
      <c r="D361" s="1841" t="s">
        <v>852</v>
      </c>
      <c r="E361" s="1842"/>
      <c r="F361" s="1842"/>
      <c r="G361" s="1842"/>
      <c r="H361" s="1842"/>
      <c r="I361" s="1842"/>
      <c r="J361" s="1842"/>
      <c r="K361" s="1842"/>
      <c r="L361" s="1843"/>
    </row>
    <row r="362" spans="2:12">
      <c r="B362" s="1837"/>
      <c r="C362" s="1838"/>
      <c r="D362" s="1844" t="s">
        <v>853</v>
      </c>
      <c r="E362" s="1846" t="str">
        <f>+[1]PRESUPUESTO!$A$2</f>
        <v>OBJETO: MEJORAMIENTO Y ADECUACIÓN DE LAS VIAS URBANAS DEL MUNICIPIO DE SANTA FE DE ANTIOQUIA</v>
      </c>
      <c r="F362" s="1847"/>
      <c r="G362" s="1847"/>
      <c r="H362" s="1848"/>
      <c r="I362" s="1844" t="s">
        <v>854</v>
      </c>
      <c r="J362" s="1852"/>
      <c r="K362" s="1852"/>
      <c r="L362" s="1852"/>
    </row>
    <row r="363" spans="2:12" ht="15" thickBot="1">
      <c r="B363" s="1837"/>
      <c r="C363" s="1838"/>
      <c r="D363" s="1845"/>
      <c r="E363" s="1849"/>
      <c r="F363" s="1850"/>
      <c r="G363" s="1850"/>
      <c r="H363" s="1851"/>
      <c r="I363" s="1845"/>
      <c r="J363" s="1853"/>
      <c r="K363" s="1853"/>
      <c r="L363" s="1854"/>
    </row>
    <row r="364" spans="2:12">
      <c r="B364" s="1837"/>
      <c r="C364" s="1838"/>
      <c r="D364" s="1855" t="str">
        <f>+[1]PRESUPUESTO!$A$2</f>
        <v>OBJETO: MEJORAMIENTO Y ADECUACIÓN DE LAS VIAS URBANAS DEL MUNICIPIO DE SANTA FE DE ANTIOQUIA</v>
      </c>
      <c r="E364" s="1856"/>
      <c r="F364" s="1856"/>
      <c r="G364" s="1856"/>
      <c r="H364" s="1856"/>
      <c r="I364" s="1856"/>
      <c r="J364" s="1856"/>
      <c r="K364" s="1856"/>
      <c r="L364" s="1857"/>
    </row>
    <row r="365" spans="2:12">
      <c r="B365" s="1837"/>
      <c r="C365" s="1838"/>
      <c r="D365" s="1858"/>
      <c r="E365" s="1859"/>
      <c r="F365" s="1859"/>
      <c r="G365" s="1859"/>
      <c r="H365" s="1859"/>
      <c r="I365" s="1859"/>
      <c r="J365" s="1859"/>
      <c r="K365" s="1859"/>
      <c r="L365" s="1860"/>
    </row>
    <row r="366" spans="2:12">
      <c r="B366" s="1837"/>
      <c r="C366" s="1838"/>
      <c r="D366" s="1858"/>
      <c r="E366" s="1859"/>
      <c r="F366" s="1859"/>
      <c r="G366" s="1859"/>
      <c r="H366" s="1859"/>
      <c r="I366" s="1859"/>
      <c r="J366" s="1859"/>
      <c r="K366" s="1859"/>
      <c r="L366" s="1860"/>
    </row>
    <row r="367" spans="2:12" ht="15" thickBot="1">
      <c r="B367" s="1839"/>
      <c r="C367" s="1840"/>
      <c r="D367" s="1861"/>
      <c r="E367" s="1862"/>
      <c r="F367" s="1862"/>
      <c r="G367" s="1862"/>
      <c r="H367" s="1862"/>
      <c r="I367" s="1862"/>
      <c r="J367" s="1862"/>
      <c r="K367" s="1862"/>
      <c r="L367" s="1863"/>
    </row>
    <row r="368" spans="2:12" ht="15" thickBot="1">
      <c r="B368" s="327" t="s">
        <v>1</v>
      </c>
      <c r="C368" s="1032" t="str">
        <f>+[1]PRESUPUESTO!A22</f>
        <v>4,1</v>
      </c>
      <c r="D368" s="327" t="s">
        <v>228</v>
      </c>
      <c r="E368" s="430" t="str">
        <f>+[1]PRESUPUESTO!B22</f>
        <v>Concreto clase D (210 kg/cm2 ó 3000 PSI) - para anden</v>
      </c>
      <c r="F368" s="326" t="s">
        <v>193</v>
      </c>
      <c r="G368" s="1814" t="str">
        <f>+[1]PRESUPUESTO!C22</f>
        <v>m3</v>
      </c>
      <c r="H368" s="1815" t="e">
        <f>+VLOOKUP(F368,[1]PRESUPUESTO!$A$5:$C$30,2,)</f>
        <v>#N/A</v>
      </c>
      <c r="I368" s="1685" t="s">
        <v>855</v>
      </c>
      <c r="J368" s="1816"/>
      <c r="K368" s="1816"/>
      <c r="L368" s="368">
        <f>SUM(L371:L387)</f>
        <v>0</v>
      </c>
    </row>
    <row r="369" spans="2:15" ht="15" thickBot="1">
      <c r="B369" s="1817"/>
      <c r="C369" s="1818"/>
      <c r="D369" s="1819"/>
      <c r="E369" s="1825" t="s">
        <v>856</v>
      </c>
      <c r="F369" s="1827" t="s">
        <v>857</v>
      </c>
      <c r="G369" s="1828"/>
      <c r="H369" s="1828"/>
      <c r="I369" s="1828"/>
      <c r="J369" s="1829"/>
      <c r="K369" s="1830" t="s">
        <v>858</v>
      </c>
      <c r="L369" s="1832" t="s">
        <v>859</v>
      </c>
    </row>
    <row r="370" spans="2:15" ht="15" thickBot="1">
      <c r="B370" s="1820"/>
      <c r="C370" s="1821"/>
      <c r="D370" s="1822"/>
      <c r="E370" s="1826"/>
      <c r="F370" s="367" t="s">
        <v>860</v>
      </c>
      <c r="G370" s="367" t="s">
        <v>861</v>
      </c>
      <c r="H370" s="367" t="s">
        <v>862</v>
      </c>
      <c r="I370" s="367" t="s">
        <v>863</v>
      </c>
      <c r="J370" s="367" t="s">
        <v>871</v>
      </c>
      <c r="K370" s="1831"/>
      <c r="L370" s="1833"/>
    </row>
    <row r="371" spans="2:15">
      <c r="B371" s="1820"/>
      <c r="C371" s="1821"/>
      <c r="D371" s="1821"/>
      <c r="E371" s="106"/>
      <c r="F371" s="1834"/>
      <c r="G371" s="1834"/>
      <c r="H371" s="1834"/>
      <c r="I371" s="1834"/>
      <c r="J371" s="1834"/>
      <c r="K371" s="1834"/>
      <c r="L371" s="107"/>
      <c r="O371" s="5"/>
    </row>
    <row r="372" spans="2:15">
      <c r="B372" s="1820"/>
      <c r="C372" s="1821"/>
      <c r="D372" s="1821"/>
      <c r="E372" s="108" t="s">
        <v>1757</v>
      </c>
      <c r="F372" s="113">
        <v>0</v>
      </c>
      <c r="G372" s="109">
        <v>1.2</v>
      </c>
      <c r="H372" s="110">
        <v>0.1</v>
      </c>
      <c r="I372" s="1029"/>
      <c r="J372" s="1029">
        <f>+F372*G372*H372</f>
        <v>0</v>
      </c>
      <c r="K372" s="109">
        <v>0</v>
      </c>
      <c r="L372" s="111">
        <f>J372</f>
        <v>0</v>
      </c>
    </row>
    <row r="373" spans="2:15">
      <c r="B373" s="1820"/>
      <c r="C373" s="1821"/>
      <c r="D373" s="1821"/>
      <c r="E373" s="108"/>
      <c r="F373" s="113"/>
      <c r="G373" s="109"/>
      <c r="H373" s="112"/>
      <c r="I373" s="1029"/>
      <c r="J373" s="1029"/>
      <c r="K373" s="115"/>
      <c r="L373" s="111">
        <f t="shared" ref="L373:L383" si="17">J373</f>
        <v>0</v>
      </c>
    </row>
    <row r="374" spans="2:15">
      <c r="B374" s="1820"/>
      <c r="C374" s="1821"/>
      <c r="D374" s="1821"/>
      <c r="E374" s="108"/>
      <c r="F374" s="113"/>
      <c r="G374" s="109"/>
      <c r="H374" s="112"/>
      <c r="I374" s="1029"/>
      <c r="J374" s="1029"/>
      <c r="K374" s="115"/>
      <c r="L374" s="111">
        <f t="shared" si="17"/>
        <v>0</v>
      </c>
    </row>
    <row r="375" spans="2:15">
      <c r="B375" s="1820"/>
      <c r="C375" s="1821"/>
      <c r="D375" s="1821"/>
      <c r="E375" s="108"/>
      <c r="F375" s="113"/>
      <c r="G375" s="109"/>
      <c r="H375" s="112"/>
      <c r="I375" s="1029"/>
      <c r="J375" s="1029"/>
      <c r="K375" s="115"/>
      <c r="L375" s="111">
        <f t="shared" si="17"/>
        <v>0</v>
      </c>
    </row>
    <row r="376" spans="2:15">
      <c r="B376" s="1820"/>
      <c r="C376" s="1821"/>
      <c r="D376" s="1821"/>
      <c r="E376" s="108"/>
      <c r="F376" s="113"/>
      <c r="G376" s="109"/>
      <c r="H376" s="112"/>
      <c r="I376" s="1029"/>
      <c r="J376" s="1029"/>
      <c r="K376" s="115"/>
      <c r="L376" s="111">
        <f t="shared" si="17"/>
        <v>0</v>
      </c>
    </row>
    <row r="377" spans="2:15">
      <c r="B377" s="1820"/>
      <c r="C377" s="1821"/>
      <c r="D377" s="1821"/>
      <c r="E377" s="108"/>
      <c r="F377" s="113"/>
      <c r="G377" s="109"/>
      <c r="H377" s="112"/>
      <c r="I377" s="1029"/>
      <c r="J377" s="1029"/>
      <c r="K377" s="115"/>
      <c r="L377" s="111">
        <f t="shared" si="17"/>
        <v>0</v>
      </c>
    </row>
    <row r="378" spans="2:15">
      <c r="B378" s="1820"/>
      <c r="C378" s="1821"/>
      <c r="D378" s="1821"/>
      <c r="E378" s="108"/>
      <c r="F378" s="113"/>
      <c r="G378" s="109"/>
      <c r="H378" s="112"/>
      <c r="I378" s="1029"/>
      <c r="J378" s="1029"/>
      <c r="K378" s="115"/>
      <c r="L378" s="111">
        <f t="shared" si="17"/>
        <v>0</v>
      </c>
    </row>
    <row r="379" spans="2:15">
      <c r="B379" s="1820"/>
      <c r="C379" s="1821"/>
      <c r="D379" s="1821"/>
      <c r="E379" s="108"/>
      <c r="F379" s="113"/>
      <c r="G379" s="109"/>
      <c r="H379" s="112"/>
      <c r="I379" s="1029"/>
      <c r="J379" s="1029"/>
      <c r="K379" s="115"/>
      <c r="L379" s="111">
        <f t="shared" si="17"/>
        <v>0</v>
      </c>
    </row>
    <row r="380" spans="2:15">
      <c r="B380" s="1820"/>
      <c r="C380" s="1821"/>
      <c r="D380" s="1821"/>
      <c r="E380" s="108"/>
      <c r="F380" s="113"/>
      <c r="G380" s="109"/>
      <c r="H380" s="112"/>
      <c r="I380" s="1029"/>
      <c r="J380" s="1029"/>
      <c r="K380" s="112"/>
      <c r="L380" s="111">
        <f t="shared" si="17"/>
        <v>0</v>
      </c>
    </row>
    <row r="381" spans="2:15">
      <c r="B381" s="1820"/>
      <c r="C381" s="1821"/>
      <c r="D381" s="1821"/>
      <c r="E381" s="108"/>
      <c r="F381" s="109"/>
      <c r="G381" s="109"/>
      <c r="H381" s="115"/>
      <c r="I381" s="1029"/>
      <c r="J381" s="1029"/>
      <c r="K381" s="115"/>
      <c r="L381" s="111">
        <f t="shared" si="17"/>
        <v>0</v>
      </c>
    </row>
    <row r="382" spans="2:15">
      <c r="B382" s="1820"/>
      <c r="C382" s="1821"/>
      <c r="D382" s="1821"/>
      <c r="E382" s="108"/>
      <c r="F382" s="113"/>
      <c r="G382" s="109"/>
      <c r="H382" s="112"/>
      <c r="I382" s="1029"/>
      <c r="J382" s="1029"/>
      <c r="K382" s="112"/>
      <c r="L382" s="111">
        <f t="shared" si="17"/>
        <v>0</v>
      </c>
    </row>
    <row r="383" spans="2:15">
      <c r="B383" s="1820"/>
      <c r="C383" s="1821"/>
      <c r="D383" s="1821"/>
      <c r="E383" s="108"/>
      <c r="F383" s="113"/>
      <c r="G383" s="109"/>
      <c r="H383" s="112"/>
      <c r="I383" s="1029"/>
      <c r="J383" s="1029"/>
      <c r="K383" s="112"/>
      <c r="L383" s="111">
        <f t="shared" si="17"/>
        <v>0</v>
      </c>
    </row>
    <row r="384" spans="2:15">
      <c r="B384" s="1820"/>
      <c r="C384" s="1821"/>
      <c r="D384" s="1821"/>
      <c r="E384" s="117"/>
      <c r="F384" s="113"/>
      <c r="G384" s="109"/>
      <c r="H384" s="112"/>
      <c r="I384" s="1029"/>
      <c r="J384" s="1029"/>
      <c r="K384" s="112"/>
      <c r="L384" s="111">
        <f t="shared" ref="L384" si="18">J384</f>
        <v>0</v>
      </c>
    </row>
    <row r="385" spans="2:15">
      <c r="B385" s="1820"/>
      <c r="C385" s="1821"/>
      <c r="D385" s="1821"/>
      <c r="E385" s="108"/>
      <c r="F385" s="115"/>
      <c r="G385" s="115"/>
      <c r="H385" s="115"/>
      <c r="I385" s="115"/>
      <c r="J385" s="120"/>
      <c r="K385" s="115"/>
      <c r="L385" s="119"/>
    </row>
    <row r="386" spans="2:15">
      <c r="B386" s="1820"/>
      <c r="C386" s="1821"/>
      <c r="D386" s="1821"/>
      <c r="E386" s="108"/>
      <c r="F386" s="115"/>
      <c r="G386" s="115"/>
      <c r="H386" s="115"/>
      <c r="I386" s="115"/>
      <c r="J386" s="115"/>
      <c r="K386" s="115"/>
      <c r="L386" s="119"/>
    </row>
    <row r="387" spans="2:15" ht="15" thickBot="1">
      <c r="B387" s="1823"/>
      <c r="C387" s="1824"/>
      <c r="D387" s="1824"/>
      <c r="E387" s="121"/>
      <c r="F387" s="122"/>
      <c r="G387" s="122"/>
      <c r="H387" s="122"/>
      <c r="I387" s="122"/>
      <c r="J387" s="123"/>
      <c r="K387" s="122"/>
      <c r="L387" s="124"/>
    </row>
    <row r="388" spans="2:15" ht="15" thickBot="1"/>
    <row r="389" spans="2:15" ht="15" thickBot="1">
      <c r="B389" s="1835"/>
      <c r="C389" s="1836"/>
      <c r="D389" s="1841" t="s">
        <v>852</v>
      </c>
      <c r="E389" s="1842"/>
      <c r="F389" s="1842"/>
      <c r="G389" s="1842"/>
      <c r="H389" s="1842"/>
      <c r="I389" s="1842"/>
      <c r="J389" s="1842"/>
      <c r="K389" s="1842"/>
      <c r="L389" s="1843"/>
    </row>
    <row r="390" spans="2:15">
      <c r="B390" s="1837"/>
      <c r="C390" s="1838"/>
      <c r="D390" s="1844" t="s">
        <v>853</v>
      </c>
      <c r="E390" s="1846" t="str">
        <f>+[1]PRESUPUESTO!$A$2</f>
        <v>OBJETO: MEJORAMIENTO Y ADECUACIÓN DE LAS VIAS URBANAS DEL MUNICIPIO DE SANTA FE DE ANTIOQUIA</v>
      </c>
      <c r="F390" s="1847"/>
      <c r="G390" s="1847"/>
      <c r="H390" s="1848"/>
      <c r="I390" s="1844" t="s">
        <v>854</v>
      </c>
      <c r="J390" s="1852"/>
      <c r="K390" s="1852"/>
      <c r="L390" s="1852"/>
    </row>
    <row r="391" spans="2:15" ht="15" thickBot="1">
      <c r="B391" s="1837"/>
      <c r="C391" s="1838"/>
      <c r="D391" s="1845"/>
      <c r="E391" s="1849"/>
      <c r="F391" s="1850"/>
      <c r="G391" s="1850"/>
      <c r="H391" s="1851"/>
      <c r="I391" s="1845"/>
      <c r="J391" s="1853"/>
      <c r="K391" s="1853"/>
      <c r="L391" s="1854"/>
    </row>
    <row r="392" spans="2:15">
      <c r="B392" s="1837"/>
      <c r="C392" s="1838"/>
      <c r="D392" s="1855" t="str">
        <f>+[1]PRESUPUESTO!$A$2</f>
        <v>OBJETO: MEJORAMIENTO Y ADECUACIÓN DE LAS VIAS URBANAS DEL MUNICIPIO DE SANTA FE DE ANTIOQUIA</v>
      </c>
      <c r="E392" s="1856"/>
      <c r="F392" s="1856"/>
      <c r="G392" s="1856"/>
      <c r="H392" s="1856"/>
      <c r="I392" s="1856"/>
      <c r="J392" s="1856"/>
      <c r="K392" s="1856"/>
      <c r="L392" s="1857"/>
    </row>
    <row r="393" spans="2:15">
      <c r="B393" s="1837"/>
      <c r="C393" s="1838"/>
      <c r="D393" s="1858"/>
      <c r="E393" s="1859"/>
      <c r="F393" s="1859"/>
      <c r="G393" s="1859"/>
      <c r="H393" s="1859"/>
      <c r="I393" s="1859"/>
      <c r="J393" s="1859"/>
      <c r="K393" s="1859"/>
      <c r="L393" s="1860"/>
    </row>
    <row r="394" spans="2:15">
      <c r="B394" s="1837"/>
      <c r="C394" s="1838"/>
      <c r="D394" s="1858"/>
      <c r="E394" s="1859"/>
      <c r="F394" s="1859"/>
      <c r="G394" s="1859"/>
      <c r="H394" s="1859"/>
      <c r="I394" s="1859"/>
      <c r="J394" s="1859"/>
      <c r="K394" s="1859"/>
      <c r="L394" s="1860"/>
    </row>
    <row r="395" spans="2:15" ht="15" thickBot="1">
      <c r="B395" s="1839"/>
      <c r="C395" s="1840"/>
      <c r="D395" s="1861"/>
      <c r="E395" s="1862"/>
      <c r="F395" s="1862"/>
      <c r="G395" s="1862"/>
      <c r="H395" s="1862"/>
      <c r="I395" s="1862"/>
      <c r="J395" s="1862"/>
      <c r="K395" s="1862"/>
      <c r="L395" s="1863"/>
    </row>
    <row r="396" spans="2:15" ht="87" customHeight="1" thickBot="1">
      <c r="B396" s="327" t="s">
        <v>1</v>
      </c>
      <c r="C396" s="1032" t="str">
        <f>+[1]PRESUPUESTO!A23</f>
        <v>4,2</v>
      </c>
      <c r="D396" s="327" t="s">
        <v>228</v>
      </c>
      <c r="E396" s="430" t="str">
        <f>+[1]PRESUPUESTO!B23</f>
        <v>Concreto clase D (210 kg/cm2 ó 3000 PSI) - para cuneta</v>
      </c>
      <c r="F396" s="326" t="s">
        <v>193</v>
      </c>
      <c r="G396" s="1814" t="str">
        <f>+[1]PRESUPUESTO!C23</f>
        <v>m3</v>
      </c>
      <c r="H396" s="1815" t="e">
        <f>+VLOOKUP(F396,[1]PRESUPUESTO!$A$5:$C$30,2,)</f>
        <v>#N/A</v>
      </c>
      <c r="I396" s="1685" t="s">
        <v>855</v>
      </c>
      <c r="J396" s="1816"/>
      <c r="K396" s="1816"/>
      <c r="L396" s="368">
        <f>SUM(L399:L415)</f>
        <v>17.786999999999999</v>
      </c>
    </row>
    <row r="397" spans="2:15" ht="15" thickBot="1">
      <c r="B397" s="1817"/>
      <c r="C397" s="1818"/>
      <c r="D397" s="1819"/>
      <c r="E397" s="1825" t="s">
        <v>856</v>
      </c>
      <c r="F397" s="1827" t="s">
        <v>857</v>
      </c>
      <c r="G397" s="1828"/>
      <c r="H397" s="1828"/>
      <c r="I397" s="1828"/>
      <c r="J397" s="1829"/>
      <c r="K397" s="1830" t="s">
        <v>858</v>
      </c>
      <c r="L397" s="1832" t="s">
        <v>859</v>
      </c>
    </row>
    <row r="398" spans="2:15" ht="15" thickBot="1">
      <c r="B398" s="1820"/>
      <c r="C398" s="1821"/>
      <c r="D398" s="1822"/>
      <c r="E398" s="1826"/>
      <c r="F398" s="367" t="s">
        <v>860</v>
      </c>
      <c r="G398" s="367" t="s">
        <v>861</v>
      </c>
      <c r="H398" s="367" t="s">
        <v>862</v>
      </c>
      <c r="I398" s="367" t="s">
        <v>863</v>
      </c>
      <c r="J398" s="367" t="s">
        <v>864</v>
      </c>
      <c r="K398" s="1831"/>
      <c r="L398" s="1833"/>
    </row>
    <row r="399" spans="2:15">
      <c r="B399" s="1820"/>
      <c r="C399" s="1821"/>
      <c r="D399" s="1821"/>
      <c r="E399" s="106"/>
      <c r="F399" s="1834"/>
      <c r="G399" s="1834"/>
      <c r="H399" s="1834"/>
      <c r="I399" s="1834"/>
      <c r="J399" s="1834"/>
      <c r="K399" s="1834"/>
      <c r="L399" s="107"/>
    </row>
    <row r="400" spans="2:15">
      <c r="B400" s="1820"/>
      <c r="C400" s="1821"/>
      <c r="D400" s="1821"/>
      <c r="E400" s="108" t="s">
        <v>1768</v>
      </c>
      <c r="F400" s="1396">
        <f>+O10</f>
        <v>0</v>
      </c>
      <c r="G400" s="109">
        <v>0.5</v>
      </c>
      <c r="H400" s="110">
        <v>0.2</v>
      </c>
      <c r="I400" s="1029"/>
      <c r="J400" s="1029">
        <f>+F400*G400*H400</f>
        <v>0</v>
      </c>
      <c r="K400" s="109">
        <v>1</v>
      </c>
      <c r="L400" s="111">
        <f>J400*K400*1.05</f>
        <v>0</v>
      </c>
      <c r="O400" s="5">
        <f>PRESUPUESTO!F19</f>
        <v>224666984</v>
      </c>
    </row>
    <row r="401" spans="2:12">
      <c r="B401" s="1820"/>
      <c r="C401" s="1821"/>
      <c r="D401" s="1821"/>
      <c r="E401" s="108" t="s">
        <v>1769</v>
      </c>
      <c r="F401" s="113">
        <f>+O12</f>
        <v>84.7</v>
      </c>
      <c r="G401" s="109">
        <f>+P12</f>
        <v>1.4</v>
      </c>
      <c r="H401" s="110">
        <v>0.15</v>
      </c>
      <c r="I401" s="1029"/>
      <c r="J401" s="1029">
        <f>+F401*G401*H401</f>
        <v>17.786999999999999</v>
      </c>
      <c r="K401" s="109">
        <v>1</v>
      </c>
      <c r="L401" s="111">
        <f t="shared" ref="L401:L411" si="19">J401</f>
        <v>17.786999999999999</v>
      </c>
    </row>
    <row r="402" spans="2:12">
      <c r="B402" s="1820"/>
      <c r="C402" s="1821"/>
      <c r="D402" s="1821"/>
      <c r="E402" s="108"/>
      <c r="F402" s="113"/>
      <c r="G402" s="109"/>
      <c r="H402" s="110"/>
      <c r="I402" s="1029"/>
      <c r="J402" s="1029"/>
      <c r="K402" s="115"/>
      <c r="L402" s="111">
        <f t="shared" si="19"/>
        <v>0</v>
      </c>
    </row>
    <row r="403" spans="2:12">
      <c r="B403" s="1820"/>
      <c r="C403" s="1821"/>
      <c r="D403" s="1821"/>
      <c r="E403" s="108"/>
      <c r="F403" s="113"/>
      <c r="G403" s="109"/>
      <c r="H403" s="110"/>
      <c r="I403" s="1029"/>
      <c r="J403" s="1029"/>
      <c r="K403" s="115"/>
      <c r="L403" s="111">
        <f t="shared" si="19"/>
        <v>0</v>
      </c>
    </row>
    <row r="404" spans="2:12">
      <c r="B404" s="1820"/>
      <c r="C404" s="1821"/>
      <c r="D404" s="1821"/>
      <c r="E404" s="108"/>
      <c r="F404" s="113"/>
      <c r="G404" s="109"/>
      <c r="H404" s="110"/>
      <c r="I404" s="1029"/>
      <c r="J404" s="1029"/>
      <c r="K404" s="115"/>
      <c r="L404" s="111">
        <f t="shared" si="19"/>
        <v>0</v>
      </c>
    </row>
    <row r="405" spans="2:12">
      <c r="B405" s="1820"/>
      <c r="C405" s="1821"/>
      <c r="D405" s="1821"/>
      <c r="E405" s="108"/>
      <c r="F405" s="113"/>
      <c r="G405" s="109"/>
      <c r="H405" s="110"/>
      <c r="I405" s="1029"/>
      <c r="J405" s="1029"/>
      <c r="K405" s="115"/>
      <c r="L405" s="111">
        <f t="shared" si="19"/>
        <v>0</v>
      </c>
    </row>
    <row r="406" spans="2:12">
      <c r="B406" s="1820"/>
      <c r="C406" s="1821"/>
      <c r="D406" s="1821"/>
      <c r="E406" s="108"/>
      <c r="F406" s="113"/>
      <c r="G406" s="109"/>
      <c r="H406" s="110"/>
      <c r="I406" s="1029"/>
      <c r="J406" s="1029"/>
      <c r="K406" s="115"/>
      <c r="L406" s="111">
        <f t="shared" si="19"/>
        <v>0</v>
      </c>
    </row>
    <row r="407" spans="2:12">
      <c r="B407" s="1820"/>
      <c r="C407" s="1821"/>
      <c r="D407" s="1821"/>
      <c r="E407" s="108"/>
      <c r="F407" s="113"/>
      <c r="G407" s="109"/>
      <c r="H407" s="110"/>
      <c r="I407" s="1029"/>
      <c r="J407" s="1029"/>
      <c r="K407" s="115"/>
      <c r="L407" s="111">
        <f t="shared" si="19"/>
        <v>0</v>
      </c>
    </row>
    <row r="408" spans="2:12">
      <c r="B408" s="1820"/>
      <c r="C408" s="1821"/>
      <c r="D408" s="1821"/>
      <c r="E408" s="108"/>
      <c r="F408" s="113"/>
      <c r="G408" s="112"/>
      <c r="H408" s="112"/>
      <c r="I408" s="1029"/>
      <c r="J408" s="1029"/>
      <c r="K408" s="112"/>
      <c r="L408" s="111">
        <f t="shared" si="19"/>
        <v>0</v>
      </c>
    </row>
    <row r="409" spans="2:12">
      <c r="B409" s="1820"/>
      <c r="C409" s="1821"/>
      <c r="D409" s="1821"/>
      <c r="E409" s="108"/>
      <c r="F409" s="109"/>
      <c r="G409" s="115"/>
      <c r="H409" s="115"/>
      <c r="I409" s="1029"/>
      <c r="J409" s="1029"/>
      <c r="K409" s="115"/>
      <c r="L409" s="111">
        <f t="shared" si="19"/>
        <v>0</v>
      </c>
    </row>
    <row r="410" spans="2:12">
      <c r="B410" s="1820"/>
      <c r="C410" s="1821"/>
      <c r="D410" s="1821"/>
      <c r="E410" s="117"/>
      <c r="F410" s="113"/>
      <c r="G410" s="112"/>
      <c r="H410" s="112"/>
      <c r="I410" s="1029"/>
      <c r="J410" s="1029"/>
      <c r="K410" s="112"/>
      <c r="L410" s="111">
        <f t="shared" si="19"/>
        <v>0</v>
      </c>
    </row>
    <row r="411" spans="2:12">
      <c r="B411" s="1820"/>
      <c r="C411" s="1821"/>
      <c r="D411" s="1821"/>
      <c r="E411" s="117"/>
      <c r="F411" s="113"/>
      <c r="G411" s="112"/>
      <c r="H411" s="112"/>
      <c r="I411" s="1029"/>
      <c r="J411" s="1029"/>
      <c r="K411" s="112"/>
      <c r="L411" s="111">
        <f t="shared" si="19"/>
        <v>0</v>
      </c>
    </row>
    <row r="412" spans="2:12">
      <c r="B412" s="1820"/>
      <c r="C412" s="1821"/>
      <c r="D412" s="1821"/>
      <c r="E412" s="117"/>
      <c r="F412" s="112"/>
      <c r="G412" s="112"/>
      <c r="H412" s="112"/>
      <c r="I412" s="112"/>
      <c r="J412" s="114"/>
      <c r="K412" s="112"/>
      <c r="L412" s="119"/>
    </row>
    <row r="413" spans="2:12">
      <c r="B413" s="1820"/>
      <c r="C413" s="1821"/>
      <c r="D413" s="1821"/>
      <c r="E413" s="108"/>
      <c r="F413" s="115"/>
      <c r="G413" s="115"/>
      <c r="H413" s="115"/>
      <c r="I413" s="115"/>
      <c r="J413" s="120"/>
      <c r="K413" s="115"/>
      <c r="L413" s="119"/>
    </row>
    <row r="414" spans="2:12">
      <c r="B414" s="1820"/>
      <c r="C414" s="1821"/>
      <c r="D414" s="1821"/>
      <c r="E414" s="108"/>
      <c r="F414" s="115"/>
      <c r="G414" s="115"/>
      <c r="H414" s="115"/>
      <c r="I414" s="115"/>
      <c r="J414" s="115"/>
      <c r="K414" s="115"/>
      <c r="L414" s="119"/>
    </row>
    <row r="415" spans="2:12" ht="15" thickBot="1">
      <c r="B415" s="1823"/>
      <c r="C415" s="1824"/>
      <c r="D415" s="1824"/>
      <c r="E415" s="121"/>
      <c r="F415" s="122"/>
      <c r="G415" s="122"/>
      <c r="H415" s="122"/>
      <c r="I415" s="122"/>
      <c r="J415" s="123"/>
      <c r="K415" s="122"/>
      <c r="L415" s="124"/>
    </row>
    <row r="416" spans="2:12" ht="15" thickBot="1"/>
    <row r="417" spans="2:15" ht="15" thickBot="1">
      <c r="B417" s="1835"/>
      <c r="C417" s="1836"/>
      <c r="D417" s="1841" t="s">
        <v>852</v>
      </c>
      <c r="E417" s="1842"/>
      <c r="F417" s="1842"/>
      <c r="G417" s="1842"/>
      <c r="H417" s="1842"/>
      <c r="I417" s="1842"/>
      <c r="J417" s="1842"/>
      <c r="K417" s="1842"/>
      <c r="L417" s="1843"/>
    </row>
    <row r="418" spans="2:15">
      <c r="B418" s="1837"/>
      <c r="C418" s="1838"/>
      <c r="D418" s="1844" t="s">
        <v>853</v>
      </c>
      <c r="E418" s="1846" t="str">
        <f>+[1]PRESUPUESTO!$A$2</f>
        <v>OBJETO: MEJORAMIENTO Y ADECUACIÓN DE LAS VIAS URBANAS DEL MUNICIPIO DE SANTA FE DE ANTIOQUIA</v>
      </c>
      <c r="F418" s="1847"/>
      <c r="G418" s="1847"/>
      <c r="H418" s="1848"/>
      <c r="I418" s="1844" t="s">
        <v>854</v>
      </c>
      <c r="J418" s="1852"/>
      <c r="K418" s="1852"/>
      <c r="L418" s="1852"/>
    </row>
    <row r="419" spans="2:15" ht="15" thickBot="1">
      <c r="B419" s="1837"/>
      <c r="C419" s="1838"/>
      <c r="D419" s="1845"/>
      <c r="E419" s="1849"/>
      <c r="F419" s="1850"/>
      <c r="G419" s="1850"/>
      <c r="H419" s="1851"/>
      <c r="I419" s="1845"/>
      <c r="J419" s="1853"/>
      <c r="K419" s="1853"/>
      <c r="L419" s="1854"/>
    </row>
    <row r="420" spans="2:15">
      <c r="B420" s="1837"/>
      <c r="C420" s="1838"/>
      <c r="D420" s="1855" t="str">
        <f>+[1]PRESUPUESTO!$A$2</f>
        <v>OBJETO: MEJORAMIENTO Y ADECUACIÓN DE LAS VIAS URBANAS DEL MUNICIPIO DE SANTA FE DE ANTIOQUIA</v>
      </c>
      <c r="E420" s="1856"/>
      <c r="F420" s="1856"/>
      <c r="G420" s="1856"/>
      <c r="H420" s="1856"/>
      <c r="I420" s="1856"/>
      <c r="J420" s="1856"/>
      <c r="K420" s="1856"/>
      <c r="L420" s="1857"/>
    </row>
    <row r="421" spans="2:15">
      <c r="B421" s="1837"/>
      <c r="C421" s="1838"/>
      <c r="D421" s="1858"/>
      <c r="E421" s="1859"/>
      <c r="F421" s="1859"/>
      <c r="G421" s="1859"/>
      <c r="H421" s="1859"/>
      <c r="I421" s="1859"/>
      <c r="J421" s="1859"/>
      <c r="K421" s="1859"/>
      <c r="L421" s="1860"/>
    </row>
    <row r="422" spans="2:15">
      <c r="B422" s="1837"/>
      <c r="C422" s="1838"/>
      <c r="D422" s="1858"/>
      <c r="E422" s="1859"/>
      <c r="F422" s="1859"/>
      <c r="G422" s="1859"/>
      <c r="H422" s="1859"/>
      <c r="I422" s="1859"/>
      <c r="J422" s="1859"/>
      <c r="K422" s="1859"/>
      <c r="L422" s="1860"/>
    </row>
    <row r="423" spans="2:15" ht="15" thickBot="1">
      <c r="B423" s="1839"/>
      <c r="C423" s="1840"/>
      <c r="D423" s="1861"/>
      <c r="E423" s="1862"/>
      <c r="F423" s="1862"/>
      <c r="G423" s="1862"/>
      <c r="H423" s="1862"/>
      <c r="I423" s="1862"/>
      <c r="J423" s="1862"/>
      <c r="K423" s="1862"/>
      <c r="L423" s="1863"/>
    </row>
    <row r="424" spans="2:15" ht="44" customHeight="1" thickBot="1">
      <c r="B424" s="327" t="s">
        <v>1</v>
      </c>
      <c r="C424" s="1032" t="str">
        <f>+[1]PRESUPUESTO!A24</f>
        <v>4,3</v>
      </c>
      <c r="D424" s="327" t="s">
        <v>228</v>
      </c>
      <c r="E424" s="430" t="str">
        <f>+[1]PRESUPUESTO!B24</f>
        <v>Concreto de 21 Mpa para construcción de muros y losas  de poceta , cabezote, canal escalonado.  Según diseño  y/o Manual . No incluye refuerzo</v>
      </c>
      <c r="F424" s="326" t="s">
        <v>193</v>
      </c>
      <c r="G424" s="1814" t="str">
        <f>+[1]PRESUPUESTO!C24</f>
        <v>m3</v>
      </c>
      <c r="H424" s="1815" t="e">
        <f>+VLOOKUP(F424,[1]PRESUPUESTO!$A$5:$C$30,2,)</f>
        <v>#N/A</v>
      </c>
      <c r="I424" s="1685" t="s">
        <v>855</v>
      </c>
      <c r="J424" s="1816"/>
      <c r="K424" s="1816"/>
      <c r="L424" s="368">
        <f>SUM(L427:L443)</f>
        <v>0</v>
      </c>
    </row>
    <row r="425" spans="2:15" ht="15" thickBot="1">
      <c r="B425" s="1817"/>
      <c r="C425" s="1818"/>
      <c r="D425" s="1819"/>
      <c r="E425" s="1825" t="s">
        <v>856</v>
      </c>
      <c r="F425" s="1827" t="s">
        <v>857</v>
      </c>
      <c r="G425" s="1828"/>
      <c r="H425" s="1828"/>
      <c r="I425" s="1828"/>
      <c r="J425" s="1829"/>
      <c r="K425" s="1830" t="s">
        <v>858</v>
      </c>
      <c r="L425" s="1832" t="s">
        <v>859</v>
      </c>
    </row>
    <row r="426" spans="2:15" ht="15" thickBot="1">
      <c r="B426" s="1820"/>
      <c r="C426" s="1821"/>
      <c r="D426" s="1822"/>
      <c r="E426" s="1826"/>
      <c r="F426" s="367" t="s">
        <v>865</v>
      </c>
      <c r="G426" s="367" t="s">
        <v>861</v>
      </c>
      <c r="H426" s="367" t="s">
        <v>862</v>
      </c>
      <c r="I426" s="367" t="s">
        <v>863</v>
      </c>
      <c r="J426" s="367" t="s">
        <v>864</v>
      </c>
      <c r="K426" s="1831"/>
      <c r="L426" s="1833"/>
    </row>
    <row r="427" spans="2:15">
      <c r="B427" s="1820"/>
      <c r="C427" s="1821"/>
      <c r="D427" s="1821"/>
      <c r="E427" s="106" t="s">
        <v>866</v>
      </c>
      <c r="F427" s="1834"/>
      <c r="G427" s="1834"/>
      <c r="H427" s="1834"/>
      <c r="I427" s="1834"/>
      <c r="J427" s="1834"/>
      <c r="K427" s="1834"/>
      <c r="L427" s="107"/>
    </row>
    <row r="428" spans="2:15" ht="48" customHeight="1">
      <c r="B428" s="1820"/>
      <c r="C428" s="1821"/>
      <c r="D428" s="1821"/>
      <c r="E428" s="1348" t="str">
        <f>+E424</f>
        <v>Concreto de 21 Mpa para construcción de muros y losas  de poceta , cabezote, canal escalonado.  Según diseño  y/o Manual . No incluye refuerzo</v>
      </c>
      <c r="F428" s="109"/>
      <c r="G428" s="109"/>
      <c r="H428" s="110"/>
      <c r="I428" s="1029"/>
      <c r="J428" s="1029"/>
      <c r="K428" s="109"/>
      <c r="L428" s="111">
        <v>0</v>
      </c>
      <c r="O428" s="5">
        <f>PRESUPUESTO!F19</f>
        <v>224666984</v>
      </c>
    </row>
    <row r="429" spans="2:15">
      <c r="B429" s="1820"/>
      <c r="C429" s="1821"/>
      <c r="D429" s="1821"/>
      <c r="E429" s="108"/>
      <c r="F429" s="113"/>
      <c r="G429" s="112"/>
      <c r="H429" s="112"/>
      <c r="I429" s="1029"/>
      <c r="J429" s="1029"/>
      <c r="K429" s="115"/>
      <c r="L429" s="111">
        <f>J4529</f>
        <v>0</v>
      </c>
    </row>
    <row r="430" spans="2:15">
      <c r="B430" s="1820"/>
      <c r="C430" s="1821"/>
      <c r="D430" s="1821"/>
      <c r="E430" s="108"/>
      <c r="F430" s="113"/>
      <c r="G430" s="112"/>
      <c r="H430" s="112"/>
      <c r="I430" s="1029"/>
      <c r="J430" s="1029"/>
      <c r="K430" s="115"/>
      <c r="L430" s="111">
        <f t="shared" ref="L430:L439" si="20">J430</f>
        <v>0</v>
      </c>
    </row>
    <row r="431" spans="2:15">
      <c r="B431" s="1820"/>
      <c r="C431" s="1821"/>
      <c r="D431" s="1821"/>
      <c r="E431" s="108"/>
      <c r="F431" s="113"/>
      <c r="G431" s="112"/>
      <c r="H431" s="112"/>
      <c r="I431" s="1029"/>
      <c r="J431" s="1029"/>
      <c r="K431" s="115"/>
      <c r="L431" s="111">
        <f t="shared" si="20"/>
        <v>0</v>
      </c>
    </row>
    <row r="432" spans="2:15">
      <c r="B432" s="1820"/>
      <c r="C432" s="1821"/>
      <c r="D432" s="1821"/>
      <c r="E432" s="108"/>
      <c r="F432" s="113"/>
      <c r="G432" s="112"/>
      <c r="H432" s="112"/>
      <c r="I432" s="1029"/>
      <c r="J432" s="1029"/>
      <c r="K432" s="115"/>
      <c r="L432" s="111">
        <f t="shared" si="20"/>
        <v>0</v>
      </c>
    </row>
    <row r="433" spans="2:12">
      <c r="B433" s="1820"/>
      <c r="C433" s="1821"/>
      <c r="D433" s="1821"/>
      <c r="E433" s="108"/>
      <c r="F433" s="113"/>
      <c r="G433" s="112"/>
      <c r="H433" s="112"/>
      <c r="I433" s="1029"/>
      <c r="J433" s="1029"/>
      <c r="K433" s="115"/>
      <c r="L433" s="111">
        <f t="shared" si="20"/>
        <v>0</v>
      </c>
    </row>
    <row r="434" spans="2:12">
      <c r="B434" s="1820"/>
      <c r="C434" s="1821"/>
      <c r="D434" s="1821"/>
      <c r="E434" s="108"/>
      <c r="F434" s="113"/>
      <c r="G434" s="112"/>
      <c r="H434" s="112"/>
      <c r="I434" s="1029"/>
      <c r="J434" s="1029"/>
      <c r="K434" s="115"/>
      <c r="L434" s="111">
        <f t="shared" si="20"/>
        <v>0</v>
      </c>
    </row>
    <row r="435" spans="2:12">
      <c r="B435" s="1820"/>
      <c r="C435" s="1821"/>
      <c r="D435" s="1821"/>
      <c r="E435" s="108"/>
      <c r="F435" s="113"/>
      <c r="G435" s="112"/>
      <c r="H435" s="112"/>
      <c r="I435" s="1029"/>
      <c r="J435" s="1029"/>
      <c r="K435" s="115"/>
      <c r="L435" s="111">
        <f t="shared" si="20"/>
        <v>0</v>
      </c>
    </row>
    <row r="436" spans="2:12">
      <c r="B436" s="1820"/>
      <c r="C436" s="1821"/>
      <c r="D436" s="1821"/>
      <c r="E436" s="117"/>
      <c r="F436" s="113"/>
      <c r="G436" s="112"/>
      <c r="H436" s="112"/>
      <c r="I436" s="1029"/>
      <c r="J436" s="1029"/>
      <c r="K436" s="112"/>
      <c r="L436" s="111">
        <f t="shared" si="20"/>
        <v>0</v>
      </c>
    </row>
    <row r="437" spans="2:12">
      <c r="B437" s="1820"/>
      <c r="C437" s="1821"/>
      <c r="D437" s="1821"/>
      <c r="E437" s="108"/>
      <c r="F437" s="109"/>
      <c r="G437" s="115"/>
      <c r="H437" s="115"/>
      <c r="I437" s="1029"/>
      <c r="J437" s="1029"/>
      <c r="K437" s="115"/>
      <c r="L437" s="111">
        <f t="shared" si="20"/>
        <v>0</v>
      </c>
    </row>
    <row r="438" spans="2:12">
      <c r="B438" s="1820"/>
      <c r="C438" s="1821"/>
      <c r="D438" s="1821"/>
      <c r="E438" s="117"/>
      <c r="F438" s="113"/>
      <c r="G438" s="112"/>
      <c r="H438" s="112"/>
      <c r="I438" s="1029"/>
      <c r="J438" s="1029"/>
      <c r="K438" s="112"/>
      <c r="L438" s="111">
        <f t="shared" si="20"/>
        <v>0</v>
      </c>
    </row>
    <row r="439" spans="2:12">
      <c r="B439" s="1820"/>
      <c r="C439" s="1821"/>
      <c r="D439" s="1821"/>
      <c r="E439" s="117"/>
      <c r="F439" s="113"/>
      <c r="G439" s="112"/>
      <c r="H439" s="112"/>
      <c r="I439" s="1029"/>
      <c r="J439" s="1029"/>
      <c r="K439" s="112"/>
      <c r="L439" s="111">
        <f t="shared" si="20"/>
        <v>0</v>
      </c>
    </row>
    <row r="440" spans="2:12">
      <c r="B440" s="1820"/>
      <c r="C440" s="1821"/>
      <c r="D440" s="1821"/>
      <c r="E440" s="117"/>
      <c r="F440" s="112"/>
      <c r="G440" s="112"/>
      <c r="H440" s="112"/>
      <c r="I440" s="112"/>
      <c r="J440" s="114"/>
      <c r="K440" s="112"/>
      <c r="L440" s="119"/>
    </row>
    <row r="441" spans="2:12">
      <c r="B441" s="1820"/>
      <c r="C441" s="1821"/>
      <c r="D441" s="1821"/>
      <c r="E441" s="108"/>
      <c r="F441" s="115"/>
      <c r="G441" s="115"/>
      <c r="H441" s="115"/>
      <c r="I441" s="115"/>
      <c r="J441" s="120"/>
      <c r="K441" s="115"/>
      <c r="L441" s="119"/>
    </row>
    <row r="442" spans="2:12">
      <c r="B442" s="1820"/>
      <c r="C442" s="1821"/>
      <c r="D442" s="1821"/>
      <c r="E442" s="108"/>
      <c r="F442" s="115"/>
      <c r="G442" s="115"/>
      <c r="H442" s="115"/>
      <c r="I442" s="115"/>
      <c r="J442" s="115"/>
      <c r="K442" s="115"/>
      <c r="L442" s="119"/>
    </row>
    <row r="443" spans="2:12" ht="15" thickBot="1">
      <c r="B443" s="1823"/>
      <c r="C443" s="1824"/>
      <c r="D443" s="1824"/>
      <c r="E443" s="121"/>
      <c r="F443" s="122"/>
      <c r="G443" s="122"/>
      <c r="H443" s="122"/>
      <c r="I443" s="122"/>
      <c r="J443" s="123"/>
      <c r="K443" s="122"/>
      <c r="L443" s="124"/>
    </row>
    <row r="444" spans="2:12" ht="15" thickBot="1"/>
    <row r="445" spans="2:12" ht="15" thickBot="1">
      <c r="B445" s="1835"/>
      <c r="C445" s="1836"/>
      <c r="D445" s="1841" t="s">
        <v>852</v>
      </c>
      <c r="E445" s="1842"/>
      <c r="F445" s="1842"/>
      <c r="G445" s="1842"/>
      <c r="H445" s="1842"/>
      <c r="I445" s="1842"/>
      <c r="J445" s="1842"/>
      <c r="K445" s="1842"/>
      <c r="L445" s="1843"/>
    </row>
    <row r="446" spans="2:12">
      <c r="B446" s="1837"/>
      <c r="C446" s="1838"/>
      <c r="D446" s="1844" t="s">
        <v>853</v>
      </c>
      <c r="E446" s="1846" t="str">
        <f>+[1]PRESUPUESTO!$A$2</f>
        <v>OBJETO: MEJORAMIENTO Y ADECUACIÓN DE LAS VIAS URBANAS DEL MUNICIPIO DE SANTA FE DE ANTIOQUIA</v>
      </c>
      <c r="F446" s="1847"/>
      <c r="G446" s="1847"/>
      <c r="H446" s="1848"/>
      <c r="I446" s="1844" t="s">
        <v>854</v>
      </c>
      <c r="J446" s="1852"/>
      <c r="K446" s="1852"/>
      <c r="L446" s="1852"/>
    </row>
    <row r="447" spans="2:12" ht="15" thickBot="1">
      <c r="B447" s="1837"/>
      <c r="C447" s="1838"/>
      <c r="D447" s="1845"/>
      <c r="E447" s="1849"/>
      <c r="F447" s="1850"/>
      <c r="G447" s="1850"/>
      <c r="H447" s="1851"/>
      <c r="I447" s="1845"/>
      <c r="J447" s="1853"/>
      <c r="K447" s="1853"/>
      <c r="L447" s="1854"/>
    </row>
    <row r="448" spans="2:12">
      <c r="B448" s="1837"/>
      <c r="C448" s="1838"/>
      <c r="D448" s="1855" t="str">
        <f>+[1]PRESUPUESTO!$A$2</f>
        <v>OBJETO: MEJORAMIENTO Y ADECUACIÓN DE LAS VIAS URBANAS DEL MUNICIPIO DE SANTA FE DE ANTIOQUIA</v>
      </c>
      <c r="E448" s="1856"/>
      <c r="F448" s="1856"/>
      <c r="G448" s="1856"/>
      <c r="H448" s="1856"/>
      <c r="I448" s="1856"/>
      <c r="J448" s="1856"/>
      <c r="K448" s="1856"/>
      <c r="L448" s="1857"/>
    </row>
    <row r="449" spans="2:13">
      <c r="B449" s="1837"/>
      <c r="C449" s="1838"/>
      <c r="D449" s="1858"/>
      <c r="E449" s="1859"/>
      <c r="F449" s="1859"/>
      <c r="G449" s="1859"/>
      <c r="H449" s="1859"/>
      <c r="I449" s="1859"/>
      <c r="J449" s="1859"/>
      <c r="K449" s="1859"/>
      <c r="L449" s="1860"/>
    </row>
    <row r="450" spans="2:13">
      <c r="B450" s="1837"/>
      <c r="C450" s="1838"/>
      <c r="D450" s="1858"/>
      <c r="E450" s="1859"/>
      <c r="F450" s="1859"/>
      <c r="G450" s="1859"/>
      <c r="H450" s="1859"/>
      <c r="I450" s="1859"/>
      <c r="J450" s="1859"/>
      <c r="K450" s="1859"/>
      <c r="L450" s="1860"/>
    </row>
    <row r="451" spans="2:13" ht="15" thickBot="1">
      <c r="B451" s="1839"/>
      <c r="C451" s="1840"/>
      <c r="D451" s="1861"/>
      <c r="E451" s="1862"/>
      <c r="F451" s="1862"/>
      <c r="G451" s="1862"/>
      <c r="H451" s="1862"/>
      <c r="I451" s="1862"/>
      <c r="J451" s="1862"/>
      <c r="K451" s="1862"/>
      <c r="L451" s="1863"/>
    </row>
    <row r="452" spans="2:13" ht="15" thickBot="1">
      <c r="B452" s="327" t="s">
        <v>1</v>
      </c>
      <c r="C452" s="1032" t="str">
        <f>+[1]PRESUPUESTO!A26</f>
        <v>5,1</v>
      </c>
      <c r="D452" s="327" t="s">
        <v>228</v>
      </c>
      <c r="E452" s="430" t="str">
        <f>+[1]PRESUPUESTO!B26</f>
        <v>Acero de refuerzo de FY = 4.200 Kg/cm 2 (60.000 PSI).</v>
      </c>
      <c r="F452" s="326" t="s">
        <v>193</v>
      </c>
      <c r="G452" s="1814" t="str">
        <f>+[1]PRESUPUESTO!C26</f>
        <v>kg</v>
      </c>
      <c r="H452" s="1815" t="e">
        <f>+VLOOKUP(F452,[1]PRESUPUESTO!$A$5:$C$30,2,)</f>
        <v>#N/A</v>
      </c>
      <c r="I452" s="1685" t="s">
        <v>855</v>
      </c>
      <c r="J452" s="1816"/>
      <c r="K452" s="1816"/>
      <c r="L452" s="368">
        <f>SUM(L455:L471)</f>
        <v>1035.4073333333336</v>
      </c>
    </row>
    <row r="453" spans="2:13" ht="15" thickBot="1">
      <c r="B453" s="1817"/>
      <c r="C453" s="1818"/>
      <c r="D453" s="1819"/>
      <c r="E453" s="1825" t="s">
        <v>856</v>
      </c>
      <c r="F453" s="1827" t="s">
        <v>857</v>
      </c>
      <c r="G453" s="1828"/>
      <c r="H453" s="1828"/>
      <c r="I453" s="1828"/>
      <c r="J453" s="1829"/>
      <c r="K453" s="1830" t="s">
        <v>858</v>
      </c>
      <c r="L453" s="1832" t="s">
        <v>859</v>
      </c>
    </row>
    <row r="454" spans="2:13" ht="15" thickBot="1">
      <c r="B454" s="1820"/>
      <c r="C454" s="1821"/>
      <c r="D454" s="1822"/>
      <c r="E454" s="1826"/>
      <c r="F454" s="367" t="s">
        <v>865</v>
      </c>
      <c r="G454" s="367" t="s">
        <v>861</v>
      </c>
      <c r="H454" s="367" t="s">
        <v>862</v>
      </c>
      <c r="I454" s="367" t="s">
        <v>863</v>
      </c>
      <c r="J454" s="367" t="s">
        <v>864</v>
      </c>
      <c r="K454" s="1831"/>
      <c r="L454" s="1833"/>
    </row>
    <row r="455" spans="2:13">
      <c r="B455" s="1820"/>
      <c r="C455" s="1821"/>
      <c r="D455" s="1821"/>
      <c r="E455" s="106"/>
      <c r="F455" s="1834"/>
      <c r="G455" s="1834"/>
      <c r="H455" s="1834"/>
      <c r="I455" s="1834"/>
      <c r="J455" s="1834"/>
      <c r="K455" s="1834"/>
      <c r="L455" s="107"/>
    </row>
    <row r="456" spans="2:13">
      <c r="B456" s="1820"/>
      <c r="C456" s="1821"/>
      <c r="D456" s="1821"/>
      <c r="E456" s="108" t="s">
        <v>872</v>
      </c>
      <c r="F456" s="109"/>
      <c r="G456" s="109"/>
      <c r="H456" s="110"/>
      <c r="I456" s="1029"/>
      <c r="J456" s="1029"/>
      <c r="K456" s="109"/>
      <c r="L456" s="111" t="str">
        <f>+ACERO!J17</f>
        <v/>
      </c>
    </row>
    <row r="457" spans="2:13">
      <c r="B457" s="1820"/>
      <c r="C457" s="1821"/>
      <c r="D457" s="1821"/>
      <c r="E457" s="108" t="s">
        <v>873</v>
      </c>
      <c r="F457" s="113"/>
      <c r="G457" s="112"/>
      <c r="H457" s="112"/>
      <c r="I457" s="1029"/>
      <c r="J457" s="1029"/>
      <c r="K457" s="115"/>
      <c r="L457" s="111" cm="1">
        <f t="array" ref="L457:M457">+'ACERO CUNETA'!E11:F11</f>
        <v>1035.4073333333336</v>
      </c>
      <c r="M457" s="1">
        <v>0</v>
      </c>
    </row>
    <row r="458" spans="2:13">
      <c r="B458" s="1820"/>
      <c r="C458" s="1821"/>
      <c r="D458" s="1821"/>
      <c r="E458" s="108" t="s">
        <v>1744</v>
      </c>
      <c r="F458" s="113"/>
      <c r="G458" s="112"/>
      <c r="H458" s="112"/>
      <c r="I458" s="1029"/>
      <c r="J458" s="1029"/>
      <c r="K458" s="115"/>
      <c r="L458" s="111">
        <f>ACERO!G34</f>
        <v>0</v>
      </c>
    </row>
    <row r="459" spans="2:13">
      <c r="B459" s="1820"/>
      <c r="C459" s="1821"/>
      <c r="D459" s="1821"/>
      <c r="E459" s="108"/>
      <c r="F459" s="113"/>
      <c r="G459" s="112"/>
      <c r="H459" s="112"/>
      <c r="I459" s="1029"/>
      <c r="J459" s="1029"/>
      <c r="K459" s="115"/>
      <c r="L459" s="111">
        <f t="shared" ref="L459:L467" si="21">J459</f>
        <v>0</v>
      </c>
    </row>
    <row r="460" spans="2:13">
      <c r="B460" s="1820"/>
      <c r="C460" s="1821"/>
      <c r="D460" s="1821"/>
      <c r="E460" s="108"/>
      <c r="F460" s="113"/>
      <c r="G460" s="112"/>
      <c r="H460" s="112"/>
      <c r="I460" s="1029"/>
      <c r="J460" s="1029"/>
      <c r="K460" s="115"/>
      <c r="L460" s="111">
        <f t="shared" si="21"/>
        <v>0</v>
      </c>
    </row>
    <row r="461" spans="2:13">
      <c r="B461" s="1820"/>
      <c r="C461" s="1821"/>
      <c r="D461" s="1821"/>
      <c r="E461" s="108"/>
      <c r="F461" s="113"/>
      <c r="G461" s="112"/>
      <c r="H461" s="112"/>
      <c r="I461" s="1029"/>
      <c r="J461" s="1029"/>
      <c r="K461" s="115"/>
      <c r="L461" s="111">
        <f t="shared" si="21"/>
        <v>0</v>
      </c>
    </row>
    <row r="462" spans="2:13">
      <c r="B462" s="1820"/>
      <c r="C462" s="1821"/>
      <c r="D462" s="1821"/>
      <c r="E462" s="108"/>
      <c r="F462" s="113"/>
      <c r="G462" s="112"/>
      <c r="H462" s="112"/>
      <c r="I462" s="1029"/>
      <c r="J462" s="1029"/>
      <c r="K462" s="115"/>
      <c r="L462" s="111">
        <f t="shared" si="21"/>
        <v>0</v>
      </c>
    </row>
    <row r="463" spans="2:13">
      <c r="B463" s="1820"/>
      <c r="C463" s="1821"/>
      <c r="D463" s="1821"/>
      <c r="E463" s="108"/>
      <c r="F463" s="113"/>
      <c r="G463" s="112"/>
      <c r="H463" s="112"/>
      <c r="I463" s="1029"/>
      <c r="J463" s="1029"/>
      <c r="K463" s="115"/>
      <c r="L463" s="111">
        <f t="shared" si="21"/>
        <v>0</v>
      </c>
    </row>
    <row r="464" spans="2:13">
      <c r="B464" s="1820"/>
      <c r="C464" s="1821"/>
      <c r="D464" s="1821"/>
      <c r="E464" s="117"/>
      <c r="F464" s="113"/>
      <c r="G464" s="112"/>
      <c r="H464" s="112"/>
      <c r="I464" s="1029"/>
      <c r="J464" s="1029"/>
      <c r="K464" s="112"/>
      <c r="L464" s="111">
        <f t="shared" si="21"/>
        <v>0</v>
      </c>
    </row>
    <row r="465" spans="2:12">
      <c r="B465" s="1820"/>
      <c r="C465" s="1821"/>
      <c r="D465" s="1821"/>
      <c r="E465" s="108"/>
      <c r="F465" s="109"/>
      <c r="G465" s="115"/>
      <c r="H465" s="115"/>
      <c r="I465" s="1029"/>
      <c r="J465" s="1029"/>
      <c r="K465" s="115"/>
      <c r="L465" s="111">
        <f t="shared" si="21"/>
        <v>0</v>
      </c>
    </row>
    <row r="466" spans="2:12">
      <c r="B466" s="1820"/>
      <c r="C466" s="1821"/>
      <c r="D466" s="1821"/>
      <c r="E466" s="117"/>
      <c r="F466" s="113"/>
      <c r="G466" s="112"/>
      <c r="H466" s="112"/>
      <c r="I466" s="1029"/>
      <c r="J466" s="1029"/>
      <c r="K466" s="112"/>
      <c r="L466" s="111">
        <f t="shared" si="21"/>
        <v>0</v>
      </c>
    </row>
    <row r="467" spans="2:12">
      <c r="B467" s="1820"/>
      <c r="C467" s="1821"/>
      <c r="D467" s="1821"/>
      <c r="E467" s="117"/>
      <c r="F467" s="113"/>
      <c r="G467" s="112"/>
      <c r="H467" s="112"/>
      <c r="I467" s="1029"/>
      <c r="J467" s="1029"/>
      <c r="K467" s="112"/>
      <c r="L467" s="111">
        <f t="shared" si="21"/>
        <v>0</v>
      </c>
    </row>
    <row r="468" spans="2:12">
      <c r="B468" s="1820"/>
      <c r="C468" s="1821"/>
      <c r="D468" s="1821"/>
      <c r="E468" s="117"/>
      <c r="F468" s="112"/>
      <c r="G468" s="112"/>
      <c r="H468" s="112"/>
      <c r="I468" s="112"/>
      <c r="J468" s="114"/>
      <c r="K468" s="112"/>
      <c r="L468" s="119"/>
    </row>
    <row r="469" spans="2:12">
      <c r="B469" s="1820"/>
      <c r="C469" s="1821"/>
      <c r="D469" s="1821"/>
      <c r="E469" s="108"/>
      <c r="F469" s="115"/>
      <c r="G469" s="115"/>
      <c r="H469" s="115"/>
      <c r="I469" s="115"/>
      <c r="J469" s="120"/>
      <c r="K469" s="115"/>
      <c r="L469" s="119"/>
    </row>
    <row r="470" spans="2:12">
      <c r="B470" s="1820"/>
      <c r="C470" s="1821"/>
      <c r="D470" s="1821"/>
      <c r="E470" s="108"/>
      <c r="F470" s="115"/>
      <c r="G470" s="115"/>
      <c r="H470" s="115"/>
      <c r="I470" s="115"/>
      <c r="J470" s="115"/>
      <c r="K470" s="115"/>
      <c r="L470" s="119"/>
    </row>
    <row r="471" spans="2:12" ht="15" thickBot="1">
      <c r="B471" s="1823"/>
      <c r="C471" s="1824"/>
      <c r="D471" s="1824"/>
      <c r="E471" s="121"/>
      <c r="F471" s="122"/>
      <c r="G471" s="122"/>
      <c r="H471" s="122"/>
      <c r="I471" s="122"/>
      <c r="J471" s="123"/>
      <c r="K471" s="122"/>
      <c r="L471" s="124"/>
    </row>
    <row r="472" spans="2:12" ht="15" thickBot="1"/>
    <row r="473" spans="2:12" ht="15" thickBot="1">
      <c r="B473" s="1835"/>
      <c r="C473" s="1836"/>
      <c r="D473" s="1841" t="s">
        <v>852</v>
      </c>
      <c r="E473" s="1842"/>
      <c r="F473" s="1842"/>
      <c r="G473" s="1842"/>
      <c r="H473" s="1842"/>
      <c r="I473" s="1842"/>
      <c r="J473" s="1842"/>
      <c r="K473" s="1842"/>
      <c r="L473" s="1843"/>
    </row>
    <row r="474" spans="2:12">
      <c r="B474" s="1837"/>
      <c r="C474" s="1838"/>
      <c r="D474" s="1844" t="s">
        <v>853</v>
      </c>
      <c r="E474" s="1846" t="str">
        <f>+[1]PRESUPUESTO!$A$2</f>
        <v>OBJETO: MEJORAMIENTO Y ADECUACIÓN DE LAS VIAS URBANAS DEL MUNICIPIO DE SANTA FE DE ANTIOQUIA</v>
      </c>
      <c r="F474" s="1847"/>
      <c r="G474" s="1847"/>
      <c r="H474" s="1848"/>
      <c r="I474" s="1844" t="s">
        <v>854</v>
      </c>
      <c r="J474" s="1852"/>
      <c r="K474" s="1852"/>
      <c r="L474" s="1852"/>
    </row>
    <row r="475" spans="2:12" ht="15" thickBot="1">
      <c r="B475" s="1837"/>
      <c r="C475" s="1838"/>
      <c r="D475" s="1845"/>
      <c r="E475" s="1849"/>
      <c r="F475" s="1850"/>
      <c r="G475" s="1850"/>
      <c r="H475" s="1851"/>
      <c r="I475" s="1845"/>
      <c r="J475" s="1853"/>
      <c r="K475" s="1853"/>
      <c r="L475" s="1854"/>
    </row>
    <row r="476" spans="2:12">
      <c r="B476" s="1837"/>
      <c r="C476" s="1838"/>
      <c r="D476" s="1855" t="str">
        <f>+[1]PRESUPUESTO!$A$2</f>
        <v>OBJETO: MEJORAMIENTO Y ADECUACIÓN DE LAS VIAS URBANAS DEL MUNICIPIO DE SANTA FE DE ANTIOQUIA</v>
      </c>
      <c r="E476" s="1856"/>
      <c r="F476" s="1856"/>
      <c r="G476" s="1856"/>
      <c r="H476" s="1856"/>
      <c r="I476" s="1856"/>
      <c r="J476" s="1856"/>
      <c r="K476" s="1856"/>
      <c r="L476" s="1857"/>
    </row>
    <row r="477" spans="2:12">
      <c r="B477" s="1837"/>
      <c r="C477" s="1838"/>
      <c r="D477" s="1858"/>
      <c r="E477" s="1859"/>
      <c r="F477" s="1859"/>
      <c r="G477" s="1859"/>
      <c r="H477" s="1859"/>
      <c r="I477" s="1859"/>
      <c r="J477" s="1859"/>
      <c r="K477" s="1859"/>
      <c r="L477" s="1860"/>
    </row>
    <row r="478" spans="2:12">
      <c r="B478" s="1837"/>
      <c r="C478" s="1838"/>
      <c r="D478" s="1858"/>
      <c r="E478" s="1859"/>
      <c r="F478" s="1859"/>
      <c r="G478" s="1859"/>
      <c r="H478" s="1859"/>
      <c r="I478" s="1859"/>
      <c r="J478" s="1859"/>
      <c r="K478" s="1859"/>
      <c r="L478" s="1860"/>
    </row>
    <row r="479" spans="2:12" ht="15" thickBot="1">
      <c r="B479" s="1839"/>
      <c r="C479" s="1840"/>
      <c r="D479" s="1861"/>
      <c r="E479" s="1862"/>
      <c r="F479" s="1862"/>
      <c r="G479" s="1862"/>
      <c r="H479" s="1862"/>
      <c r="I479" s="1862"/>
      <c r="J479" s="1862"/>
      <c r="K479" s="1862"/>
      <c r="L479" s="1863"/>
    </row>
    <row r="480" spans="2:12" ht="44" thickBot="1">
      <c r="B480" s="327" t="s">
        <v>1</v>
      </c>
      <c r="C480" s="1032" t="str">
        <f>+[1]PRESUPUESTO!A27</f>
        <v>5,2</v>
      </c>
      <c r="D480" s="327" t="s">
        <v>228</v>
      </c>
      <c r="E480" s="430" t="str">
        <f>+[1]PRESUPUESTO!B27</f>
        <v>Colocación de MALLA ELECTROSOLDADA TIPO D 84. Incluye el suministro y el transporte del material y todos los elementos necesarios para su correcta colocación.</v>
      </c>
      <c r="F480" s="326" t="s">
        <v>193</v>
      </c>
      <c r="G480" s="1814" t="str">
        <f>+[1]PRESUPUESTO!C27</f>
        <v>m2</v>
      </c>
      <c r="H480" s="1815" t="e">
        <f>+VLOOKUP(F480,[1]PRESUPUESTO!$A$5:$C$30,2,)</f>
        <v>#N/A</v>
      </c>
      <c r="I480" s="1685" t="s">
        <v>855</v>
      </c>
      <c r="J480" s="1816"/>
      <c r="K480" s="1816"/>
      <c r="L480" s="368">
        <f>SUM(L483:L499)</f>
        <v>0</v>
      </c>
    </row>
    <row r="481" spans="2:12" ht="15" thickBot="1">
      <c r="B481" s="1817"/>
      <c r="C481" s="1818"/>
      <c r="D481" s="1819"/>
      <c r="E481" s="1825" t="s">
        <v>856</v>
      </c>
      <c r="F481" s="1827" t="s">
        <v>857</v>
      </c>
      <c r="G481" s="1828"/>
      <c r="H481" s="1828"/>
      <c r="I481" s="1828"/>
      <c r="J481" s="1829"/>
      <c r="K481" s="1830" t="s">
        <v>858</v>
      </c>
      <c r="L481" s="1832" t="s">
        <v>859</v>
      </c>
    </row>
    <row r="482" spans="2:12" ht="15" thickBot="1">
      <c r="B482" s="1820"/>
      <c r="C482" s="1821"/>
      <c r="D482" s="1822"/>
      <c r="E482" s="1826"/>
      <c r="F482" s="367" t="s">
        <v>865</v>
      </c>
      <c r="G482" s="367" t="s">
        <v>861</v>
      </c>
      <c r="H482" s="367" t="s">
        <v>862</v>
      </c>
      <c r="I482" s="367" t="s">
        <v>863</v>
      </c>
      <c r="J482" s="367" t="s">
        <v>864</v>
      </c>
      <c r="K482" s="1831"/>
      <c r="L482" s="1833"/>
    </row>
    <row r="483" spans="2:12">
      <c r="B483" s="1820"/>
      <c r="C483" s="1821"/>
      <c r="D483" s="1821"/>
      <c r="E483" s="106"/>
      <c r="F483" s="1834"/>
      <c r="G483" s="1834"/>
      <c r="H483" s="1834"/>
      <c r="I483" s="1834"/>
      <c r="J483" s="1834"/>
      <c r="K483" s="1834"/>
      <c r="L483" s="107"/>
    </row>
    <row r="484" spans="2:12">
      <c r="B484" s="1820"/>
      <c r="C484" s="1821"/>
      <c r="D484" s="1821"/>
      <c r="E484" s="108" t="s">
        <v>867</v>
      </c>
      <c r="F484" s="113">
        <f>+$F$344</f>
        <v>169.4</v>
      </c>
      <c r="G484" s="109">
        <v>0</v>
      </c>
      <c r="H484" s="110"/>
      <c r="I484" s="1029"/>
      <c r="J484" s="1029"/>
      <c r="K484" s="109"/>
      <c r="L484" s="111">
        <f>F484*G484</f>
        <v>0</v>
      </c>
    </row>
    <row r="485" spans="2:12">
      <c r="B485" s="1820"/>
      <c r="C485" s="1821"/>
      <c r="D485" s="1821"/>
      <c r="E485" s="108"/>
      <c r="F485" s="113"/>
      <c r="G485" s="112"/>
      <c r="H485" s="112"/>
      <c r="I485" s="1029"/>
      <c r="J485" s="1029"/>
      <c r="K485" s="115"/>
      <c r="L485" s="111">
        <f t="shared" ref="L485:L496" si="22">F485</f>
        <v>0</v>
      </c>
    </row>
    <row r="486" spans="2:12">
      <c r="B486" s="1820"/>
      <c r="C486" s="1821"/>
      <c r="D486" s="1821"/>
      <c r="E486" s="108"/>
      <c r="F486" s="113"/>
      <c r="G486" s="112"/>
      <c r="H486" s="112"/>
      <c r="I486" s="1029"/>
      <c r="J486" s="1029"/>
      <c r="K486" s="115"/>
      <c r="L486" s="111">
        <f t="shared" si="22"/>
        <v>0</v>
      </c>
    </row>
    <row r="487" spans="2:12">
      <c r="B487" s="1820"/>
      <c r="C487" s="1821"/>
      <c r="D487" s="1821"/>
      <c r="E487" s="108"/>
      <c r="F487" s="113"/>
      <c r="G487" s="112"/>
      <c r="H487" s="112"/>
      <c r="I487" s="1029"/>
      <c r="J487" s="1029"/>
      <c r="K487" s="115"/>
      <c r="L487" s="111">
        <f t="shared" si="22"/>
        <v>0</v>
      </c>
    </row>
    <row r="488" spans="2:12">
      <c r="B488" s="1820"/>
      <c r="C488" s="1821"/>
      <c r="D488" s="1821"/>
      <c r="E488" s="108"/>
      <c r="F488" s="113"/>
      <c r="G488" s="112"/>
      <c r="H488" s="112"/>
      <c r="I488" s="1029"/>
      <c r="J488" s="1029"/>
      <c r="K488" s="115"/>
      <c r="L488" s="111">
        <f t="shared" si="22"/>
        <v>0</v>
      </c>
    </row>
    <row r="489" spans="2:12">
      <c r="B489" s="1820"/>
      <c r="C489" s="1821"/>
      <c r="D489" s="1821"/>
      <c r="E489" s="108"/>
      <c r="F489" s="113"/>
      <c r="G489" s="112"/>
      <c r="H489" s="112"/>
      <c r="I489" s="1029"/>
      <c r="J489" s="1029"/>
      <c r="K489" s="115"/>
      <c r="L489" s="111">
        <f t="shared" si="22"/>
        <v>0</v>
      </c>
    </row>
    <row r="490" spans="2:12">
      <c r="B490" s="1820"/>
      <c r="C490" s="1821"/>
      <c r="D490" s="1821"/>
      <c r="E490" s="108"/>
      <c r="F490" s="113"/>
      <c r="G490" s="112"/>
      <c r="H490" s="112"/>
      <c r="I490" s="1029"/>
      <c r="J490" s="1029"/>
      <c r="K490" s="115"/>
      <c r="L490" s="111">
        <f t="shared" si="22"/>
        <v>0</v>
      </c>
    </row>
    <row r="491" spans="2:12">
      <c r="B491" s="1820"/>
      <c r="C491" s="1821"/>
      <c r="D491" s="1821"/>
      <c r="E491" s="108"/>
      <c r="F491" s="113"/>
      <c r="G491" s="112"/>
      <c r="H491" s="112"/>
      <c r="I491" s="1029"/>
      <c r="J491" s="1029"/>
      <c r="K491" s="115"/>
      <c r="L491" s="111">
        <f t="shared" si="22"/>
        <v>0</v>
      </c>
    </row>
    <row r="492" spans="2:12">
      <c r="B492" s="1820"/>
      <c r="C492" s="1821"/>
      <c r="D492" s="1821"/>
      <c r="E492" s="117"/>
      <c r="F492" s="113"/>
      <c r="G492" s="112"/>
      <c r="H492" s="112"/>
      <c r="I492" s="1029"/>
      <c r="J492" s="1029"/>
      <c r="K492" s="112"/>
      <c r="L492" s="111">
        <f t="shared" si="22"/>
        <v>0</v>
      </c>
    </row>
    <row r="493" spans="2:12">
      <c r="B493" s="1820"/>
      <c r="C493" s="1821"/>
      <c r="D493" s="1821"/>
      <c r="E493" s="108"/>
      <c r="F493" s="109"/>
      <c r="G493" s="115"/>
      <c r="H493" s="115"/>
      <c r="I493" s="1029"/>
      <c r="J493" s="1029"/>
      <c r="K493" s="115"/>
      <c r="L493" s="111">
        <f t="shared" si="22"/>
        <v>0</v>
      </c>
    </row>
    <row r="494" spans="2:12">
      <c r="B494" s="1820"/>
      <c r="C494" s="1821"/>
      <c r="D494" s="1821"/>
      <c r="E494" s="117"/>
      <c r="F494" s="113"/>
      <c r="G494" s="112"/>
      <c r="H494" s="112"/>
      <c r="I494" s="1029"/>
      <c r="J494" s="1029"/>
      <c r="K494" s="112"/>
      <c r="L494" s="111">
        <f t="shared" si="22"/>
        <v>0</v>
      </c>
    </row>
    <row r="495" spans="2:12">
      <c r="B495" s="1820"/>
      <c r="C495" s="1821"/>
      <c r="D495" s="1821"/>
      <c r="E495" s="117"/>
      <c r="F495" s="113"/>
      <c r="G495" s="112"/>
      <c r="H495" s="112"/>
      <c r="I495" s="1029"/>
      <c r="J495" s="1029"/>
      <c r="K495" s="112"/>
      <c r="L495" s="111">
        <f t="shared" si="22"/>
        <v>0</v>
      </c>
    </row>
    <row r="496" spans="2:12">
      <c r="B496" s="1820"/>
      <c r="C496" s="1821"/>
      <c r="D496" s="1821"/>
      <c r="E496" s="117"/>
      <c r="F496" s="113"/>
      <c r="G496" s="109"/>
      <c r="H496" s="112"/>
      <c r="I496" s="1029"/>
      <c r="J496" s="1029"/>
      <c r="K496" s="112"/>
      <c r="L496" s="111">
        <f t="shared" si="22"/>
        <v>0</v>
      </c>
    </row>
    <row r="497" spans="2:12">
      <c r="B497" s="1820"/>
      <c r="C497" s="1821"/>
      <c r="D497" s="1821"/>
      <c r="E497" s="108"/>
      <c r="F497" s="115"/>
      <c r="G497" s="115"/>
      <c r="H497" s="115"/>
      <c r="I497" s="115"/>
      <c r="J497" s="120"/>
      <c r="K497" s="115"/>
      <c r="L497" s="119"/>
    </row>
    <row r="498" spans="2:12">
      <c r="B498" s="1820"/>
      <c r="C498" s="1821"/>
      <c r="D498" s="1821"/>
      <c r="E498" s="108"/>
      <c r="F498" s="115"/>
      <c r="G498" s="115"/>
      <c r="H498" s="115"/>
      <c r="I498" s="115"/>
      <c r="J498" s="115"/>
      <c r="K498" s="115"/>
      <c r="L498" s="119"/>
    </row>
    <row r="499" spans="2:12" ht="15" thickBot="1">
      <c r="B499" s="1823"/>
      <c r="C499" s="1824"/>
      <c r="D499" s="1824"/>
      <c r="E499" s="121"/>
      <c r="F499" s="122"/>
      <c r="G499" s="122"/>
      <c r="H499" s="122"/>
      <c r="I499" s="122"/>
      <c r="J499" s="123"/>
      <c r="K499" s="122"/>
      <c r="L499" s="124"/>
    </row>
    <row r="500" spans="2:12" ht="15" thickBot="1"/>
    <row r="501" spans="2:12" ht="15" thickBot="1">
      <c r="B501" s="1835"/>
      <c r="C501" s="1836"/>
      <c r="D501" s="1841" t="s">
        <v>852</v>
      </c>
      <c r="E501" s="1842"/>
      <c r="F501" s="1842"/>
      <c r="G501" s="1842"/>
      <c r="H501" s="1842"/>
      <c r="I501" s="1842"/>
      <c r="J501" s="1842"/>
      <c r="K501" s="1842"/>
      <c r="L501" s="1843"/>
    </row>
    <row r="502" spans="2:12">
      <c r="B502" s="1837"/>
      <c r="C502" s="1838"/>
      <c r="D502" s="1844" t="s">
        <v>853</v>
      </c>
      <c r="E502" s="1846" t="str">
        <f>+[1]PRESUPUESTO!$A$2</f>
        <v>OBJETO: MEJORAMIENTO Y ADECUACIÓN DE LAS VIAS URBANAS DEL MUNICIPIO DE SANTA FE DE ANTIOQUIA</v>
      </c>
      <c r="F502" s="1847"/>
      <c r="G502" s="1847"/>
      <c r="H502" s="1848"/>
      <c r="I502" s="1844" t="s">
        <v>854</v>
      </c>
      <c r="J502" s="1852"/>
      <c r="K502" s="1852"/>
      <c r="L502" s="1852"/>
    </row>
    <row r="503" spans="2:12" ht="15" thickBot="1">
      <c r="B503" s="1837"/>
      <c r="C503" s="1838"/>
      <c r="D503" s="1845"/>
      <c r="E503" s="1849"/>
      <c r="F503" s="1850"/>
      <c r="G503" s="1850"/>
      <c r="H503" s="1851"/>
      <c r="I503" s="1845"/>
      <c r="J503" s="1853"/>
      <c r="K503" s="1853"/>
      <c r="L503" s="1854"/>
    </row>
    <row r="504" spans="2:12">
      <c r="B504" s="1837"/>
      <c r="C504" s="1838"/>
      <c r="D504" s="1855" t="str">
        <f>+[1]PRESUPUESTO!$A$2</f>
        <v>OBJETO: MEJORAMIENTO Y ADECUACIÓN DE LAS VIAS URBANAS DEL MUNICIPIO DE SANTA FE DE ANTIOQUIA</v>
      </c>
      <c r="E504" s="1856"/>
      <c r="F504" s="1856"/>
      <c r="G504" s="1856"/>
      <c r="H504" s="1856"/>
      <c r="I504" s="1856"/>
      <c r="J504" s="1856"/>
      <c r="K504" s="1856"/>
      <c r="L504" s="1857"/>
    </row>
    <row r="505" spans="2:12">
      <c r="B505" s="1837"/>
      <c r="C505" s="1838"/>
      <c r="D505" s="1858"/>
      <c r="E505" s="1859"/>
      <c r="F505" s="1859"/>
      <c r="G505" s="1859"/>
      <c r="H505" s="1859"/>
      <c r="I505" s="1859"/>
      <c r="J505" s="1859"/>
      <c r="K505" s="1859"/>
      <c r="L505" s="1860"/>
    </row>
    <row r="506" spans="2:12">
      <c r="B506" s="1837"/>
      <c r="C506" s="1838"/>
      <c r="D506" s="1858"/>
      <c r="E506" s="1859"/>
      <c r="F506" s="1859"/>
      <c r="G506" s="1859"/>
      <c r="H506" s="1859"/>
      <c r="I506" s="1859"/>
      <c r="J506" s="1859"/>
      <c r="K506" s="1859"/>
      <c r="L506" s="1860"/>
    </row>
    <row r="507" spans="2:12" ht="15" thickBot="1">
      <c r="B507" s="1839"/>
      <c r="C507" s="1840"/>
      <c r="D507" s="1861"/>
      <c r="E507" s="1862"/>
      <c r="F507" s="1862"/>
      <c r="G507" s="1862"/>
      <c r="H507" s="1862"/>
      <c r="I507" s="1862"/>
      <c r="J507" s="1862"/>
      <c r="K507" s="1862"/>
      <c r="L507" s="1863"/>
    </row>
    <row r="508" spans="2:12" ht="86.5" customHeight="1" thickBot="1">
      <c r="B508" s="327" t="s">
        <v>1</v>
      </c>
      <c r="C508" s="1032" t="str">
        <f>+[1]PRESUPUESTO!A29</f>
        <v>6,1</v>
      </c>
      <c r="D508" s="327" t="s">
        <v>228</v>
      </c>
      <c r="E508" s="430" t="str">
        <f>+[1]PRESUPUESTO!B29</f>
        <v>Construcción de SUMIDERO de aguas lluvias TIPO B (1.10m x 0.80m medidas externas y prof=0.90m e=0.20m), en concreto de 21 Mpa. Incluye suministro, transporte y colocación del concreto, reja metálica, formaleta, vibrado y todo lo necesario para su correcta construcción y funcionamiento.</v>
      </c>
      <c r="F508" s="326" t="s">
        <v>193</v>
      </c>
      <c r="G508" s="1814" t="str">
        <f>+[1]PRESUPUESTO!C29</f>
        <v>und</v>
      </c>
      <c r="H508" s="1815" t="e">
        <f>+VLOOKUP(F508,[1]PRESUPUESTO!$A$5:$C$30,2,)</f>
        <v>#N/A</v>
      </c>
      <c r="I508" s="1685" t="s">
        <v>855</v>
      </c>
      <c r="J508" s="1816"/>
      <c r="K508" s="1816"/>
      <c r="L508" s="368">
        <f>SUM(L511:L527)</f>
        <v>0</v>
      </c>
    </row>
    <row r="509" spans="2:12" ht="15" thickBot="1">
      <c r="B509" s="1817"/>
      <c r="C509" s="1818"/>
      <c r="D509" s="1819"/>
      <c r="E509" s="1825" t="s">
        <v>856</v>
      </c>
      <c r="F509" s="1827" t="s">
        <v>857</v>
      </c>
      <c r="G509" s="1828"/>
      <c r="H509" s="1828"/>
      <c r="I509" s="1828"/>
      <c r="J509" s="1829"/>
      <c r="K509" s="1830" t="s">
        <v>858</v>
      </c>
      <c r="L509" s="1832" t="s">
        <v>859</v>
      </c>
    </row>
    <row r="510" spans="2:12" ht="15" thickBot="1">
      <c r="B510" s="1820"/>
      <c r="C510" s="1821"/>
      <c r="D510" s="1822"/>
      <c r="E510" s="1826"/>
      <c r="F510" s="367" t="s">
        <v>860</v>
      </c>
      <c r="G510" s="367" t="s">
        <v>861</v>
      </c>
      <c r="H510" s="367" t="s">
        <v>862</v>
      </c>
      <c r="I510" s="367" t="s">
        <v>863</v>
      </c>
      <c r="J510" s="367" t="s">
        <v>864</v>
      </c>
      <c r="K510" s="1831"/>
      <c r="L510" s="1833"/>
    </row>
    <row r="511" spans="2:12">
      <c r="B511" s="1820"/>
      <c r="C511" s="1821"/>
      <c r="D511" s="1821"/>
      <c r="E511" s="106"/>
      <c r="F511" s="1834"/>
      <c r="G511" s="1834"/>
      <c r="H511" s="1834"/>
      <c r="I511" s="1834"/>
      <c r="J511" s="1834"/>
      <c r="K511" s="1834"/>
      <c r="L511" s="107"/>
    </row>
    <row r="512" spans="2:12">
      <c r="B512" s="1820"/>
      <c r="C512" s="1821"/>
      <c r="D512" s="1821"/>
      <c r="E512" s="108" t="s">
        <v>874</v>
      </c>
      <c r="F512" s="109"/>
      <c r="G512" s="109"/>
      <c r="H512" s="110"/>
      <c r="I512" s="1029"/>
      <c r="J512" s="1029"/>
      <c r="K512" s="109">
        <v>0</v>
      </c>
      <c r="L512" s="111">
        <f>K512</f>
        <v>0</v>
      </c>
    </row>
    <row r="513" spans="2:12">
      <c r="B513" s="1820"/>
      <c r="C513" s="1821"/>
      <c r="D513" s="1821"/>
      <c r="E513" s="108"/>
      <c r="F513" s="113"/>
      <c r="G513" s="112"/>
      <c r="H513" s="112"/>
      <c r="I513" s="1029"/>
      <c r="J513" s="1029"/>
      <c r="K513" s="115"/>
      <c r="L513" s="111">
        <f t="shared" ref="L513:L523" si="23">J513</f>
        <v>0</v>
      </c>
    </row>
    <row r="514" spans="2:12">
      <c r="B514" s="1820"/>
      <c r="C514" s="1821"/>
      <c r="D514" s="1821"/>
      <c r="E514" s="108"/>
      <c r="F514" s="113"/>
      <c r="G514" s="112"/>
      <c r="H514" s="112"/>
      <c r="I514" s="1029"/>
      <c r="J514" s="1029"/>
      <c r="K514" s="115"/>
      <c r="L514" s="111">
        <f t="shared" si="23"/>
        <v>0</v>
      </c>
    </row>
    <row r="515" spans="2:12">
      <c r="B515" s="1820"/>
      <c r="C515" s="1821"/>
      <c r="D515" s="1821"/>
      <c r="E515" s="108"/>
      <c r="F515" s="113"/>
      <c r="G515" s="112"/>
      <c r="H515" s="112"/>
      <c r="I515" s="1029"/>
      <c r="J515" s="1029"/>
      <c r="K515" s="115"/>
      <c r="L515" s="111">
        <f t="shared" si="23"/>
        <v>0</v>
      </c>
    </row>
    <row r="516" spans="2:12">
      <c r="B516" s="1820"/>
      <c r="C516" s="1821"/>
      <c r="D516" s="1821"/>
      <c r="E516" s="108"/>
      <c r="F516" s="113"/>
      <c r="G516" s="112"/>
      <c r="H516" s="112"/>
      <c r="I516" s="1029"/>
      <c r="J516" s="1029"/>
      <c r="K516" s="115"/>
      <c r="L516" s="111">
        <f t="shared" si="23"/>
        <v>0</v>
      </c>
    </row>
    <row r="517" spans="2:12">
      <c r="B517" s="1820"/>
      <c r="C517" s="1821"/>
      <c r="D517" s="1821"/>
      <c r="E517" s="108"/>
      <c r="F517" s="113"/>
      <c r="G517" s="112"/>
      <c r="H517" s="112"/>
      <c r="I517" s="1029"/>
      <c r="J517" s="1029"/>
      <c r="K517" s="115"/>
      <c r="L517" s="111">
        <f t="shared" si="23"/>
        <v>0</v>
      </c>
    </row>
    <row r="518" spans="2:12">
      <c r="B518" s="1820"/>
      <c r="C518" s="1821"/>
      <c r="D518" s="1821"/>
      <c r="E518" s="108"/>
      <c r="F518" s="113"/>
      <c r="G518" s="112"/>
      <c r="H518" s="112"/>
      <c r="I518" s="1029"/>
      <c r="J518" s="1029"/>
      <c r="K518" s="115"/>
      <c r="L518" s="111">
        <f t="shared" si="23"/>
        <v>0</v>
      </c>
    </row>
    <row r="519" spans="2:12">
      <c r="B519" s="1820"/>
      <c r="C519" s="1821"/>
      <c r="D519" s="1821"/>
      <c r="E519" s="108"/>
      <c r="F519" s="113"/>
      <c r="G519" s="112"/>
      <c r="H519" s="112"/>
      <c r="I519" s="1029"/>
      <c r="J519" s="1029"/>
      <c r="K519" s="115"/>
      <c r="L519" s="111">
        <f t="shared" si="23"/>
        <v>0</v>
      </c>
    </row>
    <row r="520" spans="2:12">
      <c r="B520" s="1820"/>
      <c r="C520" s="1821"/>
      <c r="D520" s="1821"/>
      <c r="E520" s="117"/>
      <c r="F520" s="113"/>
      <c r="G520" s="112"/>
      <c r="H520" s="112"/>
      <c r="I520" s="1029"/>
      <c r="J520" s="1029"/>
      <c r="K520" s="112"/>
      <c r="L520" s="111">
        <f t="shared" si="23"/>
        <v>0</v>
      </c>
    </row>
    <row r="521" spans="2:12">
      <c r="B521" s="1820"/>
      <c r="C521" s="1821"/>
      <c r="D521" s="1821"/>
      <c r="E521" s="108"/>
      <c r="F521" s="109"/>
      <c r="G521" s="115"/>
      <c r="H521" s="115"/>
      <c r="I521" s="1029"/>
      <c r="J521" s="1029"/>
      <c r="K521" s="115"/>
      <c r="L521" s="111">
        <f t="shared" si="23"/>
        <v>0</v>
      </c>
    </row>
    <row r="522" spans="2:12">
      <c r="B522" s="1820"/>
      <c r="C522" s="1821"/>
      <c r="D522" s="1821"/>
      <c r="E522" s="117"/>
      <c r="F522" s="113"/>
      <c r="G522" s="112"/>
      <c r="H522" s="112"/>
      <c r="I522" s="1029"/>
      <c r="J522" s="1029"/>
      <c r="K522" s="112"/>
      <c r="L522" s="111">
        <f t="shared" si="23"/>
        <v>0</v>
      </c>
    </row>
    <row r="523" spans="2:12">
      <c r="B523" s="1820"/>
      <c r="C523" s="1821"/>
      <c r="D523" s="1821"/>
      <c r="E523" s="117"/>
      <c r="F523" s="113"/>
      <c r="G523" s="112"/>
      <c r="H523" s="112"/>
      <c r="I523" s="1029"/>
      <c r="J523" s="1029"/>
      <c r="K523" s="112"/>
      <c r="L523" s="111">
        <f t="shared" si="23"/>
        <v>0</v>
      </c>
    </row>
    <row r="524" spans="2:12">
      <c r="B524" s="1820"/>
      <c r="C524" s="1821"/>
      <c r="D524" s="1821"/>
      <c r="E524" s="117"/>
      <c r="F524" s="112"/>
      <c r="G524" s="112"/>
      <c r="H524" s="112"/>
      <c r="I524" s="112"/>
      <c r="J524" s="114"/>
      <c r="K524" s="112"/>
      <c r="L524" s="119"/>
    </row>
    <row r="525" spans="2:12">
      <c r="B525" s="1820"/>
      <c r="C525" s="1821"/>
      <c r="D525" s="1821"/>
      <c r="E525" s="108"/>
      <c r="F525" s="115"/>
      <c r="G525" s="115"/>
      <c r="H525" s="115"/>
      <c r="I525" s="115"/>
      <c r="J525" s="120"/>
      <c r="K525" s="115"/>
      <c r="L525" s="119"/>
    </row>
    <row r="526" spans="2:12">
      <c r="B526" s="1820"/>
      <c r="C526" s="1821"/>
      <c r="D526" s="1821"/>
      <c r="E526" s="108"/>
      <c r="F526" s="115"/>
      <c r="G526" s="115"/>
      <c r="H526" s="115"/>
      <c r="I526" s="115"/>
      <c r="J526" s="115"/>
      <c r="K526" s="115"/>
      <c r="L526" s="119"/>
    </row>
    <row r="527" spans="2:12" ht="15" thickBot="1">
      <c r="B527" s="1823"/>
      <c r="C527" s="1824"/>
      <c r="D527" s="1824"/>
      <c r="E527" s="121"/>
      <c r="F527" s="122"/>
      <c r="G527" s="122"/>
      <c r="H527" s="122"/>
      <c r="I527" s="122"/>
      <c r="J527" s="123"/>
      <c r="K527" s="122"/>
      <c r="L527" s="124"/>
    </row>
    <row r="528" spans="2:12" ht="15" thickBot="1"/>
    <row r="529" spans="2:12" ht="15" thickBot="1">
      <c r="B529" s="1835"/>
      <c r="C529" s="1836"/>
      <c r="D529" s="1841" t="s">
        <v>852</v>
      </c>
      <c r="E529" s="1842"/>
      <c r="F529" s="1842"/>
      <c r="G529" s="1842"/>
      <c r="H529" s="1842"/>
      <c r="I529" s="1842"/>
      <c r="J529" s="1842"/>
      <c r="K529" s="1842"/>
      <c r="L529" s="1843"/>
    </row>
    <row r="530" spans="2:12">
      <c r="B530" s="1837"/>
      <c r="C530" s="1838"/>
      <c r="D530" s="1844" t="s">
        <v>853</v>
      </c>
      <c r="E530" s="1846" t="str">
        <f>+[1]PRESUPUESTO!$A$2</f>
        <v>OBJETO: MEJORAMIENTO Y ADECUACIÓN DE LAS VIAS URBANAS DEL MUNICIPIO DE SANTA FE DE ANTIOQUIA</v>
      </c>
      <c r="F530" s="1847"/>
      <c r="G530" s="1847"/>
      <c r="H530" s="1848"/>
      <c r="I530" s="1844" t="s">
        <v>854</v>
      </c>
      <c r="J530" s="1852"/>
      <c r="K530" s="1852"/>
      <c r="L530" s="1852"/>
    </row>
    <row r="531" spans="2:12" ht="15" thickBot="1">
      <c r="B531" s="1837"/>
      <c r="C531" s="1838"/>
      <c r="D531" s="1845"/>
      <c r="E531" s="1849"/>
      <c r="F531" s="1850"/>
      <c r="G531" s="1850"/>
      <c r="H531" s="1851"/>
      <c r="I531" s="1845"/>
      <c r="J531" s="1853"/>
      <c r="K531" s="1853"/>
      <c r="L531" s="1854"/>
    </row>
    <row r="532" spans="2:12">
      <c r="B532" s="1837"/>
      <c r="C532" s="1838"/>
      <c r="D532" s="1855" t="str">
        <f>+[1]PRESUPUESTO!$A$2</f>
        <v>OBJETO: MEJORAMIENTO Y ADECUACIÓN DE LAS VIAS URBANAS DEL MUNICIPIO DE SANTA FE DE ANTIOQUIA</v>
      </c>
      <c r="E532" s="1856"/>
      <c r="F532" s="1856"/>
      <c r="G532" s="1856"/>
      <c r="H532" s="1856"/>
      <c r="I532" s="1856"/>
      <c r="J532" s="1856"/>
      <c r="K532" s="1856"/>
      <c r="L532" s="1857"/>
    </row>
    <row r="533" spans="2:12">
      <c r="B533" s="1837"/>
      <c r="C533" s="1838"/>
      <c r="D533" s="1858"/>
      <c r="E533" s="1859"/>
      <c r="F533" s="1859"/>
      <c r="G533" s="1859"/>
      <c r="H533" s="1859"/>
      <c r="I533" s="1859"/>
      <c r="J533" s="1859"/>
      <c r="K533" s="1859"/>
      <c r="L533" s="1860"/>
    </row>
    <row r="534" spans="2:12">
      <c r="B534" s="1837"/>
      <c r="C534" s="1838"/>
      <c r="D534" s="1858"/>
      <c r="E534" s="1859"/>
      <c r="F534" s="1859"/>
      <c r="G534" s="1859"/>
      <c r="H534" s="1859"/>
      <c r="I534" s="1859"/>
      <c r="J534" s="1859"/>
      <c r="K534" s="1859"/>
      <c r="L534" s="1860"/>
    </row>
    <row r="535" spans="2:12" ht="15" thickBot="1">
      <c r="B535" s="1839"/>
      <c r="C535" s="1840"/>
      <c r="D535" s="1861"/>
      <c r="E535" s="1862"/>
      <c r="F535" s="1862"/>
      <c r="G535" s="1862"/>
      <c r="H535" s="1862"/>
      <c r="I535" s="1862"/>
      <c r="J535" s="1862"/>
      <c r="K535" s="1862"/>
      <c r="L535" s="1863"/>
    </row>
    <row r="536" spans="2:12" ht="102" customHeight="1" thickBot="1">
      <c r="B536" s="327" t="s">
        <v>1</v>
      </c>
      <c r="C536" s="1032" t="e">
        <f>+PRESUPUESTO!#REF!</f>
        <v>#REF!</v>
      </c>
      <c r="D536" s="327" t="s">
        <v>228</v>
      </c>
      <c r="E536" s="430" t="str">
        <f>+[1]PRESUPUESTO!B30</f>
        <v>Suministro, transporte e instalación de TUBERÍA PVC-NOVAFORT, con un DIÁMETRO DE 250 mm. Incluye suministro y transporte de los materiales, bocas, conexiones, accesorios, acondicionador de superficie y adhesivo Novafort  y todos los elementos necesarios para su correcta instalación y funcionamiento.</v>
      </c>
      <c r="F536" s="326" t="s">
        <v>193</v>
      </c>
      <c r="G536" s="1823" t="str">
        <f>+[1]PRESUPUESTO!C30</f>
        <v>m</v>
      </c>
      <c r="H536" s="1864" t="e">
        <f>+VLOOKUP(F536,[1]PRESUPUESTO!$A$5:$C$30,2,)</f>
        <v>#N/A</v>
      </c>
      <c r="I536" s="1685" t="s">
        <v>855</v>
      </c>
      <c r="J536" s="1816"/>
      <c r="K536" s="1816"/>
      <c r="L536" s="368">
        <f>SUM(L539:L555)</f>
        <v>0</v>
      </c>
    </row>
    <row r="537" spans="2:12" ht="15" thickBot="1">
      <c r="B537" s="1817"/>
      <c r="C537" s="1818"/>
      <c r="D537" s="1819"/>
      <c r="E537" s="1825" t="s">
        <v>856</v>
      </c>
      <c r="F537" s="1827" t="s">
        <v>857</v>
      </c>
      <c r="G537" s="1828"/>
      <c r="H537" s="1828"/>
      <c r="I537" s="1828"/>
      <c r="J537" s="1829"/>
      <c r="K537" s="1830" t="s">
        <v>858</v>
      </c>
      <c r="L537" s="1832" t="s">
        <v>859</v>
      </c>
    </row>
    <row r="538" spans="2:12" ht="33" customHeight="1" thickBot="1">
      <c r="B538" s="1820"/>
      <c r="C538" s="1821"/>
      <c r="D538" s="1822"/>
      <c r="E538" s="1826"/>
      <c r="F538" s="367" t="s">
        <v>860</v>
      </c>
      <c r="G538" s="367" t="s">
        <v>861</v>
      </c>
      <c r="H538" s="367" t="s">
        <v>862</v>
      </c>
      <c r="I538" s="367" t="s">
        <v>863</v>
      </c>
      <c r="J538" s="367" t="s">
        <v>864</v>
      </c>
      <c r="K538" s="1831"/>
      <c r="L538" s="1833"/>
    </row>
    <row r="539" spans="2:12">
      <c r="B539" s="1820"/>
      <c r="C539" s="1821"/>
      <c r="D539" s="1821"/>
      <c r="E539" s="106"/>
      <c r="F539" s="1834"/>
      <c r="G539" s="1834"/>
      <c r="H539" s="1834"/>
      <c r="I539" s="1834"/>
      <c r="J539" s="1834"/>
      <c r="K539" s="1834"/>
      <c r="L539" s="107"/>
    </row>
    <row r="540" spans="2:12">
      <c r="B540" s="1820"/>
      <c r="C540" s="1821"/>
      <c r="D540" s="1821"/>
      <c r="E540" s="108" t="s">
        <v>874</v>
      </c>
      <c r="F540" s="109">
        <v>6</v>
      </c>
      <c r="G540" s="109"/>
      <c r="H540" s="110"/>
      <c r="I540" s="1029"/>
      <c r="J540" s="1029"/>
      <c r="K540" s="109">
        <v>0</v>
      </c>
      <c r="L540" s="111">
        <f>+F540*K540</f>
        <v>0</v>
      </c>
    </row>
    <row r="541" spans="2:12">
      <c r="B541" s="1820"/>
      <c r="C541" s="1821"/>
      <c r="D541" s="1821"/>
      <c r="E541" s="108"/>
      <c r="F541" s="113"/>
      <c r="G541" s="112"/>
      <c r="H541" s="112"/>
      <c r="I541" s="1029"/>
      <c r="J541" s="1029"/>
      <c r="K541" s="115"/>
      <c r="L541" s="111">
        <f t="shared" ref="L541:L551" si="24">J541</f>
        <v>0</v>
      </c>
    </row>
    <row r="542" spans="2:12">
      <c r="B542" s="1820"/>
      <c r="C542" s="1821"/>
      <c r="D542" s="1821"/>
      <c r="E542" s="108"/>
      <c r="F542" s="113"/>
      <c r="G542" s="112"/>
      <c r="H542" s="112"/>
      <c r="I542" s="1029"/>
      <c r="J542" s="1029"/>
      <c r="K542" s="115"/>
      <c r="L542" s="111">
        <f t="shared" si="24"/>
        <v>0</v>
      </c>
    </row>
    <row r="543" spans="2:12">
      <c r="B543" s="1820"/>
      <c r="C543" s="1821"/>
      <c r="D543" s="1821"/>
      <c r="E543" s="108"/>
      <c r="F543" s="113"/>
      <c r="G543" s="112"/>
      <c r="H543" s="112"/>
      <c r="I543" s="1029"/>
      <c r="J543" s="1029"/>
      <c r="K543" s="115"/>
      <c r="L543" s="111">
        <f t="shared" si="24"/>
        <v>0</v>
      </c>
    </row>
    <row r="544" spans="2:12">
      <c r="B544" s="1820"/>
      <c r="C544" s="1821"/>
      <c r="D544" s="1821"/>
      <c r="E544" s="108"/>
      <c r="F544" s="113"/>
      <c r="G544" s="112"/>
      <c r="H544" s="112"/>
      <c r="I544" s="1029"/>
      <c r="J544" s="1029"/>
      <c r="K544" s="115"/>
      <c r="L544" s="111">
        <f t="shared" si="24"/>
        <v>0</v>
      </c>
    </row>
    <row r="545" spans="2:12">
      <c r="B545" s="1820"/>
      <c r="C545" s="1821"/>
      <c r="D545" s="1821"/>
      <c r="E545" s="108"/>
      <c r="F545" s="113"/>
      <c r="G545" s="112"/>
      <c r="H545" s="112"/>
      <c r="I545" s="1029"/>
      <c r="J545" s="1029"/>
      <c r="K545" s="115"/>
      <c r="L545" s="111">
        <f t="shared" si="24"/>
        <v>0</v>
      </c>
    </row>
    <row r="546" spans="2:12">
      <c r="B546" s="1820"/>
      <c r="C546" s="1821"/>
      <c r="D546" s="1821"/>
      <c r="E546" s="108"/>
      <c r="F546" s="113"/>
      <c r="G546" s="112"/>
      <c r="H546" s="112"/>
      <c r="I546" s="1029"/>
      <c r="J546" s="1029"/>
      <c r="K546" s="115"/>
      <c r="L546" s="111">
        <f t="shared" si="24"/>
        <v>0</v>
      </c>
    </row>
    <row r="547" spans="2:12">
      <c r="B547" s="1820"/>
      <c r="C547" s="1821"/>
      <c r="D547" s="1821"/>
      <c r="E547" s="108"/>
      <c r="F547" s="113"/>
      <c r="G547" s="112"/>
      <c r="H547" s="112"/>
      <c r="I547" s="1029"/>
      <c r="J547" s="1029"/>
      <c r="K547" s="115"/>
      <c r="L547" s="111">
        <f t="shared" si="24"/>
        <v>0</v>
      </c>
    </row>
    <row r="548" spans="2:12">
      <c r="B548" s="1820"/>
      <c r="C548" s="1821"/>
      <c r="D548" s="1821"/>
      <c r="E548" s="117"/>
      <c r="F548" s="113"/>
      <c r="G548" s="112"/>
      <c r="H548" s="112"/>
      <c r="I548" s="1029"/>
      <c r="J548" s="1029"/>
      <c r="K548" s="112"/>
      <c r="L548" s="111">
        <f t="shared" si="24"/>
        <v>0</v>
      </c>
    </row>
    <row r="549" spans="2:12">
      <c r="B549" s="1820"/>
      <c r="C549" s="1821"/>
      <c r="D549" s="1821"/>
      <c r="E549" s="108"/>
      <c r="F549" s="109"/>
      <c r="G549" s="115"/>
      <c r="H549" s="115"/>
      <c r="I549" s="1029"/>
      <c r="J549" s="1029"/>
      <c r="K549" s="115"/>
      <c r="L549" s="111">
        <f t="shared" si="24"/>
        <v>0</v>
      </c>
    </row>
    <row r="550" spans="2:12">
      <c r="B550" s="1820"/>
      <c r="C550" s="1821"/>
      <c r="D550" s="1821"/>
      <c r="E550" s="117"/>
      <c r="F550" s="113"/>
      <c r="G550" s="112"/>
      <c r="H550" s="112"/>
      <c r="I550" s="1029"/>
      <c r="J550" s="1029"/>
      <c r="K550" s="112"/>
      <c r="L550" s="111">
        <f t="shared" si="24"/>
        <v>0</v>
      </c>
    </row>
    <row r="551" spans="2:12">
      <c r="B551" s="1820"/>
      <c r="C551" s="1821"/>
      <c r="D551" s="1821"/>
      <c r="E551" s="117"/>
      <c r="F551" s="113"/>
      <c r="G551" s="112"/>
      <c r="H551" s="112"/>
      <c r="I551" s="1029"/>
      <c r="J551" s="1029"/>
      <c r="K551" s="112"/>
      <c r="L551" s="111">
        <f t="shared" si="24"/>
        <v>0</v>
      </c>
    </row>
    <row r="552" spans="2:12">
      <c r="B552" s="1820"/>
      <c r="C552" s="1821"/>
      <c r="D552" s="1821"/>
      <c r="E552" s="117"/>
      <c r="F552" s="112"/>
      <c r="G552" s="112"/>
      <c r="H552" s="112"/>
      <c r="I552" s="112"/>
      <c r="J552" s="114"/>
      <c r="K552" s="112"/>
      <c r="L552" s="119"/>
    </row>
    <row r="553" spans="2:12">
      <c r="B553" s="1820"/>
      <c r="C553" s="1821"/>
      <c r="D553" s="1821"/>
      <c r="E553" s="108"/>
      <c r="F553" s="115"/>
      <c r="G553" s="115"/>
      <c r="H553" s="115"/>
      <c r="I553" s="115"/>
      <c r="J553" s="120"/>
      <c r="K553" s="115"/>
      <c r="L553" s="119"/>
    </row>
    <row r="554" spans="2:12">
      <c r="B554" s="1820"/>
      <c r="C554" s="1821"/>
      <c r="D554" s="1821"/>
      <c r="E554" s="108"/>
      <c r="F554" s="115"/>
      <c r="G554" s="115"/>
      <c r="H554" s="115"/>
      <c r="I554" s="115"/>
      <c r="J554" s="115"/>
      <c r="K554" s="115"/>
      <c r="L554" s="119"/>
    </row>
    <row r="555" spans="2:12" ht="15" thickBot="1">
      <c r="B555" s="1823"/>
      <c r="C555" s="1824"/>
      <c r="D555" s="1824"/>
      <c r="E555" s="121"/>
      <c r="F555" s="122"/>
      <c r="G555" s="122"/>
      <c r="H555" s="122"/>
      <c r="I555" s="122"/>
      <c r="J555" s="123"/>
      <c r="K555" s="122"/>
      <c r="L555" s="124"/>
    </row>
  </sheetData>
  <mergeCells count="324">
    <mergeCell ref="G536:H536"/>
    <mergeCell ref="I536:K536"/>
    <mergeCell ref="B537:D555"/>
    <mergeCell ref="E537:E538"/>
    <mergeCell ref="F537:J537"/>
    <mergeCell ref="K537:K538"/>
    <mergeCell ref="L537:L538"/>
    <mergeCell ref="F539:K539"/>
    <mergeCell ref="G508:H508"/>
    <mergeCell ref="I508:K508"/>
    <mergeCell ref="B509:D527"/>
    <mergeCell ref="E509:E510"/>
    <mergeCell ref="F509:J509"/>
    <mergeCell ref="K509:K510"/>
    <mergeCell ref="L509:L510"/>
    <mergeCell ref="F511:K511"/>
    <mergeCell ref="B529:C535"/>
    <mergeCell ref="D529:L529"/>
    <mergeCell ref="D530:D531"/>
    <mergeCell ref="E530:H531"/>
    <mergeCell ref="I530:I531"/>
    <mergeCell ref="J530:J531"/>
    <mergeCell ref="K530:K531"/>
    <mergeCell ref="L530:L531"/>
    <mergeCell ref="D532:L535"/>
    <mergeCell ref="G480:H480"/>
    <mergeCell ref="I480:K480"/>
    <mergeCell ref="B481:D499"/>
    <mergeCell ref="E481:E482"/>
    <mergeCell ref="F481:J481"/>
    <mergeCell ref="K481:K482"/>
    <mergeCell ref="L481:L482"/>
    <mergeCell ref="F483:K483"/>
    <mergeCell ref="B501:C507"/>
    <mergeCell ref="D501:L501"/>
    <mergeCell ref="D502:D503"/>
    <mergeCell ref="E502:H503"/>
    <mergeCell ref="I502:I503"/>
    <mergeCell ref="J502:J503"/>
    <mergeCell ref="K502:K503"/>
    <mergeCell ref="L502:L503"/>
    <mergeCell ref="D504:L507"/>
    <mergeCell ref="G452:H452"/>
    <mergeCell ref="I452:K452"/>
    <mergeCell ref="B453:D471"/>
    <mergeCell ref="E453:E454"/>
    <mergeCell ref="F453:J453"/>
    <mergeCell ref="K453:K454"/>
    <mergeCell ref="L453:L454"/>
    <mergeCell ref="F455:K455"/>
    <mergeCell ref="B473:C479"/>
    <mergeCell ref="D473:L473"/>
    <mergeCell ref="D474:D475"/>
    <mergeCell ref="E474:H475"/>
    <mergeCell ref="I474:I475"/>
    <mergeCell ref="J474:J475"/>
    <mergeCell ref="K474:K475"/>
    <mergeCell ref="L474:L475"/>
    <mergeCell ref="D476:L479"/>
    <mergeCell ref="G424:H424"/>
    <mergeCell ref="I424:K424"/>
    <mergeCell ref="B425:D443"/>
    <mergeCell ref="E425:E426"/>
    <mergeCell ref="F425:J425"/>
    <mergeCell ref="K425:K426"/>
    <mergeCell ref="L425:L426"/>
    <mergeCell ref="F427:K427"/>
    <mergeCell ref="B445:C451"/>
    <mergeCell ref="D445:L445"/>
    <mergeCell ref="D446:D447"/>
    <mergeCell ref="E446:H447"/>
    <mergeCell ref="I446:I447"/>
    <mergeCell ref="J446:J447"/>
    <mergeCell ref="K446:K447"/>
    <mergeCell ref="L446:L447"/>
    <mergeCell ref="D448:L451"/>
    <mergeCell ref="G396:H396"/>
    <mergeCell ref="I396:K396"/>
    <mergeCell ref="B397:D415"/>
    <mergeCell ref="E397:E398"/>
    <mergeCell ref="F397:J397"/>
    <mergeCell ref="K397:K398"/>
    <mergeCell ref="L397:L398"/>
    <mergeCell ref="F399:K399"/>
    <mergeCell ref="B417:C423"/>
    <mergeCell ref="D417:L417"/>
    <mergeCell ref="D418:D419"/>
    <mergeCell ref="E418:H419"/>
    <mergeCell ref="I418:I419"/>
    <mergeCell ref="J418:J419"/>
    <mergeCell ref="K418:K419"/>
    <mergeCell ref="L418:L419"/>
    <mergeCell ref="D420:L423"/>
    <mergeCell ref="G368:H368"/>
    <mergeCell ref="I368:K368"/>
    <mergeCell ref="B369:D387"/>
    <mergeCell ref="E369:E370"/>
    <mergeCell ref="F369:J369"/>
    <mergeCell ref="K369:K370"/>
    <mergeCell ref="L369:L370"/>
    <mergeCell ref="F371:K371"/>
    <mergeCell ref="B389:C395"/>
    <mergeCell ref="D389:L389"/>
    <mergeCell ref="D390:D391"/>
    <mergeCell ref="E390:H391"/>
    <mergeCell ref="I390:I391"/>
    <mergeCell ref="J390:J391"/>
    <mergeCell ref="K390:K391"/>
    <mergeCell ref="L390:L391"/>
    <mergeCell ref="D392:L395"/>
    <mergeCell ref="G340:H340"/>
    <mergeCell ref="I340:K340"/>
    <mergeCell ref="B341:D359"/>
    <mergeCell ref="E341:E342"/>
    <mergeCell ref="F341:J341"/>
    <mergeCell ref="K341:K342"/>
    <mergeCell ref="L341:L342"/>
    <mergeCell ref="F343:K343"/>
    <mergeCell ref="B361:C367"/>
    <mergeCell ref="D361:L361"/>
    <mergeCell ref="D362:D363"/>
    <mergeCell ref="E362:H363"/>
    <mergeCell ref="I362:I363"/>
    <mergeCell ref="J362:J363"/>
    <mergeCell ref="K362:K363"/>
    <mergeCell ref="L362:L363"/>
    <mergeCell ref="D364:L367"/>
    <mergeCell ref="G312:H312"/>
    <mergeCell ref="I312:K312"/>
    <mergeCell ref="B313:D331"/>
    <mergeCell ref="E313:E314"/>
    <mergeCell ref="F313:J313"/>
    <mergeCell ref="K313:K314"/>
    <mergeCell ref="L313:L314"/>
    <mergeCell ref="F315:K315"/>
    <mergeCell ref="B333:C339"/>
    <mergeCell ref="D333:L333"/>
    <mergeCell ref="D334:D335"/>
    <mergeCell ref="E334:H335"/>
    <mergeCell ref="I334:I335"/>
    <mergeCell ref="J334:J335"/>
    <mergeCell ref="K334:K335"/>
    <mergeCell ref="L334:L335"/>
    <mergeCell ref="D336:L339"/>
    <mergeCell ref="G284:H284"/>
    <mergeCell ref="I284:K284"/>
    <mergeCell ref="B285:D303"/>
    <mergeCell ref="E285:E286"/>
    <mergeCell ref="F285:J285"/>
    <mergeCell ref="K285:K286"/>
    <mergeCell ref="L285:L286"/>
    <mergeCell ref="F287:K287"/>
    <mergeCell ref="B305:C311"/>
    <mergeCell ref="D305:L305"/>
    <mergeCell ref="D306:D307"/>
    <mergeCell ref="E306:H307"/>
    <mergeCell ref="I306:I307"/>
    <mergeCell ref="J306:J307"/>
    <mergeCell ref="K306:K307"/>
    <mergeCell ref="L306:L307"/>
    <mergeCell ref="D308:L311"/>
    <mergeCell ref="L257:L258"/>
    <mergeCell ref="F259:K259"/>
    <mergeCell ref="B277:C283"/>
    <mergeCell ref="D277:L277"/>
    <mergeCell ref="D278:D279"/>
    <mergeCell ref="E278:H279"/>
    <mergeCell ref="I278:I279"/>
    <mergeCell ref="J278:J279"/>
    <mergeCell ref="K278:K279"/>
    <mergeCell ref="L278:L279"/>
    <mergeCell ref="D280:L283"/>
    <mergeCell ref="L229:L230"/>
    <mergeCell ref="F231:K231"/>
    <mergeCell ref="B249:C255"/>
    <mergeCell ref="D249:L249"/>
    <mergeCell ref="D250:D251"/>
    <mergeCell ref="E250:H251"/>
    <mergeCell ref="I250:I251"/>
    <mergeCell ref="J250:J251"/>
    <mergeCell ref="K250:K251"/>
    <mergeCell ref="L250:L251"/>
    <mergeCell ref="D252:L255"/>
    <mergeCell ref="L201:L202"/>
    <mergeCell ref="F203:K203"/>
    <mergeCell ref="B221:C227"/>
    <mergeCell ref="D221:L221"/>
    <mergeCell ref="D222:D223"/>
    <mergeCell ref="E222:H223"/>
    <mergeCell ref="I222:I223"/>
    <mergeCell ref="J222:J223"/>
    <mergeCell ref="K222:K223"/>
    <mergeCell ref="L222:L223"/>
    <mergeCell ref="D224:L227"/>
    <mergeCell ref="B124:D163"/>
    <mergeCell ref="B165:C171"/>
    <mergeCell ref="D165:L165"/>
    <mergeCell ref="D166:D167"/>
    <mergeCell ref="E166:H167"/>
    <mergeCell ref="I166:I167"/>
    <mergeCell ref="J166:J167"/>
    <mergeCell ref="K166:K167"/>
    <mergeCell ref="L166:L167"/>
    <mergeCell ref="D168:L171"/>
    <mergeCell ref="J3:J4"/>
    <mergeCell ref="K3:K4"/>
    <mergeCell ref="L3:L4"/>
    <mergeCell ref="D3:D4"/>
    <mergeCell ref="E3:H4"/>
    <mergeCell ref="D5:L8"/>
    <mergeCell ref="I3:I4"/>
    <mergeCell ref="G9:H9"/>
    <mergeCell ref="B2:C8"/>
    <mergeCell ref="D2:L2"/>
    <mergeCell ref="I9:K9"/>
    <mergeCell ref="I39:K39"/>
    <mergeCell ref="L10:L11"/>
    <mergeCell ref="F12:K12"/>
    <mergeCell ref="B30:D30"/>
    <mergeCell ref="D32:L32"/>
    <mergeCell ref="B32:C38"/>
    <mergeCell ref="D33:D34"/>
    <mergeCell ref="B10:D28"/>
    <mergeCell ref="E10:E11"/>
    <mergeCell ref="F10:J10"/>
    <mergeCell ref="K10:K11"/>
    <mergeCell ref="E33:H34"/>
    <mergeCell ref="I33:I34"/>
    <mergeCell ref="J33:J34"/>
    <mergeCell ref="K33:K34"/>
    <mergeCell ref="L33:L34"/>
    <mergeCell ref="D35:L38"/>
    <mergeCell ref="G39:H39"/>
    <mergeCell ref="B173:D191"/>
    <mergeCell ref="E173:E174"/>
    <mergeCell ref="F173:J173"/>
    <mergeCell ref="K173:K174"/>
    <mergeCell ref="F175:K175"/>
    <mergeCell ref="B193:C199"/>
    <mergeCell ref="D193:L193"/>
    <mergeCell ref="D194:D195"/>
    <mergeCell ref="E194:H195"/>
    <mergeCell ref="I194:I195"/>
    <mergeCell ref="J194:J195"/>
    <mergeCell ref="K194:K195"/>
    <mergeCell ref="L194:L195"/>
    <mergeCell ref="D196:L199"/>
    <mergeCell ref="F42:K42"/>
    <mergeCell ref="G67:H67"/>
    <mergeCell ref="I67:K67"/>
    <mergeCell ref="B68:D86"/>
    <mergeCell ref="E68:E69"/>
    <mergeCell ref="F68:J68"/>
    <mergeCell ref="K68:K69"/>
    <mergeCell ref="L68:L69"/>
    <mergeCell ref="F70:K70"/>
    <mergeCell ref="B60:C66"/>
    <mergeCell ref="D60:L60"/>
    <mergeCell ref="D61:D62"/>
    <mergeCell ref="E61:H62"/>
    <mergeCell ref="I61:I62"/>
    <mergeCell ref="J61:J62"/>
    <mergeCell ref="K61:K62"/>
    <mergeCell ref="L61:L62"/>
    <mergeCell ref="D63:L66"/>
    <mergeCell ref="B40:D58"/>
    <mergeCell ref="L40:L41"/>
    <mergeCell ref="E40:E41"/>
    <mergeCell ref="F40:J40"/>
    <mergeCell ref="K40:K41"/>
    <mergeCell ref="B88:C94"/>
    <mergeCell ref="D88:L88"/>
    <mergeCell ref="D89:D90"/>
    <mergeCell ref="E89:H90"/>
    <mergeCell ref="I89:I90"/>
    <mergeCell ref="J89:J90"/>
    <mergeCell ref="K89:K90"/>
    <mergeCell ref="L89:L90"/>
    <mergeCell ref="D91:L94"/>
    <mergeCell ref="G95:H95"/>
    <mergeCell ref="I95:K95"/>
    <mergeCell ref="B96:D114"/>
    <mergeCell ref="E96:E97"/>
    <mergeCell ref="F96:J96"/>
    <mergeCell ref="K96:K97"/>
    <mergeCell ref="L96:L97"/>
    <mergeCell ref="F98:K98"/>
    <mergeCell ref="B116:C122"/>
    <mergeCell ref="D116:L116"/>
    <mergeCell ref="D117:D118"/>
    <mergeCell ref="E117:H118"/>
    <mergeCell ref="I117:I118"/>
    <mergeCell ref="J117:J118"/>
    <mergeCell ref="K117:K118"/>
    <mergeCell ref="L117:L118"/>
    <mergeCell ref="D119:L122"/>
    <mergeCell ref="I123:K123"/>
    <mergeCell ref="E124:E125"/>
    <mergeCell ref="F124:J124"/>
    <mergeCell ref="K124:K125"/>
    <mergeCell ref="L124:L125"/>
    <mergeCell ref="F126:K126"/>
    <mergeCell ref="G172:H172"/>
    <mergeCell ref="I172:K172"/>
    <mergeCell ref="L173:L174"/>
    <mergeCell ref="G123:H123"/>
    <mergeCell ref="G200:H200"/>
    <mergeCell ref="I200:K200"/>
    <mergeCell ref="B201:D219"/>
    <mergeCell ref="E201:E202"/>
    <mergeCell ref="F201:J201"/>
    <mergeCell ref="K201:K202"/>
    <mergeCell ref="G256:H256"/>
    <mergeCell ref="I256:K256"/>
    <mergeCell ref="B257:D275"/>
    <mergeCell ref="G228:H228"/>
    <mergeCell ref="I228:K228"/>
    <mergeCell ref="B229:D247"/>
    <mergeCell ref="E229:E230"/>
    <mergeCell ref="F229:J229"/>
    <mergeCell ref="K229:K230"/>
    <mergeCell ref="E257:E258"/>
    <mergeCell ref="F257:J257"/>
    <mergeCell ref="K257:K258"/>
  </mergeCells>
  <phoneticPr fontId="6" type="noConversion"/>
  <pageMargins left="0.7" right="0.7" top="0.75" bottom="0.75" header="0.3" footer="0.3"/>
  <pageSetup scale="33"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547793-94DF-4560-A235-1CA85E42F59F}">
  <sheetPr codeName="Hoja9">
    <tabColor theme="7" tint="0.79998168889431442"/>
  </sheetPr>
  <dimension ref="A1:N21"/>
  <sheetViews>
    <sheetView workbookViewId="0">
      <selection activeCell="D10" sqref="D10"/>
    </sheetView>
  </sheetViews>
  <sheetFormatPr baseColWidth="10" defaultColWidth="11.453125" defaultRowHeight="14.5"/>
  <cols>
    <col min="1" max="1" width="11.453125" style="1"/>
    <col min="2" max="2" width="16.08984375" style="1" customWidth="1"/>
    <col min="3" max="5" width="11.453125" style="1"/>
    <col min="6" max="6" width="14.08984375" style="1" customWidth="1"/>
    <col min="7" max="12" width="11.453125" style="1"/>
    <col min="13" max="13" width="19.453125" style="1" customWidth="1"/>
    <col min="14" max="16384" width="11.453125" style="1"/>
  </cols>
  <sheetData>
    <row r="1" spans="1:14" ht="36" customHeight="1">
      <c r="A1" s="1876"/>
      <c r="B1" s="1877"/>
      <c r="C1" s="1878" t="str">
        <f>+P!A1</f>
        <v>PRESUPUESTO GENERAL</v>
      </c>
      <c r="D1" s="1877"/>
      <c r="E1" s="1877"/>
      <c r="F1" s="1877"/>
      <c r="G1" s="1877"/>
      <c r="H1" s="1877"/>
      <c r="I1" s="1877"/>
      <c r="J1" s="1877"/>
      <c r="K1" s="1877"/>
      <c r="L1" s="1877"/>
      <c r="M1" s="1877"/>
      <c r="N1" s="1879"/>
    </row>
    <row r="2" spans="1:14">
      <c r="A2" s="1871"/>
      <c r="B2" s="1870"/>
      <c r="C2" s="1880" t="s">
        <v>885</v>
      </c>
      <c r="D2" s="1870"/>
      <c r="E2" s="1870"/>
      <c r="F2" s="1870"/>
      <c r="G2" s="1870"/>
      <c r="H2" s="1870"/>
      <c r="I2" s="1870"/>
      <c r="J2" s="1870"/>
      <c r="K2" s="1870"/>
      <c r="L2" s="1870"/>
      <c r="M2" s="1870"/>
      <c r="N2" s="1881"/>
    </row>
    <row r="3" spans="1:14">
      <c r="A3" s="82" t="s">
        <v>876</v>
      </c>
      <c r="B3" s="83" t="s">
        <v>193</v>
      </c>
      <c r="C3" s="1882" t="s">
        <v>228</v>
      </c>
      <c r="D3" s="1870"/>
      <c r="E3" s="1870"/>
      <c r="F3" s="1870"/>
      <c r="G3" s="1870"/>
      <c r="H3" s="1870"/>
      <c r="I3" s="1870"/>
      <c r="J3" s="1870"/>
      <c r="K3" s="1870"/>
      <c r="L3" s="1870"/>
      <c r="M3" s="1882" t="s">
        <v>854</v>
      </c>
      <c r="N3" s="1881"/>
    </row>
    <row r="4" spans="1:14" ht="53.5" customHeight="1">
      <c r="A4" s="85" t="e">
        <f>+PRESUPUESTO!#REF!</f>
        <v>#REF!</v>
      </c>
      <c r="B4" s="85" t="e">
        <f>+PRESUPUESTO!#REF!</f>
        <v>#REF!</v>
      </c>
      <c r="C4" s="1875" t="e">
        <f>+PRESUPUESTO!#REF!</f>
        <v>#REF!</v>
      </c>
      <c r="D4" s="1870"/>
      <c r="E4" s="1870"/>
      <c r="F4" s="1870"/>
      <c r="G4" s="1870"/>
      <c r="H4" s="1870"/>
      <c r="I4" s="1870"/>
      <c r="J4" s="1870"/>
      <c r="K4" s="1870"/>
      <c r="L4" s="1870"/>
      <c r="M4" s="86" t="s">
        <v>1740</v>
      </c>
      <c r="N4" s="1391">
        <v>100</v>
      </c>
    </row>
    <row r="5" spans="1:14">
      <c r="A5" s="1795" t="s">
        <v>877</v>
      </c>
      <c r="B5" s="1870"/>
      <c r="C5" s="1796" t="s">
        <v>878</v>
      </c>
      <c r="D5" s="1870"/>
      <c r="E5" s="1870"/>
      <c r="F5" s="1870"/>
      <c r="G5" s="89">
        <v>0.25</v>
      </c>
      <c r="H5" s="89">
        <v>0.375</v>
      </c>
      <c r="I5" s="89">
        <v>0.5</v>
      </c>
      <c r="J5" s="89">
        <v>0.625</v>
      </c>
      <c r="K5" s="89">
        <v>0.75</v>
      </c>
      <c r="L5" s="89">
        <v>0.875</v>
      </c>
      <c r="M5" s="90">
        <v>1</v>
      </c>
      <c r="N5" s="91">
        <v>1.25</v>
      </c>
    </row>
    <row r="6" spans="1:14" ht="29">
      <c r="A6" s="1871"/>
      <c r="B6" s="1870"/>
      <c r="C6" s="88" t="s">
        <v>879</v>
      </c>
      <c r="D6" s="88" t="s">
        <v>880</v>
      </c>
      <c r="E6" s="88" t="s">
        <v>881</v>
      </c>
      <c r="F6" s="88" t="s">
        <v>882</v>
      </c>
      <c r="G6" s="92">
        <v>0.25</v>
      </c>
      <c r="H6" s="92">
        <v>0.56000000000000005</v>
      </c>
      <c r="I6" s="92">
        <v>0.99399999999999999</v>
      </c>
      <c r="J6" s="92">
        <v>1.552</v>
      </c>
      <c r="K6" s="92">
        <v>2.2349999999999999</v>
      </c>
      <c r="L6" s="92">
        <v>3.0419999999999998</v>
      </c>
      <c r="M6" s="92">
        <v>3.9729999999999999</v>
      </c>
      <c r="N6" s="93">
        <v>6.4039999999999999</v>
      </c>
    </row>
    <row r="7" spans="1:14">
      <c r="A7" s="1872" t="s">
        <v>886</v>
      </c>
      <c r="B7" s="1870"/>
      <c r="C7" s="94">
        <v>0.5</v>
      </c>
      <c r="D7" s="95">
        <f>N4</f>
        <v>100</v>
      </c>
      <c r="E7" s="96">
        <v>5</v>
      </c>
      <c r="F7" s="96">
        <f>'MEMORIA DE CALCULO'!K400</f>
        <v>1</v>
      </c>
      <c r="G7" s="97" t="str">
        <f t="shared" ref="G7:N10" si="0">IF($C7=G$5,G$6*$E7*$D7*$F7,"")</f>
        <v/>
      </c>
      <c r="H7" s="97" t="str">
        <f t="shared" si="0"/>
        <v/>
      </c>
      <c r="I7" s="97">
        <f>IF($C7=I$5,I$6*$E7*$D7*$F7,"")</f>
        <v>497</v>
      </c>
      <c r="J7" s="97" t="str">
        <f t="shared" si="0"/>
        <v/>
      </c>
      <c r="K7" s="97" t="str">
        <f t="shared" si="0"/>
        <v/>
      </c>
      <c r="L7" s="97" t="str">
        <f t="shared" si="0"/>
        <v/>
      </c>
      <c r="M7" s="97" t="str">
        <f t="shared" si="0"/>
        <v/>
      </c>
      <c r="N7" s="98" t="str">
        <f t="shared" si="0"/>
        <v/>
      </c>
    </row>
    <row r="8" spans="1:14" ht="31.25" customHeight="1">
      <c r="A8" s="1872" t="s">
        <v>887</v>
      </c>
      <c r="B8" s="1870"/>
      <c r="C8" s="94">
        <v>0.5</v>
      </c>
      <c r="D8" s="95">
        <v>0.6</v>
      </c>
      <c r="E8" s="96">
        <f>+(D7/6+1)*E7</f>
        <v>88.333333333333343</v>
      </c>
      <c r="F8" s="96">
        <f>F7</f>
        <v>1</v>
      </c>
      <c r="G8" s="97" t="str">
        <f t="shared" si="0"/>
        <v/>
      </c>
      <c r="H8" s="97" t="str">
        <f t="shared" si="0"/>
        <v/>
      </c>
      <c r="I8" s="97">
        <f>IF($C8=I$5,I$6*$E8*$D8*$F8,"")</f>
        <v>52.682000000000002</v>
      </c>
      <c r="J8" s="97" t="str">
        <f t="shared" si="0"/>
        <v/>
      </c>
      <c r="K8" s="97" t="str">
        <f t="shared" si="0"/>
        <v/>
      </c>
      <c r="L8" s="97" t="str">
        <f t="shared" si="0"/>
        <v/>
      </c>
      <c r="M8" s="97" t="str">
        <f t="shared" si="0"/>
        <v/>
      </c>
      <c r="N8" s="98" t="str">
        <f t="shared" si="0"/>
        <v/>
      </c>
    </row>
    <row r="9" spans="1:14" ht="31.25" customHeight="1">
      <c r="A9" s="1872" t="s">
        <v>888</v>
      </c>
      <c r="B9" s="1870"/>
      <c r="C9" s="94">
        <v>0.375</v>
      </c>
      <c r="D9" s="95">
        <v>0.7</v>
      </c>
      <c r="E9" s="96">
        <f>+N4/0.15+1</f>
        <v>667.66666666666674</v>
      </c>
      <c r="F9" s="96">
        <f>F8</f>
        <v>1</v>
      </c>
      <c r="G9" s="97" t="str">
        <f>IF($C9=G$5,G$6*$E9*$D9*$F9,"")</f>
        <v/>
      </c>
      <c r="H9" s="97">
        <f t="shared" si="0"/>
        <v>261.72533333333337</v>
      </c>
      <c r="I9" s="97"/>
      <c r="J9" s="97" t="str">
        <f t="shared" si="0"/>
        <v/>
      </c>
      <c r="K9" s="97" t="str">
        <f t="shared" si="0"/>
        <v/>
      </c>
      <c r="L9" s="97" t="str">
        <f t="shared" si="0"/>
        <v/>
      </c>
      <c r="M9" s="97" t="str">
        <f t="shared" si="0"/>
        <v/>
      </c>
      <c r="N9" s="98" t="str">
        <f t="shared" si="0"/>
        <v/>
      </c>
    </row>
    <row r="10" spans="1:14" ht="31.25" customHeight="1" thickBot="1">
      <c r="A10" s="1873" t="s">
        <v>888</v>
      </c>
      <c r="B10" s="1874"/>
      <c r="C10" s="99">
        <v>0.375</v>
      </c>
      <c r="D10" s="100">
        <v>0.6</v>
      </c>
      <c r="E10" s="101">
        <f>+N4/0.15</f>
        <v>666.66666666666674</v>
      </c>
      <c r="F10" s="101">
        <f>F9</f>
        <v>1</v>
      </c>
      <c r="G10" s="102" t="str">
        <f>IF($C10=G$5,G$6*$E10*$D10*$F10,"")</f>
        <v/>
      </c>
      <c r="H10" s="102">
        <f t="shared" si="0"/>
        <v>224.00000000000006</v>
      </c>
      <c r="I10" s="102"/>
      <c r="J10" s="102" t="str">
        <f t="shared" si="0"/>
        <v/>
      </c>
      <c r="K10" s="102" t="str">
        <f t="shared" si="0"/>
        <v/>
      </c>
      <c r="L10" s="102" t="str">
        <f t="shared" si="0"/>
        <v/>
      </c>
      <c r="M10" s="102" t="str">
        <f t="shared" si="0"/>
        <v/>
      </c>
      <c r="N10" s="103" t="str">
        <f t="shared" si="0"/>
        <v/>
      </c>
    </row>
    <row r="11" spans="1:14" ht="35" customHeight="1" thickBot="1">
      <c r="A11" s="1867" t="str">
        <f>CONCATENATE("SUBTOTAL    ",A7,":")</f>
        <v>SUBTOTAL    Acero longitudinal:</v>
      </c>
      <c r="B11" s="1868"/>
      <c r="C11" s="1868"/>
      <c r="D11" s="1869"/>
      <c r="E11" s="1865">
        <f>SUM(G11:N11)</f>
        <v>1035.4073333333336</v>
      </c>
      <c r="F11" s="1866"/>
      <c r="G11" s="104" t="str">
        <f t="shared" ref="G11:N11" si="1">IF(SUM(G7:G10)=0,"",SUM(G7:G10))</f>
        <v/>
      </c>
      <c r="H11" s="104">
        <f>IF(SUM(H7:H10)=0,"",SUM(H7:H10))</f>
        <v>485.72533333333342</v>
      </c>
      <c r="I11" s="104">
        <f>IF(SUM(I7:I10)=0,"",SUM(I7:I10))</f>
        <v>549.68200000000002</v>
      </c>
      <c r="J11" s="104" t="str">
        <f t="shared" si="1"/>
        <v/>
      </c>
      <c r="K11" s="104" t="str">
        <f t="shared" si="1"/>
        <v/>
      </c>
      <c r="L11" s="104" t="str">
        <f t="shared" si="1"/>
        <v/>
      </c>
      <c r="M11" s="104" t="str">
        <f t="shared" si="1"/>
        <v/>
      </c>
      <c r="N11" s="105" t="str">
        <f t="shared" si="1"/>
        <v/>
      </c>
    </row>
    <row r="21" spans="5:5">
      <c r="E21" s="1">
        <f>140*2.5</f>
        <v>350</v>
      </c>
    </row>
  </sheetData>
  <mergeCells count="14">
    <mergeCell ref="C4:L4"/>
    <mergeCell ref="A1:B2"/>
    <mergeCell ref="C1:N1"/>
    <mergeCell ref="C2:N2"/>
    <mergeCell ref="C3:L3"/>
    <mergeCell ref="M3:N3"/>
    <mergeCell ref="E11:F11"/>
    <mergeCell ref="A11:D11"/>
    <mergeCell ref="A5:B6"/>
    <mergeCell ref="C5:F5"/>
    <mergeCell ref="A7:B7"/>
    <mergeCell ref="A8:B8"/>
    <mergeCell ref="A9:B9"/>
    <mergeCell ref="A10:B10"/>
  </mergeCells>
  <dataValidations count="1">
    <dataValidation type="list" allowBlank="1" showErrorMessage="1" sqref="C7:C10" xr:uid="{B39471FA-84D7-4C3E-B2E9-98274D9861EA}">
      <formula1>$G$5:$N$5</formula1>
    </dataValidation>
  </dataValidation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CEF192-8F7F-4C38-B720-8D515A22F056}">
  <sheetPr>
    <tabColor theme="7" tint="0.79998168889431442"/>
  </sheetPr>
  <dimension ref="B2:R38"/>
  <sheetViews>
    <sheetView topLeftCell="B1" workbookViewId="0">
      <selection activeCell="J14" sqref="J14:J15"/>
    </sheetView>
  </sheetViews>
  <sheetFormatPr baseColWidth="10" defaultColWidth="11.453125" defaultRowHeight="14.5"/>
  <cols>
    <col min="7" max="7" width="18" bestFit="1" customWidth="1"/>
  </cols>
  <sheetData>
    <row r="2" spans="2:18" ht="16" thickBot="1">
      <c r="B2" s="1349"/>
      <c r="C2" s="1349"/>
      <c r="D2" s="1349"/>
      <c r="E2" s="1349"/>
      <c r="F2" s="1349"/>
      <c r="G2" s="1349"/>
      <c r="H2" s="1349"/>
      <c r="I2" s="1349"/>
      <c r="J2" s="1349"/>
      <c r="K2" s="1349"/>
      <c r="L2" s="1349"/>
      <c r="M2" s="1349"/>
      <c r="N2" s="1349"/>
      <c r="O2" s="1349"/>
      <c r="P2" s="1349"/>
      <c r="Q2" s="1349"/>
      <c r="R2" s="1349"/>
    </row>
    <row r="3" spans="2:18" ht="15.5">
      <c r="B3" s="1349"/>
      <c r="C3" s="1876"/>
      <c r="D3" s="1877"/>
      <c r="E3" s="1878" t="str">
        <f>+PRESUPUESTO!A2</f>
        <v>OBJETO: MEJORAMIENTO Y ADECUACIÓN DE LAS VIAS URBANAS DEL MUNICIPIO DE SANTA FE DE ANTIOQUIA</v>
      </c>
      <c r="F3" s="1877"/>
      <c r="G3" s="1877"/>
      <c r="H3" s="1877"/>
      <c r="I3" s="1877"/>
      <c r="J3" s="1877"/>
      <c r="K3" s="1877"/>
      <c r="L3" s="1877"/>
      <c r="M3" s="1877"/>
      <c r="N3" s="1877"/>
      <c r="O3" s="1877"/>
      <c r="P3" s="1879"/>
      <c r="Q3" s="1349"/>
      <c r="R3" s="1349"/>
    </row>
    <row r="4" spans="2:18" ht="15.5">
      <c r="B4" s="1349"/>
      <c r="C4" s="1871"/>
      <c r="D4" s="1870"/>
      <c r="E4" s="1880" t="s">
        <v>875</v>
      </c>
      <c r="F4" s="1870"/>
      <c r="G4" s="1870"/>
      <c r="H4" s="1870"/>
      <c r="I4" s="1870"/>
      <c r="J4" s="1870"/>
      <c r="K4" s="1870"/>
      <c r="L4" s="1870"/>
      <c r="M4" s="1870"/>
      <c r="N4" s="1870"/>
      <c r="O4" s="1870"/>
      <c r="P4" s="1881"/>
      <c r="Q4" s="1349"/>
      <c r="R4" s="1349"/>
    </row>
    <row r="5" spans="2:18" ht="15.5">
      <c r="B5" s="1349"/>
      <c r="C5" s="82" t="s">
        <v>876</v>
      </c>
      <c r="D5" s="83" t="s">
        <v>193</v>
      </c>
      <c r="E5" s="1882" t="s">
        <v>228</v>
      </c>
      <c r="F5" s="1870"/>
      <c r="G5" s="1870"/>
      <c r="H5" s="1870"/>
      <c r="I5" s="1870"/>
      <c r="J5" s="1870"/>
      <c r="K5" s="1870"/>
      <c r="L5" s="1870"/>
      <c r="M5" s="1870"/>
      <c r="N5" s="1870"/>
      <c r="O5" s="1882" t="s">
        <v>854</v>
      </c>
      <c r="P5" s="1881"/>
      <c r="Q5" s="1349"/>
      <c r="R5" s="1349"/>
    </row>
    <row r="6" spans="2:18" ht="15.5">
      <c r="B6" s="1349"/>
      <c r="C6" s="84" t="e">
        <f>+PRESUPUESTO!#REF!</f>
        <v>#REF!</v>
      </c>
      <c r="D6" s="85" t="e">
        <f>+PRESUPUESTO!#REF!</f>
        <v>#REF!</v>
      </c>
      <c r="E6" s="1875" t="e">
        <f>+PRESUPUESTO!#REF!</f>
        <v>#REF!</v>
      </c>
      <c r="F6" s="1870"/>
      <c r="G6" s="1870"/>
      <c r="H6" s="1870"/>
      <c r="I6" s="1870"/>
      <c r="J6" s="1870"/>
      <c r="K6" s="1870"/>
      <c r="L6" s="1870"/>
      <c r="M6" s="1870"/>
      <c r="N6" s="1870"/>
      <c r="O6" s="86"/>
      <c r="P6" s="87"/>
      <c r="Q6" s="1349"/>
      <c r="R6" s="1349"/>
    </row>
    <row r="7" spans="2:18" ht="15.5">
      <c r="B7" s="1349"/>
      <c r="C7" s="1795" t="s">
        <v>877</v>
      </c>
      <c r="D7" s="1870"/>
      <c r="E7" s="1796" t="s">
        <v>878</v>
      </c>
      <c r="F7" s="1870"/>
      <c r="G7" s="1870"/>
      <c r="H7" s="1870"/>
      <c r="I7" s="89">
        <v>0.25</v>
      </c>
      <c r="J7" s="89">
        <v>0.375</v>
      </c>
      <c r="K7" s="89">
        <v>0.5</v>
      </c>
      <c r="L7" s="89">
        <v>0.625</v>
      </c>
      <c r="M7" s="89">
        <v>0.75</v>
      </c>
      <c r="N7" s="89">
        <v>0.875</v>
      </c>
      <c r="O7" s="90">
        <v>1</v>
      </c>
      <c r="P7" s="91">
        <v>1.25</v>
      </c>
      <c r="Q7" s="1349"/>
      <c r="R7" s="1349"/>
    </row>
    <row r="8" spans="2:18" ht="43.5">
      <c r="B8" s="1349"/>
      <c r="C8" s="1871"/>
      <c r="D8" s="1870"/>
      <c r="E8" s="88" t="s">
        <v>879</v>
      </c>
      <c r="F8" s="88" t="s">
        <v>880</v>
      </c>
      <c r="G8" s="88" t="s">
        <v>881</v>
      </c>
      <c r="H8" s="88" t="s">
        <v>882</v>
      </c>
      <c r="I8" s="92">
        <v>0.25</v>
      </c>
      <c r="J8" s="92">
        <v>0.56000000000000005</v>
      </c>
      <c r="K8" s="92">
        <v>0.99399999999999999</v>
      </c>
      <c r="L8" s="92">
        <v>1.552</v>
      </c>
      <c r="M8" s="92">
        <v>2.2349999999999999</v>
      </c>
      <c r="N8" s="92">
        <v>3.0419999999999998</v>
      </c>
      <c r="O8" s="92">
        <v>3.9729999999999999</v>
      </c>
      <c r="P8" s="93">
        <v>6.4039999999999999</v>
      </c>
      <c r="Q8" s="1349"/>
      <c r="R8" s="1349"/>
    </row>
    <row r="9" spans="2:18" ht="15.5">
      <c r="B9" s="1349"/>
      <c r="C9" s="1872" t="s">
        <v>883</v>
      </c>
      <c r="D9" s="1870"/>
      <c r="E9" s="94">
        <v>0.375</v>
      </c>
      <c r="F9" s="95">
        <f>1.05*2+0.75*2+0.16</f>
        <v>3.7600000000000002</v>
      </c>
      <c r="G9" s="96">
        <v>7</v>
      </c>
      <c r="H9" s="96">
        <v>0</v>
      </c>
      <c r="I9" s="97">
        <f>IF($Q9=I$6,I$7*$S9*$R9*$T9,"")</f>
        <v>0</v>
      </c>
      <c r="J9" s="97">
        <f>IF(E9=J7,F9*G9*H9*$J$8,"")</f>
        <v>0</v>
      </c>
      <c r="K9" s="97">
        <f t="shared" ref="J9:P15" si="0">IF($Q9=K$6,K$7*$S9*$R9*$T9,"")</f>
        <v>0</v>
      </c>
      <c r="L9" s="97">
        <f t="shared" si="0"/>
        <v>0</v>
      </c>
      <c r="M9" s="97">
        <f t="shared" si="0"/>
        <v>0</v>
      </c>
      <c r="N9" s="97">
        <f t="shared" si="0"/>
        <v>0</v>
      </c>
      <c r="O9" s="97">
        <f t="shared" si="0"/>
        <v>0</v>
      </c>
      <c r="P9" s="98">
        <f>IF($Q9=P$6,P$7*$S9*$R9*$T9,"")</f>
        <v>0</v>
      </c>
      <c r="Q9" s="1349"/>
      <c r="R9" s="1349"/>
    </row>
    <row r="10" spans="2:18" ht="15.5">
      <c r="B10" s="1349"/>
      <c r="C10" s="1872" t="s">
        <v>1742</v>
      </c>
      <c r="D10" s="1870"/>
      <c r="E10" s="94">
        <v>0.375</v>
      </c>
      <c r="F10" s="95">
        <f>0.75*3+0.16*2</f>
        <v>2.57</v>
      </c>
      <c r="G10" s="96">
        <v>7</v>
      </c>
      <c r="H10" s="96">
        <f>+H9</f>
        <v>0</v>
      </c>
      <c r="I10" s="97">
        <f t="shared" ref="I10:I15" si="1">IF($Q10=I$6,I$7*$S10*$R10*$T10,"")</f>
        <v>0</v>
      </c>
      <c r="J10" s="97">
        <f>IF(E10=$J$7,F10*G10*H10*$J$8,"")</f>
        <v>0</v>
      </c>
      <c r="K10" s="97">
        <f t="shared" si="0"/>
        <v>0</v>
      </c>
      <c r="L10" s="97">
        <f t="shared" si="0"/>
        <v>0</v>
      </c>
      <c r="M10" s="97">
        <f t="shared" si="0"/>
        <v>0</v>
      </c>
      <c r="N10" s="97">
        <f t="shared" si="0"/>
        <v>0</v>
      </c>
      <c r="O10" s="97">
        <f t="shared" si="0"/>
        <v>0</v>
      </c>
      <c r="P10" s="98">
        <f t="shared" si="0"/>
        <v>0</v>
      </c>
      <c r="Q10" s="1349"/>
      <c r="R10" s="1349"/>
    </row>
    <row r="11" spans="2:18" ht="15.5">
      <c r="B11" s="1349"/>
      <c r="C11" s="1872" t="s">
        <v>884</v>
      </c>
      <c r="D11" s="1870"/>
      <c r="E11" s="94">
        <v>0.375</v>
      </c>
      <c r="F11" s="95">
        <f>1.05*2+0.75*3+0.26*2</f>
        <v>4.8699999999999992</v>
      </c>
      <c r="G11" s="96">
        <v>7</v>
      </c>
      <c r="H11" s="96">
        <f>+H10</f>
        <v>0</v>
      </c>
      <c r="I11" s="97">
        <f t="shared" si="1"/>
        <v>0</v>
      </c>
      <c r="J11" s="97">
        <f t="shared" ref="J11:J14" si="2">IF(E11=$J$7,F11*G11*H11*$J$8,"")</f>
        <v>0</v>
      </c>
      <c r="K11" s="97">
        <f t="shared" si="0"/>
        <v>0</v>
      </c>
      <c r="L11" s="97">
        <f t="shared" si="0"/>
        <v>0</v>
      </c>
      <c r="M11" s="97">
        <f t="shared" si="0"/>
        <v>0</v>
      </c>
      <c r="N11" s="97">
        <f t="shared" si="0"/>
        <v>0</v>
      </c>
      <c r="O11" s="97">
        <f t="shared" si="0"/>
        <v>0</v>
      </c>
      <c r="P11" s="98">
        <f t="shared" si="0"/>
        <v>0</v>
      </c>
      <c r="Q11" s="1349"/>
      <c r="R11" s="1349"/>
    </row>
    <row r="12" spans="2:18" ht="15.5">
      <c r="B12" s="1349"/>
      <c r="C12" s="1872" t="s">
        <v>883</v>
      </c>
      <c r="D12" s="1870"/>
      <c r="E12" s="94">
        <v>0.375</v>
      </c>
      <c r="F12" s="100">
        <f>0.75*2+0.45*2+0.16</f>
        <v>2.56</v>
      </c>
      <c r="G12" s="101">
        <v>8</v>
      </c>
      <c r="H12" s="101">
        <f>+H11</f>
        <v>0</v>
      </c>
      <c r="I12" s="97">
        <f>IF($Q12=I$6,I$7*$S12*$R12*$T12,"")</f>
        <v>0</v>
      </c>
      <c r="J12" s="97">
        <f t="shared" si="2"/>
        <v>0</v>
      </c>
      <c r="K12" s="97">
        <f t="shared" si="0"/>
        <v>0</v>
      </c>
      <c r="L12" s="97">
        <f t="shared" si="0"/>
        <v>0</v>
      </c>
      <c r="M12" s="97">
        <f t="shared" si="0"/>
        <v>0</v>
      </c>
      <c r="N12" s="97">
        <f t="shared" si="0"/>
        <v>0</v>
      </c>
      <c r="O12" s="97">
        <f t="shared" si="0"/>
        <v>0</v>
      </c>
      <c r="P12" s="98">
        <f t="shared" si="0"/>
        <v>0</v>
      </c>
      <c r="Q12" s="1349"/>
      <c r="R12" s="1349"/>
    </row>
    <row r="13" spans="2:18" ht="15.5">
      <c r="B13" s="1349"/>
      <c r="C13" s="1872" t="s">
        <v>883</v>
      </c>
      <c r="D13" s="1870"/>
      <c r="E13" s="94">
        <v>0.375</v>
      </c>
      <c r="F13" s="100">
        <f>0.7*2+0.45+0.16*2</f>
        <v>2.17</v>
      </c>
      <c r="G13" s="101">
        <v>8</v>
      </c>
      <c r="H13" s="101">
        <f>+H12</f>
        <v>0</v>
      </c>
      <c r="I13" s="97">
        <f t="shared" si="1"/>
        <v>0</v>
      </c>
      <c r="J13" s="97">
        <f t="shared" si="2"/>
        <v>0</v>
      </c>
      <c r="K13" s="97">
        <f t="shared" si="0"/>
        <v>0</v>
      </c>
      <c r="L13" s="97">
        <f t="shared" si="0"/>
        <v>0</v>
      </c>
      <c r="M13" s="97">
        <f t="shared" si="0"/>
        <v>0</v>
      </c>
      <c r="N13" s="97">
        <f t="shared" si="0"/>
        <v>0</v>
      </c>
      <c r="O13" s="97">
        <f t="shared" si="0"/>
        <v>0</v>
      </c>
      <c r="P13" s="98">
        <f t="shared" si="0"/>
        <v>0</v>
      </c>
      <c r="Q13" s="1349"/>
      <c r="R13" s="1349"/>
    </row>
    <row r="14" spans="2:18" ht="15.5">
      <c r="B14" s="1349"/>
      <c r="C14" s="1872" t="s">
        <v>884</v>
      </c>
      <c r="D14" s="1870"/>
      <c r="E14" s="94">
        <v>0.375</v>
      </c>
      <c r="F14" s="100">
        <f>0.75*3+0.45*2+0.26*2</f>
        <v>3.67</v>
      </c>
      <c r="G14" s="101">
        <v>7</v>
      </c>
      <c r="H14" s="101">
        <f>+H13</f>
        <v>0</v>
      </c>
      <c r="I14" s="97">
        <f t="shared" si="1"/>
        <v>0</v>
      </c>
      <c r="J14" s="97">
        <f t="shared" si="2"/>
        <v>0</v>
      </c>
      <c r="K14" s="97">
        <f t="shared" si="0"/>
        <v>0</v>
      </c>
      <c r="L14" s="97">
        <f t="shared" si="0"/>
        <v>0</v>
      </c>
      <c r="M14" s="97">
        <f t="shared" si="0"/>
        <v>0</v>
      </c>
      <c r="N14" s="97">
        <f t="shared" si="0"/>
        <v>0</v>
      </c>
      <c r="O14" s="97">
        <f t="shared" si="0"/>
        <v>0</v>
      </c>
      <c r="P14" s="98">
        <f t="shared" si="0"/>
        <v>0</v>
      </c>
      <c r="Q14" s="1349"/>
      <c r="R14" s="1349"/>
    </row>
    <row r="15" spans="2:18" ht="15.5">
      <c r="B15" s="1349"/>
      <c r="C15" s="1872"/>
      <c r="D15" s="1870"/>
      <c r="E15" s="94"/>
      <c r="F15" s="100"/>
      <c r="G15" s="101"/>
      <c r="H15" s="101"/>
      <c r="I15" s="97">
        <f t="shared" si="1"/>
        <v>0</v>
      </c>
      <c r="J15" s="97">
        <f t="shared" si="0"/>
        <v>0</v>
      </c>
      <c r="K15" s="97"/>
      <c r="L15" s="97">
        <f t="shared" si="0"/>
        <v>0</v>
      </c>
      <c r="M15" s="97">
        <f t="shared" si="0"/>
        <v>0</v>
      </c>
      <c r="N15" s="97">
        <f t="shared" si="0"/>
        <v>0</v>
      </c>
      <c r="O15" s="97">
        <f t="shared" si="0"/>
        <v>0</v>
      </c>
      <c r="P15" s="98">
        <f t="shared" si="0"/>
        <v>0</v>
      </c>
      <c r="Q15" s="1349"/>
      <c r="R15" s="1349"/>
    </row>
    <row r="16" spans="2:18" ht="16" thickBot="1">
      <c r="B16" s="1349"/>
      <c r="C16" s="1872"/>
      <c r="D16" s="1870"/>
      <c r="E16" s="94"/>
      <c r="F16" s="100"/>
      <c r="G16" s="101"/>
      <c r="H16" s="101"/>
      <c r="I16" s="97"/>
      <c r="J16" s="97"/>
      <c r="K16" s="97"/>
      <c r="L16" s="97"/>
      <c r="M16" s="97"/>
      <c r="N16" s="97"/>
      <c r="O16" s="97"/>
      <c r="P16" s="98"/>
      <c r="Q16" s="1349"/>
      <c r="R16" s="1349"/>
    </row>
    <row r="17" spans="2:18" ht="16" thickBot="1">
      <c r="B17" s="1349"/>
      <c r="C17" s="1867" t="str">
        <f>CONCATENATE("SUBTOTAL    ",C9,":")</f>
        <v>SUBTOTAL    Refuerzo longitudinal :</v>
      </c>
      <c r="D17" s="1868"/>
      <c r="E17" s="1868"/>
      <c r="F17" s="1869"/>
      <c r="G17" s="1883">
        <f>SUM(I17:P17)</f>
        <v>0</v>
      </c>
      <c r="H17" s="1884"/>
      <c r="I17" s="104" t="str">
        <f>IF(SUM(I9:I16)=0,"",SUM(I9:I16))</f>
        <v/>
      </c>
      <c r="J17" s="104" t="str">
        <f>IF(SUM(J9:J16)=0,"",SUM(J9:J16))</f>
        <v/>
      </c>
      <c r="K17" s="104" t="str">
        <f t="shared" ref="K17:P17" si="3">IF(SUM(K9:K16)=0,"",SUM(K9:K16))</f>
        <v/>
      </c>
      <c r="L17" s="104" t="str">
        <f t="shared" si="3"/>
        <v/>
      </c>
      <c r="M17" s="104" t="str">
        <f t="shared" si="3"/>
        <v/>
      </c>
      <c r="N17" s="104" t="str">
        <f t="shared" si="3"/>
        <v/>
      </c>
      <c r="O17" s="104" t="str">
        <f t="shared" si="3"/>
        <v/>
      </c>
      <c r="P17" s="104" t="str">
        <f t="shared" si="3"/>
        <v/>
      </c>
      <c r="Q17" s="1349"/>
      <c r="R17" s="1349"/>
    </row>
    <row r="18" spans="2:18" ht="15.5">
      <c r="B18" s="1349"/>
      <c r="C18" s="1349"/>
      <c r="D18" s="1349"/>
      <c r="E18" s="1349"/>
      <c r="F18" s="1349"/>
      <c r="G18" s="1349"/>
      <c r="H18" s="1349"/>
      <c r="I18" s="1349"/>
      <c r="J18" s="1349"/>
      <c r="K18" s="1349"/>
      <c r="L18" s="1349"/>
      <c r="M18" s="1349"/>
      <c r="N18" s="1349"/>
      <c r="O18" s="1349"/>
      <c r="P18" s="1349"/>
      <c r="Q18" s="1349"/>
      <c r="R18" s="1349"/>
    </row>
    <row r="19" spans="2:18" ht="15" thickBot="1"/>
    <row r="20" spans="2:18">
      <c r="C20" s="1876"/>
      <c r="D20" s="1877"/>
      <c r="E20" s="1878" t="str">
        <f>E3</f>
        <v>OBJETO: MEJORAMIENTO Y ADECUACIÓN DE LAS VIAS URBANAS DEL MUNICIPIO DE SANTA FE DE ANTIOQUIA</v>
      </c>
      <c r="F20" s="1877"/>
      <c r="G20" s="1877"/>
      <c r="H20" s="1877"/>
      <c r="I20" s="1877"/>
      <c r="J20" s="1877"/>
      <c r="K20" s="1877"/>
      <c r="L20" s="1877"/>
      <c r="M20" s="1877"/>
      <c r="N20" s="1877"/>
      <c r="O20" s="1877"/>
      <c r="P20" s="1879"/>
    </row>
    <row r="21" spans="2:18">
      <c r="C21" s="1871"/>
      <c r="D21" s="1870"/>
      <c r="E21" s="1880" t="s">
        <v>1743</v>
      </c>
      <c r="F21" s="1870"/>
      <c r="G21" s="1870"/>
      <c r="H21" s="1870"/>
      <c r="I21" s="1870"/>
      <c r="J21" s="1870"/>
      <c r="K21" s="1870"/>
      <c r="L21" s="1870"/>
      <c r="M21" s="1870"/>
      <c r="N21" s="1870"/>
      <c r="O21" s="1870"/>
      <c r="P21" s="1881"/>
    </row>
    <row r="22" spans="2:18">
      <c r="C22" s="82" t="s">
        <v>876</v>
      </c>
      <c r="D22" s="83" t="s">
        <v>193</v>
      </c>
      <c r="E22" s="1882" t="s">
        <v>228</v>
      </c>
      <c r="F22" s="1870"/>
      <c r="G22" s="1870"/>
      <c r="H22" s="1870"/>
      <c r="I22" s="1870"/>
      <c r="J22" s="1870"/>
      <c r="K22" s="1870"/>
      <c r="L22" s="1870"/>
      <c r="M22" s="1870"/>
      <c r="N22" s="1870"/>
      <c r="O22" s="1882" t="s">
        <v>854</v>
      </c>
      <c r="P22" s="1881"/>
    </row>
    <row r="23" spans="2:18" ht="15.5">
      <c r="C23" s="84" t="e">
        <f>C6</f>
        <v>#REF!</v>
      </c>
      <c r="D23" s="85" t="e">
        <f>D6</f>
        <v>#REF!</v>
      </c>
      <c r="E23" s="1875" t="e">
        <f>E6</f>
        <v>#REF!</v>
      </c>
      <c r="F23" s="1870"/>
      <c r="G23" s="1870"/>
      <c r="H23" s="1870"/>
      <c r="I23" s="1870"/>
      <c r="J23" s="1870"/>
      <c r="K23" s="1870"/>
      <c r="L23" s="1870"/>
      <c r="M23" s="1870"/>
      <c r="N23" s="1870"/>
      <c r="O23" s="86"/>
      <c r="P23" s="87"/>
    </row>
    <row r="24" spans="2:18">
      <c r="C24" s="1795" t="s">
        <v>877</v>
      </c>
      <c r="D24" s="1870"/>
      <c r="E24" s="1796" t="s">
        <v>878</v>
      </c>
      <c r="F24" s="1870"/>
      <c r="G24" s="1870"/>
      <c r="H24" s="1870"/>
      <c r="I24" s="89">
        <v>0.25</v>
      </c>
      <c r="J24" s="89">
        <v>0.375</v>
      </c>
      <c r="K24" s="89">
        <v>0.5</v>
      </c>
      <c r="L24" s="89">
        <v>0.625</v>
      </c>
      <c r="M24" s="89">
        <v>0.75</v>
      </c>
      <c r="N24" s="89">
        <v>0.875</v>
      </c>
      <c r="O24" s="90">
        <v>1</v>
      </c>
      <c r="P24" s="91">
        <v>1.25</v>
      </c>
    </row>
    <row r="25" spans="2:18" ht="43.5">
      <c r="C25" s="1871"/>
      <c r="D25" s="1870"/>
      <c r="E25" s="88" t="s">
        <v>879</v>
      </c>
      <c r="F25" s="88" t="s">
        <v>880</v>
      </c>
      <c r="G25" s="88" t="s">
        <v>881</v>
      </c>
      <c r="H25" s="88" t="s">
        <v>882</v>
      </c>
      <c r="I25" s="92">
        <v>0.25</v>
      </c>
      <c r="J25" s="92">
        <v>0.56000000000000005</v>
      </c>
      <c r="K25" s="92">
        <v>0.99399999999999999</v>
      </c>
      <c r="L25" s="92">
        <v>1.552</v>
      </c>
      <c r="M25" s="92">
        <v>2.2349999999999999</v>
      </c>
      <c r="N25" s="92">
        <v>3.0419999999999998</v>
      </c>
      <c r="O25" s="92">
        <v>3.9729999999999999</v>
      </c>
      <c r="P25" s="93">
        <v>6.4039999999999999</v>
      </c>
    </row>
    <row r="26" spans="2:18">
      <c r="C26" s="1872" t="s">
        <v>883</v>
      </c>
      <c r="D26" s="1870"/>
      <c r="E26" s="94">
        <v>0.375</v>
      </c>
      <c r="F26" s="95">
        <f>(1.05*2+0.8)</f>
        <v>2.9000000000000004</v>
      </c>
      <c r="G26" s="96">
        <v>10</v>
      </c>
      <c r="H26" s="96">
        <v>0</v>
      </c>
      <c r="I26" s="97">
        <f>IF($Q26=I$6,I$7*$S26*$R26*$T26,"")</f>
        <v>0</v>
      </c>
      <c r="J26" s="97">
        <f>IF(E26=J24,F26*G26*H26*$J$8,"")</f>
        <v>0</v>
      </c>
      <c r="K26" s="97">
        <f t="shared" ref="K26:P29" si="4">IF($Q26=K$6,K$7*$S26*$R26*$T26,"")</f>
        <v>0</v>
      </c>
      <c r="L26" s="97">
        <f t="shared" si="4"/>
        <v>0</v>
      </c>
      <c r="M26" s="97">
        <f t="shared" si="4"/>
        <v>0</v>
      </c>
      <c r="N26" s="97">
        <f t="shared" si="4"/>
        <v>0</v>
      </c>
      <c r="O26" s="97">
        <f t="shared" si="4"/>
        <v>0</v>
      </c>
      <c r="P26" s="98">
        <f t="shared" si="4"/>
        <v>0</v>
      </c>
    </row>
    <row r="27" spans="2:18" ht="14.5" customHeight="1">
      <c r="C27" s="1872" t="s">
        <v>884</v>
      </c>
      <c r="D27" s="1870"/>
      <c r="E27" s="94">
        <v>0.375</v>
      </c>
      <c r="F27" s="95">
        <f>0.8*2</f>
        <v>1.6</v>
      </c>
      <c r="G27" s="96">
        <f>((F26)/0.2+1)*2</f>
        <v>31.000000000000004</v>
      </c>
      <c r="H27" s="96">
        <f>+H26</f>
        <v>0</v>
      </c>
      <c r="I27" s="97">
        <f t="shared" ref="I27:I28" si="5">IF($Q27=I$6,I$7*$S27*$R27*$T27,"")</f>
        <v>0</v>
      </c>
      <c r="J27" s="97">
        <f>IF(E27=$J$7,F27*G27*H27*$J$8,"")</f>
        <v>0</v>
      </c>
      <c r="K27" s="97">
        <f t="shared" si="4"/>
        <v>0</v>
      </c>
      <c r="L27" s="97">
        <f t="shared" si="4"/>
        <v>0</v>
      </c>
      <c r="M27" s="97">
        <f t="shared" si="4"/>
        <v>0</v>
      </c>
      <c r="N27" s="97">
        <f t="shared" si="4"/>
        <v>0</v>
      </c>
      <c r="O27" s="97">
        <f t="shared" si="4"/>
        <v>0</v>
      </c>
      <c r="P27" s="98">
        <f t="shared" si="4"/>
        <v>0</v>
      </c>
    </row>
    <row r="28" spans="2:18" ht="14.5" customHeight="1">
      <c r="C28" s="1872" t="s">
        <v>883</v>
      </c>
      <c r="D28" s="1870"/>
      <c r="E28" s="94">
        <v>0.375</v>
      </c>
      <c r="F28" s="95">
        <f>4*0.35</f>
        <v>1.4</v>
      </c>
      <c r="G28" s="96">
        <v>10</v>
      </c>
      <c r="H28" s="96">
        <f>+H27</f>
        <v>0</v>
      </c>
      <c r="I28" s="97">
        <f t="shared" si="5"/>
        <v>0</v>
      </c>
      <c r="J28" s="97">
        <f t="shared" ref="J28:J29" si="6">IF(E28=$J$7,F28*G28*H28*$J$8,"")</f>
        <v>0</v>
      </c>
      <c r="K28" s="97">
        <f t="shared" si="4"/>
        <v>0</v>
      </c>
      <c r="L28" s="97">
        <f t="shared" si="4"/>
        <v>0</v>
      </c>
      <c r="M28" s="97">
        <f t="shared" si="4"/>
        <v>0</v>
      </c>
      <c r="N28" s="97">
        <f t="shared" si="4"/>
        <v>0</v>
      </c>
      <c r="O28" s="97">
        <f t="shared" si="4"/>
        <v>0</v>
      </c>
      <c r="P28" s="98">
        <f t="shared" si="4"/>
        <v>0</v>
      </c>
    </row>
    <row r="29" spans="2:18" ht="14.5" customHeight="1">
      <c r="C29" s="1872" t="s">
        <v>884</v>
      </c>
      <c r="D29" s="1870"/>
      <c r="E29" s="94">
        <v>0.375</v>
      </c>
      <c r="F29" s="100">
        <f>0.7*4*3</f>
        <v>8.3999999999999986</v>
      </c>
      <c r="G29" s="101">
        <v>8</v>
      </c>
      <c r="H29" s="101">
        <f>+H28</f>
        <v>0</v>
      </c>
      <c r="I29" s="97">
        <f>IF($Q29=I$6,I$7*$S29*$R29*$T29,"")</f>
        <v>0</v>
      </c>
      <c r="J29" s="97">
        <f t="shared" si="6"/>
        <v>0</v>
      </c>
      <c r="K29" s="97">
        <f t="shared" si="4"/>
        <v>0</v>
      </c>
      <c r="L29" s="97">
        <f t="shared" si="4"/>
        <v>0</v>
      </c>
      <c r="M29" s="97">
        <f t="shared" si="4"/>
        <v>0</v>
      </c>
      <c r="N29" s="97">
        <f t="shared" si="4"/>
        <v>0</v>
      </c>
      <c r="O29" s="97">
        <f t="shared" si="4"/>
        <v>0</v>
      </c>
      <c r="P29" s="98">
        <f t="shared" si="4"/>
        <v>0</v>
      </c>
    </row>
    <row r="30" spans="2:18" ht="15.5">
      <c r="C30" s="1872"/>
      <c r="D30" s="1870"/>
      <c r="E30" s="94"/>
      <c r="F30" s="100"/>
      <c r="G30" s="101"/>
      <c r="H30" s="101"/>
      <c r="I30" s="97"/>
      <c r="J30" s="97"/>
      <c r="K30" s="97"/>
      <c r="L30" s="97"/>
      <c r="M30" s="97"/>
      <c r="N30" s="97"/>
      <c r="O30" s="97"/>
      <c r="P30" s="98"/>
    </row>
    <row r="31" spans="2:18" ht="15.5">
      <c r="C31" s="1872"/>
      <c r="D31" s="1870"/>
      <c r="E31" s="94"/>
      <c r="F31" s="100"/>
      <c r="G31" s="101"/>
      <c r="H31" s="101"/>
      <c r="I31" s="97"/>
      <c r="J31" s="97"/>
      <c r="K31" s="97"/>
      <c r="L31" s="97"/>
      <c r="M31" s="97"/>
      <c r="N31" s="97"/>
      <c r="O31" s="97"/>
      <c r="P31" s="98"/>
    </row>
    <row r="32" spans="2:18" ht="15.5">
      <c r="C32" s="1872"/>
      <c r="D32" s="1870"/>
      <c r="E32" s="94"/>
      <c r="F32" s="100"/>
      <c r="G32" s="101"/>
      <c r="H32" s="101"/>
      <c r="I32" s="97"/>
      <c r="J32" s="97"/>
      <c r="K32" s="97"/>
      <c r="L32" s="97"/>
      <c r="M32" s="97"/>
      <c r="N32" s="97"/>
      <c r="O32" s="97"/>
      <c r="P32" s="98"/>
    </row>
    <row r="33" spans="3:16" ht="16" thickBot="1">
      <c r="C33" s="1872"/>
      <c r="D33" s="1870"/>
      <c r="E33" s="94"/>
      <c r="F33" s="100"/>
      <c r="G33" s="101"/>
      <c r="H33" s="101"/>
      <c r="I33" s="97"/>
      <c r="J33" s="97"/>
      <c r="K33" s="97"/>
      <c r="L33" s="97"/>
      <c r="M33" s="97"/>
      <c r="N33" s="97"/>
      <c r="O33" s="97"/>
      <c r="P33" s="98"/>
    </row>
    <row r="34" spans="3:16" ht="16" thickBot="1">
      <c r="C34" s="1867" t="str">
        <f>CONCATENATE("SUBTOTAL    ",C26,":")</f>
        <v>SUBTOTAL    Refuerzo longitudinal :</v>
      </c>
      <c r="D34" s="1868"/>
      <c r="E34" s="1868"/>
      <c r="F34" s="1869"/>
      <c r="G34" s="1883">
        <f>SUM(I34:P34)</f>
        <v>0</v>
      </c>
      <c r="H34" s="1884"/>
      <c r="I34" s="104" t="str">
        <f>IF(SUM(I26:I33)=0,"",SUM(I26:I33))</f>
        <v/>
      </c>
      <c r="J34" s="104" t="str">
        <f>IF(SUM(J26:J33)=0,"",SUM(J26:J33))</f>
        <v/>
      </c>
      <c r="K34" s="104" t="str">
        <f t="shared" ref="K34:P34" si="7">IF(SUM(K26:K33)=0,"",SUM(K26:K33))</f>
        <v/>
      </c>
      <c r="L34" s="104" t="str">
        <f t="shared" si="7"/>
        <v/>
      </c>
      <c r="M34" s="104" t="str">
        <f t="shared" si="7"/>
        <v/>
      </c>
      <c r="N34" s="104" t="str">
        <f t="shared" si="7"/>
        <v/>
      </c>
      <c r="O34" s="104" t="str">
        <f t="shared" si="7"/>
        <v/>
      </c>
      <c r="P34" s="104" t="str">
        <f t="shared" si="7"/>
        <v/>
      </c>
    </row>
    <row r="38" spans="3:16">
      <c r="G38" s="1395"/>
    </row>
  </sheetData>
  <mergeCells count="36">
    <mergeCell ref="G17:H17"/>
    <mergeCell ref="C7:D8"/>
    <mergeCell ref="E7:H7"/>
    <mergeCell ref="C9:D9"/>
    <mergeCell ref="C10:D10"/>
    <mergeCell ref="C11:D11"/>
    <mergeCell ref="C12:D12"/>
    <mergeCell ref="C13:D13"/>
    <mergeCell ref="C14:D14"/>
    <mergeCell ref="C15:D15"/>
    <mergeCell ref="C16:D16"/>
    <mergeCell ref="C17:F17"/>
    <mergeCell ref="E6:N6"/>
    <mergeCell ref="C3:D4"/>
    <mergeCell ref="E3:P3"/>
    <mergeCell ref="E4:P4"/>
    <mergeCell ref="E5:N5"/>
    <mergeCell ref="O5:P5"/>
    <mergeCell ref="C20:D21"/>
    <mergeCell ref="E20:P20"/>
    <mergeCell ref="E21:P21"/>
    <mergeCell ref="E22:N22"/>
    <mergeCell ref="O22:P22"/>
    <mergeCell ref="E23:N23"/>
    <mergeCell ref="C24:D25"/>
    <mergeCell ref="E24:H24"/>
    <mergeCell ref="C26:D26"/>
    <mergeCell ref="C27:D27"/>
    <mergeCell ref="C33:D33"/>
    <mergeCell ref="C34:F34"/>
    <mergeCell ref="G34:H34"/>
    <mergeCell ref="C28:D28"/>
    <mergeCell ref="C29:D29"/>
    <mergeCell ref="C30:D30"/>
    <mergeCell ref="C31:D31"/>
    <mergeCell ref="C32:D32"/>
  </mergeCells>
  <conditionalFormatting sqref="C6">
    <cfRule type="containsBlanks" dxfId="54" priority="2">
      <formula>LEN(TRIM(C6))=0</formula>
    </cfRule>
  </conditionalFormatting>
  <conditionalFormatting sqref="C23">
    <cfRule type="containsBlanks" dxfId="53" priority="1">
      <formula>LEN(TRIM(C23))=0</formula>
    </cfRule>
  </conditionalFormatting>
  <dataValidations count="1">
    <dataValidation type="list" allowBlank="1" showErrorMessage="1" sqref="E9:E16 E26:E33" xr:uid="{5CEC960A-878A-43A3-852A-E01442B9192E}">
      <formula1>$U$6:$AB$6</formula1>
    </dataValidation>
  </dataValidation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FF8B4F-D6FA-4E30-B23E-EB5B0D0160D0}">
  <sheetPr>
    <tabColor theme="7" tint="0.79998168889431442"/>
  </sheetPr>
  <dimension ref="A1:IO55"/>
  <sheetViews>
    <sheetView topLeftCell="B3" zoomScaleNormal="70" workbookViewId="0">
      <selection activeCell="C52" sqref="C52"/>
    </sheetView>
  </sheetViews>
  <sheetFormatPr baseColWidth="10" defaultColWidth="11.453125" defaultRowHeight="12.5"/>
  <cols>
    <col min="1" max="1" width="2" style="951" customWidth="1"/>
    <col min="2" max="2" width="8.453125" style="586" customWidth="1"/>
    <col min="3" max="3" width="56.36328125" style="951" customWidth="1"/>
    <col min="4" max="4" width="11.453125" style="581" customWidth="1"/>
    <col min="5" max="5" width="19" style="581" bestFit="1" customWidth="1"/>
    <col min="6" max="6" width="16.6328125" style="581" customWidth="1"/>
    <col min="7" max="7" width="12.6328125" style="581" customWidth="1"/>
    <col min="8" max="8" width="28.6328125" style="953" customWidth="1"/>
    <col min="9" max="9" width="32.81640625" style="581" customWidth="1"/>
    <col min="10" max="10" width="34" style="581" customWidth="1"/>
    <col min="11" max="11" width="38.453125" style="581" customWidth="1"/>
    <col min="12" max="12" width="15" style="581" customWidth="1"/>
    <col min="13" max="13" width="25.453125" style="581" customWidth="1"/>
    <col min="14" max="216" width="11.453125" style="581"/>
    <col min="217" max="217" width="4.453125" style="581" bestFit="1" customWidth="1"/>
    <col min="218" max="218" width="42" style="581" customWidth="1"/>
    <col min="219" max="219" width="6.6328125" style="581" bestFit="1" customWidth="1"/>
    <col min="220" max="220" width="11.453125" style="581"/>
    <col min="221" max="221" width="10.453125" style="581" bestFit="1" customWidth="1"/>
    <col min="222" max="222" width="11.453125" style="581" bestFit="1"/>
    <col min="223" max="223" width="14.08984375" style="581" bestFit="1" customWidth="1"/>
    <col min="224" max="224" width="14.6328125" style="581" bestFit="1" customWidth="1"/>
    <col min="225" max="225" width="22.453125" style="581" customWidth="1"/>
    <col min="226" max="226" width="12.453125" style="581" bestFit="1" customWidth="1"/>
    <col min="227" max="227" width="42.08984375" style="581" customWidth="1"/>
    <col min="228" max="16384" width="11.453125" style="581"/>
  </cols>
  <sheetData>
    <row r="1" spans="1:249" ht="13" thickBot="1">
      <c r="A1" s="581"/>
      <c r="B1" s="1885"/>
      <c r="C1" s="1885"/>
      <c r="D1" s="1885"/>
      <c r="E1" s="1885"/>
      <c r="F1" s="1885"/>
      <c r="G1" s="1885"/>
      <c r="H1" s="1885"/>
      <c r="I1" s="1885"/>
    </row>
    <row r="2" spans="1:249" ht="18" customHeight="1">
      <c r="A2" s="581"/>
      <c r="B2" s="1901" t="str">
        <f>+PRESUPUESTO!A2</f>
        <v>OBJETO: MEJORAMIENTO Y ADECUACIÓN DE LAS VIAS URBANAS DEL MUNICIPIO DE SANTA FE DE ANTIOQUIA</v>
      </c>
      <c r="C2" s="1902"/>
      <c r="D2" s="1902"/>
      <c r="E2" s="1902"/>
      <c r="F2" s="1902"/>
      <c r="G2" s="1902"/>
      <c r="H2" s="1902"/>
      <c r="I2" s="1903"/>
    </row>
    <row r="3" spans="1:249" ht="18" customHeight="1">
      <c r="A3" s="581"/>
      <c r="B3" s="1904"/>
      <c r="C3" s="1905"/>
      <c r="D3" s="1905"/>
      <c r="E3" s="1905"/>
      <c r="F3" s="1905"/>
      <c r="G3" s="1905"/>
      <c r="H3" s="1905"/>
      <c r="I3" s="1906"/>
    </row>
    <row r="4" spans="1:249" ht="24.75" customHeight="1">
      <c r="A4" s="581"/>
      <c r="B4" s="1886" t="s">
        <v>226</v>
      </c>
      <c r="C4" s="1887"/>
      <c r="D4" s="1887"/>
      <c r="E4" s="1887"/>
      <c r="F4" s="1887"/>
      <c r="G4" s="1887"/>
      <c r="H4" s="1887"/>
      <c r="I4" s="1888"/>
      <c r="K4" s="857"/>
    </row>
    <row r="5" spans="1:249" ht="46.5" customHeight="1">
      <c r="A5" s="581"/>
      <c r="B5" s="629" t="s">
        <v>227</v>
      </c>
      <c r="C5" s="567" t="s">
        <v>228</v>
      </c>
      <c r="D5" s="858" t="s">
        <v>229</v>
      </c>
      <c r="E5" s="859" t="s">
        <v>230</v>
      </c>
      <c r="F5" s="567" t="s">
        <v>231</v>
      </c>
      <c r="G5" s="567" t="s">
        <v>232</v>
      </c>
      <c r="H5" s="567" t="s">
        <v>233</v>
      </c>
      <c r="I5" s="860" t="s">
        <v>6</v>
      </c>
      <c r="J5" s="577"/>
      <c r="K5" s="577"/>
      <c r="L5" s="577"/>
      <c r="M5" s="577"/>
      <c r="N5" s="577"/>
      <c r="O5" s="577"/>
      <c r="P5" s="577"/>
      <c r="Q5" s="577"/>
      <c r="R5" s="577"/>
      <c r="S5" s="577"/>
      <c r="T5" s="577"/>
      <c r="U5" s="577"/>
      <c r="V5" s="577"/>
      <c r="W5" s="577"/>
      <c r="X5" s="577"/>
      <c r="Y5" s="577"/>
      <c r="Z5" s="577"/>
      <c r="AA5" s="577"/>
      <c r="AB5" s="577"/>
      <c r="AC5" s="577"/>
      <c r="AD5" s="577"/>
      <c r="AE5" s="577"/>
      <c r="AF5" s="577"/>
      <c r="AG5" s="577"/>
      <c r="AH5" s="577"/>
      <c r="AI5" s="577"/>
      <c r="AJ5" s="577"/>
      <c r="AK5" s="577"/>
      <c r="AL5" s="577"/>
      <c r="AM5" s="577"/>
      <c r="AN5" s="577"/>
      <c r="AO5" s="577"/>
      <c r="AP5" s="577"/>
      <c r="AQ5" s="577"/>
      <c r="AR5" s="577"/>
      <c r="AS5" s="577"/>
      <c r="AT5" s="577"/>
      <c r="AU5" s="577"/>
      <c r="AV5" s="577"/>
      <c r="AW5" s="577"/>
      <c r="AX5" s="577"/>
      <c r="AY5" s="577"/>
      <c r="AZ5" s="577"/>
      <c r="BA5" s="577"/>
      <c r="BB5" s="577"/>
      <c r="BC5" s="577"/>
      <c r="BD5" s="577"/>
      <c r="BE5" s="577"/>
      <c r="BF5" s="577"/>
      <c r="BG5" s="577"/>
      <c r="BH5" s="577"/>
      <c r="BI5" s="577"/>
      <c r="BJ5" s="577"/>
      <c r="BK5" s="577"/>
      <c r="BL5" s="577"/>
      <c r="BM5" s="577"/>
      <c r="BN5" s="577"/>
      <c r="BO5" s="577"/>
      <c r="BP5" s="577"/>
      <c r="BQ5" s="577"/>
      <c r="BR5" s="577"/>
      <c r="BS5" s="577"/>
      <c r="BT5" s="577"/>
      <c r="BU5" s="577"/>
      <c r="BV5" s="577"/>
      <c r="BW5" s="577"/>
      <c r="BX5" s="577"/>
      <c r="BY5" s="577"/>
      <c r="BZ5" s="577"/>
      <c r="CA5" s="577"/>
      <c r="CB5" s="577"/>
      <c r="CC5" s="577"/>
      <c r="CD5" s="577"/>
      <c r="CE5" s="577"/>
      <c r="CF5" s="577"/>
      <c r="CG5" s="577"/>
      <c r="CH5" s="577"/>
      <c r="CI5" s="577"/>
      <c r="CJ5" s="577"/>
      <c r="CK5" s="577"/>
      <c r="CL5" s="577"/>
      <c r="CM5" s="577"/>
      <c r="CN5" s="577"/>
      <c r="CO5" s="577"/>
      <c r="CP5" s="577"/>
      <c r="CQ5" s="577"/>
      <c r="CR5" s="577"/>
      <c r="CS5" s="577"/>
      <c r="CT5" s="577"/>
      <c r="CU5" s="577"/>
      <c r="CV5" s="577"/>
      <c r="CW5" s="577"/>
      <c r="CX5" s="577"/>
      <c r="CY5" s="577"/>
      <c r="CZ5" s="577"/>
      <c r="DA5" s="577"/>
      <c r="DB5" s="577"/>
      <c r="DC5" s="577"/>
      <c r="DD5" s="577"/>
      <c r="DE5" s="577"/>
      <c r="DF5" s="577"/>
      <c r="DG5" s="577"/>
      <c r="DH5" s="577"/>
      <c r="DI5" s="577"/>
      <c r="DJ5" s="577"/>
      <c r="DK5" s="577"/>
      <c r="DL5" s="577"/>
      <c r="DM5" s="577"/>
      <c r="DN5" s="577"/>
      <c r="DO5" s="577"/>
      <c r="DP5" s="577"/>
      <c r="DQ5" s="577"/>
      <c r="DR5" s="577"/>
      <c r="DS5" s="577"/>
      <c r="DT5" s="577"/>
      <c r="DU5" s="577"/>
      <c r="DV5" s="577"/>
      <c r="DW5" s="577"/>
      <c r="DX5" s="577"/>
      <c r="DY5" s="577"/>
      <c r="DZ5" s="577"/>
      <c r="EA5" s="577"/>
      <c r="EB5" s="577"/>
      <c r="EC5" s="577"/>
      <c r="ED5" s="577"/>
      <c r="EE5" s="577"/>
      <c r="EF5" s="577"/>
      <c r="EG5" s="577"/>
      <c r="EH5" s="577"/>
      <c r="EI5" s="577"/>
      <c r="EJ5" s="577"/>
      <c r="EK5" s="577"/>
      <c r="EL5" s="577"/>
      <c r="EM5" s="577"/>
      <c r="EN5" s="577"/>
      <c r="EO5" s="577"/>
      <c r="EP5" s="577"/>
      <c r="EQ5" s="577"/>
      <c r="ER5" s="577"/>
      <c r="ES5" s="577"/>
      <c r="ET5" s="577"/>
      <c r="EU5" s="577"/>
      <c r="EV5" s="577"/>
      <c r="EW5" s="577"/>
      <c r="EX5" s="577"/>
      <c r="EY5" s="577"/>
      <c r="EZ5" s="577"/>
      <c r="FA5" s="577"/>
      <c r="FB5" s="577"/>
      <c r="FC5" s="577"/>
      <c r="FD5" s="577"/>
      <c r="FE5" s="577"/>
      <c r="FF5" s="577"/>
      <c r="FG5" s="577"/>
      <c r="FH5" s="577"/>
      <c r="FI5" s="577"/>
      <c r="FJ5" s="577"/>
      <c r="FK5" s="577"/>
      <c r="FL5" s="577"/>
      <c r="FM5" s="577"/>
      <c r="FN5" s="577"/>
      <c r="FO5" s="577"/>
      <c r="FP5" s="577"/>
      <c r="FQ5" s="577"/>
      <c r="FR5" s="577"/>
      <c r="FS5" s="577"/>
      <c r="FT5" s="577"/>
      <c r="FU5" s="577"/>
      <c r="FV5" s="577"/>
      <c r="FW5" s="577"/>
      <c r="FX5" s="577"/>
      <c r="FY5" s="577"/>
      <c r="FZ5" s="577"/>
      <c r="GA5" s="577"/>
      <c r="GB5" s="577"/>
      <c r="GC5" s="577"/>
      <c r="GD5" s="577"/>
      <c r="GE5" s="577"/>
      <c r="GF5" s="577"/>
      <c r="GG5" s="577"/>
      <c r="GH5" s="577"/>
      <c r="GI5" s="577"/>
      <c r="GJ5" s="577"/>
      <c r="GK5" s="577"/>
      <c r="GL5" s="577"/>
      <c r="GM5" s="577"/>
      <c r="GN5" s="577"/>
      <c r="GO5" s="577"/>
      <c r="GP5" s="577"/>
      <c r="GQ5" s="577"/>
      <c r="GR5" s="577"/>
      <c r="GS5" s="577"/>
      <c r="GT5" s="577"/>
      <c r="GU5" s="577"/>
      <c r="GV5" s="577"/>
      <c r="GW5" s="577"/>
      <c r="GX5" s="577"/>
      <c r="GY5" s="577"/>
      <c r="GZ5" s="577"/>
      <c r="HA5" s="577"/>
      <c r="HB5" s="577"/>
      <c r="HC5" s="577"/>
      <c r="HD5" s="577"/>
      <c r="HE5" s="577"/>
      <c r="HF5" s="577"/>
      <c r="HG5" s="577"/>
      <c r="HH5" s="577"/>
      <c r="HI5" s="577"/>
      <c r="HJ5" s="577"/>
      <c r="HK5" s="577"/>
      <c r="HL5" s="577"/>
      <c r="HM5" s="577"/>
      <c r="HN5" s="577"/>
      <c r="HO5" s="577"/>
      <c r="HP5" s="577"/>
      <c r="HQ5" s="577"/>
      <c r="HR5" s="577"/>
      <c r="HS5" s="577"/>
      <c r="HT5" s="577"/>
      <c r="HU5" s="577"/>
      <c r="HV5" s="577"/>
      <c r="HW5" s="577"/>
      <c r="HX5" s="577"/>
      <c r="HY5" s="577"/>
      <c r="HZ5" s="577"/>
      <c r="IA5" s="577"/>
      <c r="IB5" s="577"/>
      <c r="IC5" s="577"/>
      <c r="ID5" s="577"/>
      <c r="IE5" s="577"/>
      <c r="IF5" s="577"/>
      <c r="IG5" s="577"/>
      <c r="IH5" s="577"/>
      <c r="II5" s="577"/>
      <c r="IJ5" s="577"/>
      <c r="IK5" s="577"/>
      <c r="IL5" s="577"/>
      <c r="IM5" s="577"/>
      <c r="IN5" s="577"/>
      <c r="IO5" s="577"/>
    </row>
    <row r="6" spans="1:249" ht="15.5">
      <c r="A6" s="581"/>
      <c r="B6" s="631">
        <v>1</v>
      </c>
      <c r="C6" s="568" t="s">
        <v>234</v>
      </c>
      <c r="D6" s="861"/>
      <c r="E6" s="861"/>
      <c r="F6" s="861"/>
      <c r="G6" s="861"/>
      <c r="H6" s="861"/>
      <c r="I6" s="862">
        <f>IFERROR(SUM(I7:I17)/2,0)</f>
        <v>12921000</v>
      </c>
      <c r="J6" s="577"/>
      <c r="K6" s="577"/>
      <c r="L6" s="577"/>
      <c r="M6" s="577"/>
      <c r="N6" s="577"/>
      <c r="O6" s="577"/>
      <c r="P6" s="577"/>
      <c r="Q6" s="577"/>
      <c r="R6" s="577"/>
      <c r="S6" s="577"/>
      <c r="T6" s="577"/>
      <c r="U6" s="577"/>
      <c r="V6" s="577"/>
      <c r="W6" s="577"/>
      <c r="X6" s="577"/>
      <c r="Y6" s="577"/>
      <c r="Z6" s="577"/>
      <c r="AA6" s="577"/>
      <c r="AB6" s="577"/>
      <c r="AC6" s="577"/>
      <c r="AD6" s="577"/>
      <c r="AE6" s="577"/>
      <c r="AF6" s="577"/>
      <c r="AG6" s="577"/>
      <c r="AH6" s="577"/>
      <c r="AI6" s="577"/>
      <c r="AJ6" s="577"/>
      <c r="AK6" s="577"/>
      <c r="AL6" s="577"/>
      <c r="AM6" s="577"/>
      <c r="AN6" s="577"/>
      <c r="AO6" s="577"/>
      <c r="AP6" s="577"/>
      <c r="AQ6" s="577"/>
      <c r="AR6" s="577"/>
      <c r="AS6" s="577"/>
      <c r="AT6" s="577"/>
      <c r="AU6" s="577"/>
      <c r="AV6" s="577"/>
      <c r="AW6" s="577"/>
      <c r="AX6" s="577"/>
      <c r="AY6" s="577"/>
      <c r="AZ6" s="577"/>
      <c r="BA6" s="577"/>
      <c r="BB6" s="577"/>
      <c r="BC6" s="577"/>
      <c r="BD6" s="577"/>
      <c r="BE6" s="577"/>
      <c r="BF6" s="577"/>
      <c r="BG6" s="577"/>
      <c r="BH6" s="577"/>
      <c r="BI6" s="577"/>
      <c r="BJ6" s="577"/>
      <c r="BK6" s="577"/>
      <c r="BL6" s="577"/>
      <c r="BM6" s="577"/>
      <c r="BN6" s="577"/>
      <c r="BO6" s="577"/>
      <c r="BP6" s="577"/>
      <c r="BQ6" s="577"/>
      <c r="BR6" s="577"/>
      <c r="BS6" s="577"/>
      <c r="BT6" s="577"/>
      <c r="BU6" s="577"/>
      <c r="BV6" s="577"/>
      <c r="BW6" s="577"/>
      <c r="BX6" s="577"/>
      <c r="BY6" s="577"/>
      <c r="BZ6" s="577"/>
      <c r="CA6" s="577"/>
      <c r="CB6" s="577"/>
      <c r="CC6" s="577"/>
      <c r="CD6" s="577"/>
      <c r="CE6" s="577"/>
      <c r="CF6" s="577"/>
      <c r="CG6" s="577"/>
      <c r="CH6" s="577"/>
      <c r="CI6" s="577"/>
      <c r="CJ6" s="577"/>
      <c r="CK6" s="577"/>
      <c r="CL6" s="577"/>
      <c r="CM6" s="577"/>
      <c r="CN6" s="577"/>
      <c r="CO6" s="577"/>
      <c r="CP6" s="577"/>
      <c r="CQ6" s="577"/>
      <c r="CR6" s="577"/>
      <c r="CS6" s="577"/>
      <c r="CT6" s="577"/>
      <c r="CU6" s="577"/>
      <c r="CV6" s="577"/>
      <c r="CW6" s="577"/>
      <c r="CX6" s="577"/>
      <c r="CY6" s="577"/>
      <c r="CZ6" s="577"/>
      <c r="DA6" s="577"/>
      <c r="DB6" s="577"/>
      <c r="DC6" s="577"/>
      <c r="DD6" s="577"/>
      <c r="DE6" s="577"/>
      <c r="DF6" s="577"/>
      <c r="DG6" s="577"/>
      <c r="DH6" s="577"/>
      <c r="DI6" s="577"/>
      <c r="DJ6" s="577"/>
      <c r="DK6" s="577"/>
      <c r="DL6" s="577"/>
      <c r="DM6" s="577"/>
      <c r="DN6" s="577"/>
      <c r="DO6" s="577"/>
      <c r="DP6" s="577"/>
      <c r="DQ6" s="577"/>
      <c r="DR6" s="577"/>
      <c r="DS6" s="577"/>
      <c r="DT6" s="577"/>
      <c r="DU6" s="577"/>
      <c r="DV6" s="577"/>
      <c r="DW6" s="577"/>
      <c r="DX6" s="577"/>
      <c r="DY6" s="577"/>
      <c r="DZ6" s="577"/>
      <c r="EA6" s="577"/>
      <c r="EB6" s="577"/>
      <c r="EC6" s="577"/>
      <c r="ED6" s="577"/>
      <c r="EE6" s="577"/>
      <c r="EF6" s="577"/>
      <c r="EG6" s="577"/>
      <c r="EH6" s="577"/>
      <c r="EI6" s="577"/>
      <c r="EJ6" s="577"/>
      <c r="EK6" s="577"/>
      <c r="EL6" s="577"/>
      <c r="EM6" s="577"/>
      <c r="EN6" s="577"/>
      <c r="EO6" s="577"/>
      <c r="EP6" s="577"/>
      <c r="EQ6" s="577"/>
      <c r="ER6" s="577"/>
      <c r="ES6" s="577"/>
      <c r="ET6" s="577"/>
      <c r="EU6" s="577"/>
      <c r="EV6" s="577"/>
      <c r="EW6" s="577"/>
      <c r="EX6" s="577"/>
      <c r="EY6" s="577"/>
      <c r="EZ6" s="577"/>
      <c r="FA6" s="577"/>
      <c r="FB6" s="577"/>
      <c r="FC6" s="577"/>
      <c r="FD6" s="577"/>
      <c r="FE6" s="577"/>
      <c r="FF6" s="577"/>
      <c r="FG6" s="577"/>
      <c r="FH6" s="577"/>
      <c r="FI6" s="577"/>
      <c r="FJ6" s="577"/>
      <c r="FK6" s="577"/>
      <c r="FL6" s="577"/>
      <c r="FM6" s="577"/>
      <c r="FN6" s="577"/>
      <c r="FO6" s="577"/>
      <c r="FP6" s="577"/>
      <c r="FQ6" s="577"/>
      <c r="FR6" s="577"/>
      <c r="FS6" s="577"/>
      <c r="FT6" s="577"/>
      <c r="FU6" s="577"/>
      <c r="FV6" s="577"/>
      <c r="FW6" s="577"/>
      <c r="FX6" s="577"/>
      <c r="FY6" s="577"/>
      <c r="FZ6" s="577"/>
      <c r="GA6" s="577"/>
      <c r="GB6" s="577"/>
      <c r="GC6" s="577"/>
      <c r="GD6" s="577"/>
      <c r="GE6" s="577"/>
      <c r="GF6" s="577"/>
      <c r="GG6" s="577"/>
      <c r="GH6" s="577"/>
      <c r="GI6" s="577"/>
      <c r="GJ6" s="577"/>
      <c r="GK6" s="577"/>
      <c r="GL6" s="577"/>
      <c r="GM6" s="577"/>
      <c r="GN6" s="577"/>
      <c r="GO6" s="577"/>
      <c r="GP6" s="577"/>
      <c r="GQ6" s="577"/>
      <c r="GR6" s="577"/>
      <c r="GS6" s="577"/>
      <c r="GT6" s="577"/>
      <c r="GU6" s="577"/>
      <c r="GV6" s="577"/>
      <c r="GW6" s="577"/>
      <c r="GX6" s="577"/>
      <c r="GY6" s="577"/>
      <c r="GZ6" s="577"/>
      <c r="HA6" s="577"/>
      <c r="HB6" s="577"/>
      <c r="HC6" s="577"/>
      <c r="HD6" s="577"/>
      <c r="HE6" s="577"/>
      <c r="HF6" s="577"/>
      <c r="HG6" s="577"/>
      <c r="HH6" s="577"/>
      <c r="HI6" s="577"/>
      <c r="HJ6" s="577"/>
      <c r="HK6" s="577"/>
      <c r="HL6" s="577"/>
      <c r="HM6" s="577"/>
      <c r="HN6" s="577"/>
      <c r="HO6" s="577"/>
      <c r="HP6" s="577"/>
      <c r="HQ6" s="577"/>
      <c r="HR6" s="577"/>
      <c r="HS6" s="577"/>
      <c r="HT6" s="577"/>
      <c r="HU6" s="577"/>
      <c r="HV6" s="577"/>
      <c r="HW6" s="577"/>
      <c r="HX6" s="577"/>
      <c r="HY6" s="577"/>
      <c r="HZ6" s="577"/>
      <c r="IA6" s="577"/>
      <c r="IB6" s="577"/>
      <c r="IC6" s="577"/>
      <c r="ID6" s="577"/>
      <c r="IE6" s="577"/>
      <c r="IF6" s="577"/>
      <c r="IG6" s="577"/>
      <c r="IH6" s="577"/>
      <c r="II6" s="577"/>
      <c r="IJ6" s="577"/>
      <c r="IK6" s="577"/>
      <c r="IL6" s="577"/>
      <c r="IM6" s="577"/>
      <c r="IN6" s="577"/>
      <c r="IO6" s="577"/>
    </row>
    <row r="7" spans="1:249" ht="15.5" hidden="1">
      <c r="A7" s="581"/>
      <c r="B7" s="863">
        <v>1.1000000000000001</v>
      </c>
      <c r="C7" s="864" t="s">
        <v>235</v>
      </c>
      <c r="D7" s="865"/>
      <c r="E7" s="865"/>
      <c r="F7" s="865"/>
      <c r="G7" s="865"/>
      <c r="H7" s="865"/>
      <c r="I7" s="866">
        <f>IFERROR(SUM(I8:I9),0)</f>
        <v>0</v>
      </c>
      <c r="J7" s="577"/>
      <c r="K7" s="577"/>
      <c r="L7" s="577"/>
      <c r="M7" s="577"/>
      <c r="N7" s="577"/>
      <c r="O7" s="577"/>
      <c r="P7" s="577"/>
      <c r="Q7" s="577"/>
      <c r="R7" s="577"/>
      <c r="S7" s="577"/>
      <c r="T7" s="577"/>
      <c r="U7" s="577"/>
      <c r="V7" s="577"/>
      <c r="W7" s="577"/>
      <c r="X7" s="577"/>
      <c r="Y7" s="577"/>
      <c r="Z7" s="577"/>
      <c r="AA7" s="577"/>
      <c r="AB7" s="577"/>
      <c r="AC7" s="577"/>
      <c r="AD7" s="577"/>
      <c r="AE7" s="577"/>
      <c r="AF7" s="577"/>
      <c r="AG7" s="577"/>
      <c r="AH7" s="577"/>
      <c r="AI7" s="577"/>
      <c r="AJ7" s="577"/>
      <c r="AK7" s="577"/>
      <c r="AL7" s="577"/>
      <c r="AM7" s="577"/>
      <c r="AN7" s="577"/>
      <c r="AO7" s="577"/>
      <c r="AP7" s="577"/>
      <c r="AQ7" s="577"/>
      <c r="AR7" s="577"/>
      <c r="AS7" s="577"/>
      <c r="AT7" s="577"/>
      <c r="AU7" s="577"/>
      <c r="AV7" s="577"/>
      <c r="AW7" s="577"/>
      <c r="AX7" s="577"/>
      <c r="AY7" s="577"/>
      <c r="AZ7" s="577"/>
      <c r="BA7" s="577"/>
      <c r="BB7" s="577"/>
      <c r="BC7" s="577"/>
      <c r="BD7" s="577"/>
      <c r="BE7" s="577"/>
      <c r="BF7" s="577"/>
      <c r="BG7" s="577"/>
      <c r="BH7" s="577"/>
      <c r="BI7" s="577"/>
      <c r="BJ7" s="577"/>
      <c r="BK7" s="577"/>
      <c r="BL7" s="577"/>
      <c r="BM7" s="577"/>
      <c r="BN7" s="577"/>
      <c r="BO7" s="577"/>
      <c r="BP7" s="577"/>
      <c r="BQ7" s="577"/>
      <c r="BR7" s="577"/>
      <c r="BS7" s="577"/>
      <c r="BT7" s="577"/>
      <c r="BU7" s="577"/>
      <c r="BV7" s="577"/>
      <c r="BW7" s="577"/>
      <c r="BX7" s="577"/>
      <c r="BY7" s="577"/>
      <c r="BZ7" s="577"/>
      <c r="CA7" s="577"/>
      <c r="CB7" s="577"/>
      <c r="CC7" s="577"/>
      <c r="CD7" s="577"/>
      <c r="CE7" s="577"/>
      <c r="CF7" s="577"/>
      <c r="CG7" s="577"/>
      <c r="CH7" s="577"/>
      <c r="CI7" s="577"/>
      <c r="CJ7" s="577"/>
      <c r="CK7" s="577"/>
      <c r="CL7" s="577"/>
      <c r="CM7" s="577"/>
      <c r="CN7" s="577"/>
      <c r="CO7" s="577"/>
      <c r="CP7" s="577"/>
      <c r="CQ7" s="577"/>
      <c r="CR7" s="577"/>
      <c r="CS7" s="577"/>
      <c r="CT7" s="577"/>
      <c r="CU7" s="577"/>
      <c r="CV7" s="577"/>
      <c r="CW7" s="577"/>
      <c r="CX7" s="577"/>
      <c r="CY7" s="577"/>
      <c r="CZ7" s="577"/>
      <c r="DA7" s="577"/>
      <c r="DB7" s="577"/>
      <c r="DC7" s="577"/>
      <c r="DD7" s="577"/>
      <c r="DE7" s="577"/>
      <c r="DF7" s="577"/>
      <c r="DG7" s="577"/>
      <c r="DH7" s="577"/>
      <c r="DI7" s="577"/>
      <c r="DJ7" s="577"/>
      <c r="DK7" s="577"/>
      <c r="DL7" s="577"/>
      <c r="DM7" s="577"/>
      <c r="DN7" s="577"/>
      <c r="DO7" s="577"/>
      <c r="DP7" s="577"/>
      <c r="DQ7" s="577"/>
      <c r="DR7" s="577"/>
      <c r="DS7" s="577"/>
      <c r="DT7" s="577"/>
      <c r="DU7" s="577"/>
      <c r="DV7" s="577"/>
      <c r="DW7" s="577"/>
      <c r="DX7" s="577"/>
      <c r="DY7" s="577"/>
      <c r="DZ7" s="577"/>
      <c r="EA7" s="577"/>
      <c r="EB7" s="577"/>
      <c r="EC7" s="577"/>
      <c r="ED7" s="577"/>
      <c r="EE7" s="577"/>
      <c r="EF7" s="577"/>
      <c r="EG7" s="577"/>
      <c r="EH7" s="577"/>
      <c r="EI7" s="577"/>
      <c r="EJ7" s="577"/>
      <c r="EK7" s="577"/>
      <c r="EL7" s="577"/>
      <c r="EM7" s="577"/>
      <c r="EN7" s="577"/>
      <c r="EO7" s="577"/>
      <c r="EP7" s="577"/>
      <c r="EQ7" s="577"/>
      <c r="ER7" s="577"/>
      <c r="ES7" s="577"/>
      <c r="ET7" s="577"/>
      <c r="EU7" s="577"/>
      <c r="EV7" s="577"/>
      <c r="EW7" s="577"/>
      <c r="EX7" s="577"/>
      <c r="EY7" s="577"/>
      <c r="EZ7" s="577"/>
      <c r="FA7" s="577"/>
      <c r="FB7" s="577"/>
      <c r="FC7" s="577"/>
      <c r="FD7" s="577"/>
      <c r="FE7" s="577"/>
      <c r="FF7" s="577"/>
      <c r="FG7" s="577"/>
      <c r="FH7" s="577"/>
      <c r="FI7" s="577"/>
      <c r="FJ7" s="577"/>
      <c r="FK7" s="577"/>
      <c r="FL7" s="577"/>
      <c r="FM7" s="577"/>
      <c r="FN7" s="577"/>
      <c r="FO7" s="577"/>
      <c r="FP7" s="577"/>
      <c r="FQ7" s="577"/>
      <c r="FR7" s="577"/>
      <c r="FS7" s="577"/>
      <c r="FT7" s="577"/>
      <c r="FU7" s="577"/>
      <c r="FV7" s="577"/>
      <c r="FW7" s="577"/>
      <c r="FX7" s="577"/>
      <c r="FY7" s="577"/>
      <c r="FZ7" s="577"/>
      <c r="GA7" s="577"/>
      <c r="GB7" s="577"/>
      <c r="GC7" s="577"/>
      <c r="GD7" s="577"/>
      <c r="GE7" s="577"/>
      <c r="GF7" s="577"/>
      <c r="GG7" s="577"/>
      <c r="GH7" s="577"/>
      <c r="GI7" s="577"/>
      <c r="GJ7" s="577"/>
      <c r="GK7" s="577"/>
      <c r="GL7" s="577"/>
      <c r="GM7" s="577"/>
      <c r="GN7" s="577"/>
      <c r="GO7" s="577"/>
      <c r="GP7" s="577"/>
      <c r="GQ7" s="577"/>
      <c r="GR7" s="577"/>
      <c r="GS7" s="577"/>
      <c r="GT7" s="577"/>
      <c r="GU7" s="577"/>
      <c r="GV7" s="577"/>
      <c r="GW7" s="577"/>
      <c r="GX7" s="577"/>
      <c r="GY7" s="577"/>
      <c r="GZ7" s="577"/>
      <c r="HA7" s="577"/>
      <c r="HB7" s="577"/>
      <c r="HC7" s="577"/>
      <c r="HD7" s="577"/>
      <c r="HE7" s="577"/>
      <c r="HF7" s="577"/>
      <c r="HG7" s="577"/>
      <c r="HH7" s="577"/>
      <c r="HI7" s="577"/>
      <c r="HJ7" s="577"/>
      <c r="HK7" s="577"/>
      <c r="HL7" s="577"/>
      <c r="HM7" s="577"/>
      <c r="HN7" s="577"/>
      <c r="HO7" s="577"/>
      <c r="HP7" s="577"/>
      <c r="HQ7" s="577"/>
      <c r="HR7" s="577"/>
      <c r="HS7" s="577"/>
      <c r="HT7" s="577"/>
      <c r="HU7" s="577"/>
      <c r="HV7" s="577"/>
      <c r="HW7" s="577"/>
      <c r="HX7" s="577"/>
      <c r="HY7" s="577"/>
      <c r="HZ7" s="577"/>
      <c r="IA7" s="577"/>
      <c r="IB7" s="577"/>
      <c r="IC7" s="577"/>
      <c r="ID7" s="577"/>
      <c r="IE7" s="577"/>
      <c r="IF7" s="577"/>
      <c r="IG7" s="577"/>
      <c r="IH7" s="577"/>
      <c r="II7" s="577"/>
      <c r="IJ7" s="577"/>
      <c r="IK7" s="577"/>
      <c r="IL7" s="577"/>
      <c r="IM7" s="577"/>
      <c r="IN7" s="577"/>
      <c r="IO7" s="577"/>
    </row>
    <row r="8" spans="1:249" ht="15.5" hidden="1">
      <c r="A8" s="581"/>
      <c r="B8" s="569" t="s">
        <v>236</v>
      </c>
      <c r="C8" s="867" t="s">
        <v>237</v>
      </c>
      <c r="D8" s="868"/>
      <c r="E8" s="869">
        <f>+'[2]Personal profesional - técnico'!D8</f>
        <v>11242000</v>
      </c>
      <c r="F8" s="870" t="e">
        <f>+ROUND(HLOOKUP(E8,#REF!,34,0),2)</f>
        <v>#REF!</v>
      </c>
      <c r="G8" s="871">
        <v>0.1</v>
      </c>
      <c r="H8" s="868"/>
      <c r="I8" s="872">
        <f>IFERROR(ROUND(D8*E8*F8*G8*H8,0),0)</f>
        <v>0</v>
      </c>
      <c r="J8" s="577"/>
      <c r="K8" s="577"/>
      <c r="L8" s="577"/>
      <c r="M8" s="577"/>
      <c r="N8" s="577"/>
      <c r="O8" s="577"/>
      <c r="P8" s="577"/>
      <c r="Q8" s="577"/>
      <c r="R8" s="577"/>
      <c r="S8" s="577"/>
      <c r="T8" s="577"/>
      <c r="U8" s="577"/>
      <c r="V8" s="577"/>
      <c r="W8" s="577"/>
      <c r="X8" s="577"/>
      <c r="Y8" s="577"/>
      <c r="Z8" s="577"/>
      <c r="AA8" s="577"/>
      <c r="AB8" s="577"/>
      <c r="AC8" s="577"/>
      <c r="AD8" s="577"/>
      <c r="AE8" s="577"/>
      <c r="AF8" s="577"/>
      <c r="AG8" s="577"/>
      <c r="AH8" s="577"/>
      <c r="AI8" s="577"/>
      <c r="AJ8" s="577"/>
      <c r="AK8" s="577"/>
      <c r="AL8" s="577"/>
      <c r="AM8" s="577"/>
      <c r="AN8" s="577"/>
      <c r="AO8" s="577"/>
      <c r="AP8" s="577"/>
      <c r="AQ8" s="577"/>
      <c r="AR8" s="577"/>
      <c r="AS8" s="577"/>
      <c r="AT8" s="577"/>
      <c r="AU8" s="577"/>
      <c r="AV8" s="577"/>
      <c r="AW8" s="577"/>
      <c r="AX8" s="577"/>
      <c r="AY8" s="577"/>
      <c r="AZ8" s="577"/>
      <c r="BA8" s="577"/>
      <c r="BB8" s="577"/>
      <c r="BC8" s="577"/>
      <c r="BD8" s="577"/>
      <c r="BE8" s="577"/>
      <c r="BF8" s="577"/>
      <c r="BG8" s="577"/>
      <c r="BH8" s="577"/>
      <c r="BI8" s="577"/>
      <c r="BJ8" s="577"/>
      <c r="BK8" s="577"/>
      <c r="BL8" s="577"/>
      <c r="BM8" s="577"/>
      <c r="BN8" s="577"/>
      <c r="BO8" s="577"/>
      <c r="BP8" s="577"/>
      <c r="BQ8" s="577"/>
      <c r="BR8" s="577"/>
      <c r="BS8" s="577"/>
      <c r="BT8" s="577"/>
      <c r="BU8" s="577"/>
      <c r="BV8" s="577"/>
      <c r="BW8" s="577"/>
      <c r="BX8" s="577"/>
      <c r="BY8" s="577"/>
      <c r="BZ8" s="577"/>
      <c r="CA8" s="577"/>
      <c r="CB8" s="577"/>
      <c r="CC8" s="577"/>
      <c r="CD8" s="577"/>
      <c r="CE8" s="577"/>
      <c r="CF8" s="577"/>
      <c r="CG8" s="577"/>
      <c r="CH8" s="577"/>
      <c r="CI8" s="577"/>
      <c r="CJ8" s="577"/>
      <c r="CK8" s="577"/>
      <c r="CL8" s="577"/>
      <c r="CM8" s="577"/>
      <c r="CN8" s="577"/>
      <c r="CO8" s="577"/>
      <c r="CP8" s="577"/>
      <c r="CQ8" s="577"/>
      <c r="CR8" s="577"/>
      <c r="CS8" s="577"/>
      <c r="CT8" s="577"/>
      <c r="CU8" s="577"/>
      <c r="CV8" s="577"/>
      <c r="CW8" s="577"/>
      <c r="CX8" s="577"/>
      <c r="CY8" s="577"/>
      <c r="CZ8" s="577"/>
      <c r="DA8" s="577"/>
      <c r="DB8" s="577"/>
      <c r="DC8" s="577"/>
      <c r="DD8" s="577"/>
      <c r="DE8" s="577"/>
      <c r="DF8" s="577"/>
      <c r="DG8" s="577"/>
      <c r="DH8" s="577"/>
      <c r="DI8" s="577"/>
      <c r="DJ8" s="577"/>
      <c r="DK8" s="577"/>
      <c r="DL8" s="577"/>
      <c r="DM8" s="577"/>
      <c r="DN8" s="577"/>
      <c r="DO8" s="577"/>
      <c r="DP8" s="577"/>
      <c r="DQ8" s="577"/>
      <c r="DR8" s="577"/>
      <c r="DS8" s="577"/>
      <c r="DT8" s="577"/>
      <c r="DU8" s="577"/>
      <c r="DV8" s="577"/>
      <c r="DW8" s="577"/>
      <c r="DX8" s="577"/>
      <c r="DY8" s="577"/>
      <c r="DZ8" s="577"/>
      <c r="EA8" s="577"/>
      <c r="EB8" s="577"/>
      <c r="EC8" s="577"/>
      <c r="ED8" s="577"/>
      <c r="EE8" s="577"/>
      <c r="EF8" s="577"/>
      <c r="EG8" s="577"/>
      <c r="EH8" s="577"/>
      <c r="EI8" s="577"/>
      <c r="EJ8" s="577"/>
      <c r="EK8" s="577"/>
      <c r="EL8" s="577"/>
      <c r="EM8" s="577"/>
      <c r="EN8" s="577"/>
      <c r="EO8" s="577"/>
      <c r="EP8" s="577"/>
      <c r="EQ8" s="577"/>
      <c r="ER8" s="577"/>
      <c r="ES8" s="577"/>
      <c r="ET8" s="577"/>
      <c r="EU8" s="577"/>
      <c r="EV8" s="577"/>
      <c r="EW8" s="577"/>
      <c r="EX8" s="577"/>
      <c r="EY8" s="577"/>
      <c r="EZ8" s="577"/>
      <c r="FA8" s="577"/>
      <c r="FB8" s="577"/>
      <c r="FC8" s="577"/>
      <c r="FD8" s="577"/>
      <c r="FE8" s="577"/>
      <c r="FF8" s="577"/>
      <c r="FG8" s="577"/>
      <c r="FH8" s="577"/>
      <c r="FI8" s="577"/>
      <c r="FJ8" s="577"/>
      <c r="FK8" s="577"/>
      <c r="FL8" s="577"/>
      <c r="FM8" s="577"/>
      <c r="FN8" s="577"/>
      <c r="FO8" s="577"/>
      <c r="FP8" s="577"/>
      <c r="FQ8" s="577"/>
      <c r="FR8" s="577"/>
      <c r="FS8" s="577"/>
      <c r="FT8" s="577"/>
      <c r="FU8" s="577"/>
      <c r="FV8" s="577"/>
      <c r="FW8" s="577"/>
      <c r="FX8" s="577"/>
      <c r="FY8" s="577"/>
      <c r="FZ8" s="577"/>
      <c r="GA8" s="577"/>
      <c r="GB8" s="577"/>
      <c r="GC8" s="577"/>
      <c r="GD8" s="577"/>
      <c r="GE8" s="577"/>
      <c r="GF8" s="577"/>
      <c r="GG8" s="577"/>
      <c r="GH8" s="577"/>
      <c r="GI8" s="577"/>
      <c r="GJ8" s="577"/>
      <c r="GK8" s="577"/>
      <c r="GL8" s="577"/>
      <c r="GM8" s="577"/>
      <c r="GN8" s="577"/>
      <c r="GO8" s="577"/>
      <c r="GP8" s="577"/>
      <c r="GQ8" s="577"/>
      <c r="GR8" s="577"/>
      <c r="GS8" s="577"/>
      <c r="GT8" s="577"/>
      <c r="GU8" s="577"/>
      <c r="GV8" s="577"/>
      <c r="GW8" s="577"/>
      <c r="GX8" s="577"/>
      <c r="GY8" s="577"/>
      <c r="GZ8" s="577"/>
      <c r="HA8" s="577"/>
      <c r="HB8" s="577"/>
      <c r="HC8" s="577"/>
      <c r="HD8" s="577"/>
      <c r="HE8" s="577"/>
      <c r="HF8" s="577"/>
      <c r="HG8" s="577"/>
      <c r="HH8" s="577"/>
      <c r="HI8" s="577"/>
      <c r="HJ8" s="577"/>
      <c r="HK8" s="577"/>
      <c r="HL8" s="577"/>
      <c r="HM8" s="577"/>
      <c r="HN8" s="577"/>
      <c r="HO8" s="577"/>
      <c r="HP8" s="577"/>
      <c r="HQ8" s="577"/>
      <c r="HR8" s="577"/>
      <c r="HS8" s="577"/>
      <c r="HT8" s="577"/>
      <c r="HU8" s="577"/>
      <c r="HV8" s="577"/>
      <c r="HW8" s="577"/>
      <c r="HX8" s="577"/>
      <c r="HY8" s="577"/>
      <c r="HZ8" s="577"/>
      <c r="IA8" s="577"/>
      <c r="IB8" s="577"/>
      <c r="IC8" s="577"/>
      <c r="ID8" s="577"/>
      <c r="IE8" s="577"/>
      <c r="IF8" s="577"/>
      <c r="IG8" s="577"/>
      <c r="IH8" s="577"/>
      <c r="II8" s="577"/>
      <c r="IJ8" s="577"/>
      <c r="IK8" s="577"/>
      <c r="IL8" s="577"/>
      <c r="IM8" s="577"/>
      <c r="IN8" s="577"/>
      <c r="IO8" s="577"/>
    </row>
    <row r="9" spans="1:249" ht="31" hidden="1">
      <c r="A9" s="581"/>
      <c r="B9" s="569" t="s">
        <v>238</v>
      </c>
      <c r="C9" s="867" t="s">
        <v>239</v>
      </c>
      <c r="D9" s="868"/>
      <c r="E9" s="869">
        <f>+'[2]Personal profesional - técnico'!D12</f>
        <v>5940000</v>
      </c>
      <c r="F9" s="870" t="e">
        <f>+ROUND(HLOOKUP(E9,#REF!,34,0),2)</f>
        <v>#REF!</v>
      </c>
      <c r="G9" s="871">
        <v>0.2</v>
      </c>
      <c r="H9" s="868"/>
      <c r="I9" s="872">
        <f>IFERROR(ROUND(D9*E9*F9*G9*H9,0),0)</f>
        <v>0</v>
      </c>
      <c r="J9" s="577"/>
      <c r="K9" s="577"/>
      <c r="L9" s="577"/>
      <c r="M9" s="577"/>
      <c r="N9" s="577"/>
      <c r="O9" s="577"/>
      <c r="P9" s="577"/>
      <c r="Q9" s="577"/>
      <c r="R9" s="577"/>
      <c r="S9" s="577"/>
      <c r="T9" s="577"/>
      <c r="U9" s="577"/>
      <c r="V9" s="577"/>
      <c r="W9" s="577"/>
      <c r="X9" s="577"/>
      <c r="Y9" s="577"/>
      <c r="Z9" s="577"/>
      <c r="AA9" s="577"/>
      <c r="AB9" s="577"/>
      <c r="AC9" s="577"/>
      <c r="AD9" s="577"/>
      <c r="AE9" s="577"/>
      <c r="AF9" s="577"/>
      <c r="AG9" s="577"/>
      <c r="AH9" s="577"/>
      <c r="AI9" s="577"/>
      <c r="AJ9" s="577"/>
      <c r="AK9" s="577"/>
      <c r="AL9" s="577"/>
      <c r="AM9" s="577"/>
      <c r="AN9" s="577"/>
      <c r="AO9" s="577"/>
      <c r="AP9" s="577"/>
      <c r="AQ9" s="577"/>
      <c r="AR9" s="577"/>
      <c r="AS9" s="577"/>
      <c r="AT9" s="577"/>
      <c r="AU9" s="577"/>
      <c r="AV9" s="577"/>
      <c r="AW9" s="577"/>
      <c r="AX9" s="577"/>
      <c r="AY9" s="577"/>
      <c r="AZ9" s="577"/>
      <c r="BA9" s="577"/>
      <c r="BB9" s="577"/>
      <c r="BC9" s="577"/>
      <c r="BD9" s="577"/>
      <c r="BE9" s="577"/>
      <c r="BF9" s="577"/>
      <c r="BG9" s="577"/>
      <c r="BH9" s="577"/>
      <c r="BI9" s="577"/>
      <c r="BJ9" s="577"/>
      <c r="BK9" s="577"/>
      <c r="BL9" s="577"/>
      <c r="BM9" s="577"/>
      <c r="BN9" s="577"/>
      <c r="BO9" s="577"/>
      <c r="BP9" s="577"/>
      <c r="BQ9" s="577"/>
      <c r="BR9" s="577"/>
      <c r="BS9" s="577"/>
      <c r="BT9" s="577"/>
      <c r="BU9" s="577"/>
      <c r="BV9" s="577"/>
      <c r="BW9" s="577"/>
      <c r="BX9" s="577"/>
      <c r="BY9" s="577"/>
      <c r="BZ9" s="577"/>
      <c r="CA9" s="577"/>
      <c r="CB9" s="577"/>
      <c r="CC9" s="577"/>
      <c r="CD9" s="577"/>
      <c r="CE9" s="577"/>
      <c r="CF9" s="577"/>
      <c r="CG9" s="577"/>
      <c r="CH9" s="577"/>
      <c r="CI9" s="577"/>
      <c r="CJ9" s="577"/>
      <c r="CK9" s="577"/>
      <c r="CL9" s="577"/>
      <c r="CM9" s="577"/>
      <c r="CN9" s="577"/>
      <c r="CO9" s="577"/>
      <c r="CP9" s="577"/>
      <c r="CQ9" s="577"/>
      <c r="CR9" s="577"/>
      <c r="CS9" s="577"/>
      <c r="CT9" s="577"/>
      <c r="CU9" s="577"/>
      <c r="CV9" s="577"/>
      <c r="CW9" s="577"/>
      <c r="CX9" s="577"/>
      <c r="CY9" s="577"/>
      <c r="CZ9" s="577"/>
      <c r="DA9" s="577"/>
      <c r="DB9" s="577"/>
      <c r="DC9" s="577"/>
      <c r="DD9" s="577"/>
      <c r="DE9" s="577"/>
      <c r="DF9" s="577"/>
      <c r="DG9" s="577"/>
      <c r="DH9" s="577"/>
      <c r="DI9" s="577"/>
      <c r="DJ9" s="577"/>
      <c r="DK9" s="577"/>
      <c r="DL9" s="577"/>
      <c r="DM9" s="577"/>
      <c r="DN9" s="577"/>
      <c r="DO9" s="577"/>
      <c r="DP9" s="577"/>
      <c r="DQ9" s="577"/>
      <c r="DR9" s="577"/>
      <c r="DS9" s="577"/>
      <c r="DT9" s="577"/>
      <c r="DU9" s="577"/>
      <c r="DV9" s="577"/>
      <c r="DW9" s="577"/>
      <c r="DX9" s="577"/>
      <c r="DY9" s="577"/>
      <c r="DZ9" s="577"/>
      <c r="EA9" s="577"/>
      <c r="EB9" s="577"/>
      <c r="EC9" s="577"/>
      <c r="ED9" s="577"/>
      <c r="EE9" s="577"/>
      <c r="EF9" s="577"/>
      <c r="EG9" s="577"/>
      <c r="EH9" s="577"/>
      <c r="EI9" s="577"/>
      <c r="EJ9" s="577"/>
      <c r="EK9" s="577"/>
      <c r="EL9" s="577"/>
      <c r="EM9" s="577"/>
      <c r="EN9" s="577"/>
      <c r="EO9" s="577"/>
      <c r="EP9" s="577"/>
      <c r="EQ9" s="577"/>
      <c r="ER9" s="577"/>
      <c r="ES9" s="577"/>
      <c r="ET9" s="577"/>
      <c r="EU9" s="577"/>
      <c r="EV9" s="577"/>
      <c r="EW9" s="577"/>
      <c r="EX9" s="577"/>
      <c r="EY9" s="577"/>
      <c r="EZ9" s="577"/>
      <c r="FA9" s="577"/>
      <c r="FB9" s="577"/>
      <c r="FC9" s="577"/>
      <c r="FD9" s="577"/>
      <c r="FE9" s="577"/>
      <c r="FF9" s="577"/>
      <c r="FG9" s="577"/>
      <c r="FH9" s="577"/>
      <c r="FI9" s="577"/>
      <c r="FJ9" s="577"/>
      <c r="FK9" s="577"/>
      <c r="FL9" s="577"/>
      <c r="FM9" s="577"/>
      <c r="FN9" s="577"/>
      <c r="FO9" s="577"/>
      <c r="FP9" s="577"/>
      <c r="FQ9" s="577"/>
      <c r="FR9" s="577"/>
      <c r="FS9" s="577"/>
      <c r="FT9" s="577"/>
      <c r="FU9" s="577"/>
      <c r="FV9" s="577"/>
      <c r="FW9" s="577"/>
      <c r="FX9" s="577"/>
      <c r="FY9" s="577"/>
      <c r="FZ9" s="577"/>
      <c r="GA9" s="577"/>
      <c r="GB9" s="577"/>
      <c r="GC9" s="577"/>
      <c r="GD9" s="577"/>
      <c r="GE9" s="577"/>
      <c r="GF9" s="577"/>
      <c r="GG9" s="577"/>
      <c r="GH9" s="577"/>
      <c r="GI9" s="577"/>
      <c r="GJ9" s="577"/>
      <c r="GK9" s="577"/>
      <c r="GL9" s="577"/>
      <c r="GM9" s="577"/>
      <c r="GN9" s="577"/>
      <c r="GO9" s="577"/>
      <c r="GP9" s="577"/>
      <c r="GQ9" s="577"/>
      <c r="GR9" s="577"/>
      <c r="GS9" s="577"/>
      <c r="GT9" s="577"/>
      <c r="GU9" s="577"/>
      <c r="GV9" s="577"/>
      <c r="GW9" s="577"/>
      <c r="GX9" s="577"/>
      <c r="GY9" s="577"/>
      <c r="GZ9" s="577"/>
      <c r="HA9" s="577"/>
      <c r="HB9" s="577"/>
      <c r="HC9" s="577"/>
      <c r="HD9" s="577"/>
      <c r="HE9" s="577"/>
      <c r="HF9" s="577"/>
      <c r="HG9" s="577"/>
      <c r="HH9" s="577"/>
      <c r="HI9" s="577"/>
      <c r="HJ9" s="577"/>
      <c r="HK9" s="577"/>
      <c r="HL9" s="577"/>
      <c r="HM9" s="577"/>
      <c r="HN9" s="577"/>
      <c r="HO9" s="577"/>
      <c r="HP9" s="577"/>
      <c r="HQ9" s="577"/>
      <c r="HR9" s="577"/>
      <c r="HS9" s="577"/>
      <c r="HT9" s="577"/>
      <c r="HU9" s="577"/>
      <c r="HV9" s="577"/>
      <c r="HW9" s="577"/>
      <c r="HX9" s="577"/>
      <c r="HY9" s="577"/>
      <c r="HZ9" s="577"/>
      <c r="IA9" s="577"/>
      <c r="IB9" s="577"/>
      <c r="IC9" s="577"/>
      <c r="ID9" s="577"/>
      <c r="IE9" s="577"/>
      <c r="IF9" s="577"/>
      <c r="IG9" s="577"/>
      <c r="IH9" s="577"/>
      <c r="II9" s="577"/>
      <c r="IJ9" s="577"/>
      <c r="IK9" s="577"/>
      <c r="IL9" s="577"/>
      <c r="IM9" s="577"/>
      <c r="IN9" s="577"/>
      <c r="IO9" s="577"/>
    </row>
    <row r="10" spans="1:249" ht="15.5">
      <c r="A10" s="581"/>
      <c r="B10" s="863"/>
      <c r="C10" s="864" t="s">
        <v>240</v>
      </c>
      <c r="D10" s="865"/>
      <c r="E10" s="865"/>
      <c r="F10" s="865"/>
      <c r="G10" s="865"/>
      <c r="H10" s="865"/>
      <c r="I10" s="866">
        <f>IFERROR(SUM(I11:I16),0)</f>
        <v>12921000</v>
      </c>
      <c r="J10" s="577"/>
      <c r="K10" s="577"/>
      <c r="L10" s="577" t="s">
        <v>241</v>
      </c>
      <c r="M10" s="577"/>
      <c r="N10" s="577"/>
      <c r="O10" s="577"/>
      <c r="P10" s="577"/>
      <c r="Q10" s="577"/>
      <c r="R10" s="577"/>
      <c r="S10" s="577"/>
      <c r="T10" s="577"/>
      <c r="U10" s="577"/>
      <c r="V10" s="577"/>
      <c r="W10" s="577"/>
      <c r="X10" s="577"/>
      <c r="Y10" s="577"/>
      <c r="Z10" s="577"/>
      <c r="AA10" s="577"/>
      <c r="AB10" s="577"/>
      <c r="AC10" s="577"/>
      <c r="AD10" s="577"/>
      <c r="AE10" s="577"/>
      <c r="AF10" s="577"/>
      <c r="AG10" s="577"/>
      <c r="AH10" s="577"/>
      <c r="AI10" s="577"/>
      <c r="AJ10" s="577"/>
      <c r="AK10" s="577"/>
      <c r="AL10" s="577"/>
      <c r="AM10" s="577"/>
      <c r="AN10" s="577"/>
      <c r="AO10" s="577"/>
      <c r="AP10" s="577"/>
      <c r="AQ10" s="577"/>
      <c r="AR10" s="577"/>
      <c r="AS10" s="577"/>
      <c r="AT10" s="577"/>
      <c r="AU10" s="577"/>
      <c r="AV10" s="577"/>
      <c r="AW10" s="577"/>
      <c r="AX10" s="577"/>
      <c r="AY10" s="577"/>
      <c r="AZ10" s="577"/>
      <c r="BA10" s="577"/>
      <c r="BB10" s="577"/>
      <c r="BC10" s="577"/>
      <c r="BD10" s="577"/>
      <c r="BE10" s="577"/>
      <c r="BF10" s="577"/>
      <c r="BG10" s="577"/>
      <c r="BH10" s="577"/>
      <c r="BI10" s="577"/>
      <c r="BJ10" s="577"/>
      <c r="BK10" s="577"/>
      <c r="BL10" s="577"/>
      <c r="BM10" s="577"/>
      <c r="BN10" s="577"/>
      <c r="BO10" s="577"/>
      <c r="BP10" s="577"/>
      <c r="BQ10" s="577"/>
      <c r="BR10" s="577"/>
      <c r="BS10" s="577"/>
      <c r="BT10" s="577"/>
      <c r="BU10" s="577"/>
      <c r="BV10" s="577"/>
      <c r="BW10" s="577"/>
      <c r="BX10" s="577"/>
      <c r="BY10" s="577"/>
      <c r="BZ10" s="577"/>
      <c r="CA10" s="577"/>
      <c r="CB10" s="577"/>
      <c r="CC10" s="577"/>
      <c r="CD10" s="577"/>
      <c r="CE10" s="577"/>
      <c r="CF10" s="577"/>
      <c r="CG10" s="577"/>
      <c r="CH10" s="577"/>
      <c r="CI10" s="577"/>
      <c r="CJ10" s="577"/>
      <c r="CK10" s="577"/>
      <c r="CL10" s="577"/>
      <c r="CM10" s="577"/>
      <c r="CN10" s="577"/>
      <c r="CO10" s="577"/>
      <c r="CP10" s="577"/>
      <c r="CQ10" s="577"/>
      <c r="CR10" s="577"/>
      <c r="CS10" s="577"/>
      <c r="CT10" s="577"/>
      <c r="CU10" s="577"/>
      <c r="CV10" s="577"/>
      <c r="CW10" s="577"/>
      <c r="CX10" s="577"/>
      <c r="CY10" s="577"/>
      <c r="CZ10" s="577"/>
      <c r="DA10" s="577"/>
      <c r="DB10" s="577"/>
      <c r="DC10" s="577"/>
      <c r="DD10" s="577"/>
      <c r="DE10" s="577"/>
      <c r="DF10" s="577"/>
      <c r="DG10" s="577"/>
      <c r="DH10" s="577"/>
      <c r="DI10" s="577"/>
      <c r="DJ10" s="577"/>
      <c r="DK10" s="577"/>
      <c r="DL10" s="577"/>
      <c r="DM10" s="577"/>
      <c r="DN10" s="577"/>
      <c r="DO10" s="577"/>
      <c r="DP10" s="577"/>
      <c r="DQ10" s="577"/>
      <c r="DR10" s="577"/>
      <c r="DS10" s="577"/>
      <c r="DT10" s="577"/>
      <c r="DU10" s="577"/>
      <c r="DV10" s="577"/>
      <c r="DW10" s="577"/>
      <c r="DX10" s="577"/>
      <c r="DY10" s="577"/>
      <c r="DZ10" s="577"/>
      <c r="EA10" s="577"/>
      <c r="EB10" s="577"/>
      <c r="EC10" s="577"/>
      <c r="ED10" s="577"/>
      <c r="EE10" s="577"/>
      <c r="EF10" s="577"/>
      <c r="EG10" s="577"/>
      <c r="EH10" s="577"/>
      <c r="EI10" s="577"/>
      <c r="EJ10" s="577"/>
      <c r="EK10" s="577"/>
      <c r="EL10" s="577"/>
      <c r="EM10" s="577"/>
      <c r="EN10" s="577"/>
      <c r="EO10" s="577"/>
      <c r="EP10" s="577"/>
      <c r="EQ10" s="577"/>
      <c r="ER10" s="577"/>
      <c r="ES10" s="577"/>
      <c r="ET10" s="577"/>
      <c r="EU10" s="577"/>
      <c r="EV10" s="577"/>
      <c r="EW10" s="577"/>
      <c r="EX10" s="577"/>
      <c r="EY10" s="577"/>
      <c r="EZ10" s="577"/>
      <c r="FA10" s="577"/>
      <c r="FB10" s="577"/>
      <c r="FC10" s="577"/>
      <c r="FD10" s="577"/>
      <c r="FE10" s="577"/>
      <c r="FF10" s="577"/>
      <c r="FG10" s="577"/>
      <c r="FH10" s="577"/>
      <c r="FI10" s="577"/>
      <c r="FJ10" s="577"/>
      <c r="FK10" s="577"/>
      <c r="FL10" s="577"/>
      <c r="FM10" s="577"/>
      <c r="FN10" s="577"/>
      <c r="FO10" s="577"/>
      <c r="FP10" s="577"/>
      <c r="FQ10" s="577"/>
      <c r="FR10" s="577"/>
      <c r="FS10" s="577"/>
      <c r="FT10" s="577"/>
      <c r="FU10" s="577"/>
      <c r="FV10" s="577"/>
      <c r="FW10" s="577"/>
      <c r="FX10" s="577"/>
      <c r="FY10" s="577"/>
      <c r="FZ10" s="577"/>
      <c r="GA10" s="577"/>
      <c r="GB10" s="577"/>
      <c r="GC10" s="577"/>
      <c r="GD10" s="577"/>
      <c r="GE10" s="577"/>
      <c r="GF10" s="577"/>
      <c r="GG10" s="577"/>
      <c r="GH10" s="577"/>
      <c r="GI10" s="577"/>
      <c r="GJ10" s="577"/>
      <c r="GK10" s="577"/>
      <c r="GL10" s="577"/>
      <c r="GM10" s="577"/>
      <c r="GN10" s="577"/>
      <c r="GO10" s="577"/>
      <c r="GP10" s="577"/>
      <c r="GQ10" s="577"/>
      <c r="GR10" s="577"/>
      <c r="GS10" s="577"/>
      <c r="GT10" s="577"/>
      <c r="GU10" s="577"/>
      <c r="GV10" s="577"/>
      <c r="GW10" s="577"/>
      <c r="GX10" s="577"/>
      <c r="GY10" s="577"/>
      <c r="GZ10" s="577"/>
      <c r="HA10" s="577"/>
      <c r="HB10" s="577"/>
      <c r="HC10" s="577"/>
      <c r="HD10" s="577"/>
      <c r="HE10" s="577"/>
      <c r="HF10" s="577"/>
      <c r="HG10" s="577"/>
      <c r="HH10" s="577"/>
      <c r="HI10" s="577"/>
      <c r="HJ10" s="577"/>
      <c r="HK10" s="577"/>
      <c r="HL10" s="577"/>
      <c r="HM10" s="577"/>
      <c r="HN10" s="577"/>
      <c r="HO10" s="577"/>
      <c r="HP10" s="577"/>
      <c r="HQ10" s="577"/>
      <c r="HR10" s="577"/>
      <c r="HS10" s="577"/>
      <c r="HT10" s="577"/>
      <c r="HU10" s="577"/>
      <c r="HV10" s="577"/>
      <c r="HW10" s="577"/>
      <c r="HX10" s="577"/>
      <c r="HY10" s="577"/>
      <c r="HZ10" s="577"/>
      <c r="IA10" s="577"/>
      <c r="IB10" s="577"/>
      <c r="IC10" s="577"/>
      <c r="ID10" s="577"/>
      <c r="IE10" s="577"/>
      <c r="IF10" s="577"/>
      <c r="IG10" s="577"/>
      <c r="IH10" s="577"/>
      <c r="II10" s="577"/>
      <c r="IJ10" s="577"/>
      <c r="IK10" s="577"/>
      <c r="IL10" s="577"/>
      <c r="IM10" s="577"/>
      <c r="IN10" s="577"/>
      <c r="IO10" s="577"/>
    </row>
    <row r="11" spans="1:249" ht="27" customHeight="1">
      <c r="A11" s="581"/>
      <c r="B11" s="569" t="s">
        <v>236</v>
      </c>
      <c r="C11" s="867" t="s">
        <v>1773</v>
      </c>
      <c r="D11" s="868">
        <v>1</v>
      </c>
      <c r="E11" s="869">
        <v>6000000</v>
      </c>
      <c r="F11" s="870">
        <v>1.46</v>
      </c>
      <c r="G11" s="871">
        <v>0.1</v>
      </c>
      <c r="H11" s="868">
        <v>1.5</v>
      </c>
      <c r="I11" s="872">
        <f>IFERROR(ROUND(D11*E11*F11*G11*H11,0),0)</f>
        <v>1314000</v>
      </c>
      <c r="J11" s="1889" t="s">
        <v>243</v>
      </c>
      <c r="K11" s="874" t="s">
        <v>244</v>
      </c>
      <c r="L11" s="875">
        <f>+H11+H8</f>
        <v>1.5</v>
      </c>
      <c r="N11" s="577"/>
      <c r="O11" s="577"/>
      <c r="P11" s="577"/>
      <c r="Q11" s="577"/>
      <c r="R11" s="577"/>
      <c r="S11" s="577"/>
      <c r="T11" s="577"/>
      <c r="U11" s="577"/>
      <c r="V11" s="577"/>
      <c r="W11" s="577"/>
      <c r="X11" s="577"/>
      <c r="Y11" s="577"/>
      <c r="Z11" s="577"/>
      <c r="AA11" s="577"/>
      <c r="AB11" s="577"/>
      <c r="AC11" s="577"/>
      <c r="AD11" s="577"/>
      <c r="AE11" s="577"/>
      <c r="AF11" s="577"/>
      <c r="AG11" s="577"/>
      <c r="AH11" s="577"/>
      <c r="AI11" s="577"/>
      <c r="AJ11" s="577"/>
      <c r="AK11" s="577"/>
      <c r="AL11" s="577"/>
      <c r="AM11" s="577"/>
      <c r="AN11" s="577"/>
      <c r="AO11" s="577"/>
      <c r="AP11" s="577"/>
      <c r="AQ11" s="577"/>
      <c r="AR11" s="577"/>
      <c r="AS11" s="577"/>
      <c r="AT11" s="577"/>
      <c r="AU11" s="577"/>
      <c r="AV11" s="577"/>
      <c r="AW11" s="577"/>
      <c r="AX11" s="577"/>
      <c r="AY11" s="577"/>
      <c r="AZ11" s="577"/>
      <c r="BA11" s="577"/>
      <c r="BB11" s="577"/>
      <c r="BC11" s="577"/>
      <c r="BD11" s="577"/>
      <c r="BE11" s="577"/>
      <c r="BF11" s="577"/>
      <c r="BG11" s="577"/>
      <c r="BH11" s="577"/>
      <c r="BI11" s="577"/>
      <c r="BJ11" s="577"/>
      <c r="BK11" s="577"/>
      <c r="BL11" s="577"/>
      <c r="BM11" s="577"/>
      <c r="BN11" s="577"/>
      <c r="BO11" s="577"/>
      <c r="BP11" s="577"/>
      <c r="BQ11" s="577"/>
      <c r="BR11" s="577"/>
      <c r="BS11" s="577"/>
      <c r="BT11" s="577"/>
      <c r="BU11" s="577"/>
      <c r="BV11" s="577"/>
      <c r="BW11" s="577"/>
      <c r="BX11" s="577"/>
      <c r="BY11" s="577"/>
      <c r="BZ11" s="577"/>
      <c r="CA11" s="577"/>
      <c r="CB11" s="577"/>
      <c r="CC11" s="577"/>
      <c r="CD11" s="577"/>
      <c r="CE11" s="577"/>
      <c r="CF11" s="577"/>
      <c r="CG11" s="577"/>
      <c r="CH11" s="577"/>
      <c r="CI11" s="577"/>
      <c r="CJ11" s="577"/>
      <c r="CK11" s="577"/>
      <c r="CL11" s="577"/>
      <c r="CM11" s="577"/>
      <c r="CN11" s="577"/>
      <c r="CO11" s="577"/>
      <c r="CP11" s="577"/>
      <c r="CQ11" s="577"/>
      <c r="CR11" s="577"/>
      <c r="CS11" s="577"/>
      <c r="CT11" s="577"/>
      <c r="CU11" s="577"/>
      <c r="CV11" s="577"/>
      <c r="CW11" s="577"/>
      <c r="CX11" s="577"/>
      <c r="CY11" s="577"/>
      <c r="CZ11" s="577"/>
      <c r="DA11" s="577"/>
      <c r="DB11" s="577"/>
      <c r="DC11" s="577"/>
      <c r="DD11" s="577"/>
      <c r="DE11" s="577"/>
      <c r="DF11" s="577"/>
      <c r="DG11" s="577"/>
      <c r="DH11" s="577"/>
      <c r="DI11" s="577"/>
      <c r="DJ11" s="577"/>
      <c r="DK11" s="577"/>
      <c r="DL11" s="577"/>
      <c r="DM11" s="577"/>
      <c r="DN11" s="577"/>
      <c r="DO11" s="577"/>
      <c r="DP11" s="577"/>
      <c r="DQ11" s="577"/>
      <c r="DR11" s="577"/>
      <c r="DS11" s="577"/>
      <c r="DT11" s="577"/>
      <c r="DU11" s="577"/>
      <c r="DV11" s="577"/>
      <c r="DW11" s="577"/>
      <c r="DX11" s="577"/>
      <c r="DY11" s="577"/>
      <c r="DZ11" s="577"/>
      <c r="EA11" s="577"/>
      <c r="EB11" s="577"/>
      <c r="EC11" s="577"/>
      <c r="ED11" s="577"/>
      <c r="EE11" s="577"/>
      <c r="EF11" s="577"/>
      <c r="EG11" s="577"/>
      <c r="EH11" s="577"/>
      <c r="EI11" s="577"/>
      <c r="EJ11" s="577"/>
      <c r="EK11" s="577"/>
      <c r="EL11" s="577"/>
      <c r="EM11" s="577"/>
      <c r="EN11" s="577"/>
      <c r="EO11" s="577"/>
      <c r="EP11" s="577"/>
      <c r="EQ11" s="577"/>
      <c r="ER11" s="577"/>
      <c r="ES11" s="577"/>
      <c r="ET11" s="577"/>
      <c r="EU11" s="577"/>
      <c r="EV11" s="577"/>
      <c r="EW11" s="577"/>
      <c r="EX11" s="577"/>
      <c r="EY11" s="577"/>
      <c r="EZ11" s="577"/>
      <c r="FA11" s="577"/>
      <c r="FB11" s="577"/>
      <c r="FC11" s="577"/>
      <c r="FD11" s="577"/>
      <c r="FE11" s="577"/>
      <c r="FF11" s="577"/>
      <c r="FG11" s="577"/>
      <c r="FH11" s="577"/>
      <c r="FI11" s="577"/>
      <c r="FJ11" s="577"/>
      <c r="FK11" s="577"/>
      <c r="FL11" s="577"/>
      <c r="FM11" s="577"/>
      <c r="FN11" s="577"/>
      <c r="FO11" s="577"/>
      <c r="FP11" s="577"/>
      <c r="FQ11" s="577"/>
      <c r="FR11" s="577"/>
      <c r="FS11" s="577"/>
      <c r="FT11" s="577"/>
      <c r="FU11" s="577"/>
      <c r="FV11" s="577"/>
      <c r="FW11" s="577"/>
      <c r="FX11" s="577"/>
      <c r="FY11" s="577"/>
      <c r="FZ11" s="577"/>
      <c r="GA11" s="577"/>
      <c r="GB11" s="577"/>
      <c r="GC11" s="577"/>
      <c r="GD11" s="577"/>
      <c r="GE11" s="577"/>
      <c r="GF11" s="577"/>
      <c r="GG11" s="577"/>
      <c r="GH11" s="577"/>
      <c r="GI11" s="577"/>
      <c r="GJ11" s="577"/>
      <c r="GK11" s="577"/>
      <c r="GL11" s="577"/>
      <c r="GM11" s="577"/>
      <c r="GN11" s="577"/>
      <c r="GO11" s="577"/>
      <c r="GP11" s="577"/>
      <c r="GQ11" s="577"/>
      <c r="GR11" s="577"/>
      <c r="GS11" s="577"/>
      <c r="GT11" s="577"/>
      <c r="GU11" s="577"/>
      <c r="GV11" s="577"/>
      <c r="GW11" s="577"/>
      <c r="GX11" s="577"/>
      <c r="GY11" s="577"/>
      <c r="GZ11" s="577"/>
      <c r="HA11" s="577"/>
      <c r="HB11" s="577"/>
      <c r="HC11" s="577"/>
      <c r="HD11" s="577"/>
      <c r="HE11" s="577"/>
      <c r="HF11" s="577"/>
      <c r="HG11" s="577"/>
      <c r="HH11" s="577"/>
      <c r="HI11" s="577"/>
      <c r="HJ11" s="577"/>
      <c r="HK11" s="577"/>
      <c r="HL11" s="577"/>
      <c r="HM11" s="577"/>
      <c r="HN11" s="577"/>
      <c r="HO11" s="577"/>
      <c r="HP11" s="577"/>
      <c r="HQ11" s="577"/>
      <c r="HR11" s="577"/>
      <c r="HS11" s="577"/>
      <c r="HT11" s="577"/>
      <c r="HU11" s="577"/>
      <c r="HV11" s="577"/>
      <c r="HW11" s="577"/>
      <c r="HX11" s="577"/>
      <c r="HY11" s="577"/>
      <c r="HZ11" s="577"/>
      <c r="IA11" s="577"/>
      <c r="IB11" s="577"/>
      <c r="IC11" s="577"/>
      <c r="ID11" s="577"/>
      <c r="IE11" s="577"/>
      <c r="IF11" s="577"/>
      <c r="IG11" s="577"/>
      <c r="IH11" s="577"/>
      <c r="II11" s="577"/>
      <c r="IJ11" s="577"/>
      <c r="IK11" s="577"/>
      <c r="IL11" s="577"/>
      <c r="IM11" s="577"/>
      <c r="IN11" s="577"/>
      <c r="IO11" s="577"/>
    </row>
    <row r="12" spans="1:249" ht="15.5" hidden="1">
      <c r="A12" s="581"/>
      <c r="B12" s="569" t="s">
        <v>238</v>
      </c>
      <c r="C12" s="867" t="s">
        <v>245</v>
      </c>
      <c r="D12" s="868"/>
      <c r="E12" s="869">
        <f>+'[2]Personal profesional - técnico'!D10</f>
        <v>7446000</v>
      </c>
      <c r="F12" s="870" t="e">
        <f>+ROUND(VLOOKUP(E12,'PERSONAL PROFESIONAL-TECNICO'!$D$7:$E$22,2,0),2)</f>
        <v>#N/A</v>
      </c>
      <c r="G12" s="871">
        <v>0.2</v>
      </c>
      <c r="H12" s="868">
        <f>H11</f>
        <v>1.5</v>
      </c>
      <c r="I12" s="872">
        <f t="shared" ref="I12:I16" si="0">IFERROR(ROUND(D12*E12*F12*G12*H12,0),0)</f>
        <v>0</v>
      </c>
      <c r="J12" s="1889"/>
      <c r="K12" s="876"/>
      <c r="L12" s="577"/>
      <c r="N12" s="577"/>
      <c r="O12" s="577"/>
      <c r="P12" s="577"/>
      <c r="Q12" s="577"/>
      <c r="R12" s="577"/>
      <c r="S12" s="577"/>
      <c r="T12" s="577"/>
      <c r="U12" s="577"/>
      <c r="V12" s="577"/>
      <c r="W12" s="577"/>
      <c r="X12" s="577"/>
      <c r="Y12" s="577"/>
      <c r="Z12" s="577"/>
      <c r="AA12" s="577"/>
      <c r="AB12" s="577"/>
      <c r="AC12" s="577"/>
      <c r="AD12" s="577"/>
      <c r="AE12" s="577"/>
      <c r="AF12" s="577"/>
      <c r="AG12" s="577"/>
      <c r="AH12" s="577"/>
      <c r="AI12" s="577"/>
      <c r="AJ12" s="577"/>
      <c r="AK12" s="577"/>
      <c r="AL12" s="577"/>
      <c r="AM12" s="577"/>
      <c r="AN12" s="577"/>
      <c r="AO12" s="577"/>
      <c r="AP12" s="577"/>
      <c r="AQ12" s="577"/>
      <c r="AR12" s="577"/>
      <c r="AS12" s="577"/>
      <c r="AT12" s="577"/>
      <c r="AU12" s="577"/>
      <c r="AV12" s="577"/>
      <c r="AW12" s="577"/>
      <c r="AX12" s="577"/>
      <c r="AY12" s="577"/>
      <c r="AZ12" s="577"/>
      <c r="BA12" s="577"/>
      <c r="BB12" s="577"/>
      <c r="BC12" s="577"/>
      <c r="BD12" s="577"/>
      <c r="BE12" s="577"/>
      <c r="BF12" s="577"/>
      <c r="BG12" s="577"/>
      <c r="BH12" s="577"/>
      <c r="BI12" s="577"/>
      <c r="BJ12" s="577"/>
      <c r="BK12" s="577"/>
      <c r="BL12" s="577"/>
      <c r="BM12" s="577"/>
      <c r="BN12" s="577"/>
      <c r="BO12" s="577"/>
      <c r="BP12" s="577"/>
      <c r="BQ12" s="577"/>
      <c r="BR12" s="577"/>
      <c r="BS12" s="577"/>
      <c r="BT12" s="577"/>
      <c r="BU12" s="577"/>
      <c r="BV12" s="577"/>
      <c r="BW12" s="577"/>
      <c r="BX12" s="577"/>
      <c r="BY12" s="577"/>
      <c r="BZ12" s="577"/>
      <c r="CA12" s="577"/>
      <c r="CB12" s="577"/>
      <c r="CC12" s="577"/>
      <c r="CD12" s="577"/>
      <c r="CE12" s="577"/>
      <c r="CF12" s="577"/>
      <c r="CG12" s="577"/>
      <c r="CH12" s="577"/>
      <c r="CI12" s="577"/>
      <c r="CJ12" s="577"/>
      <c r="CK12" s="577"/>
      <c r="CL12" s="577"/>
      <c r="CM12" s="577"/>
      <c r="CN12" s="577"/>
      <c r="CO12" s="577"/>
      <c r="CP12" s="577"/>
      <c r="CQ12" s="577"/>
      <c r="CR12" s="577"/>
      <c r="CS12" s="577"/>
      <c r="CT12" s="577"/>
      <c r="CU12" s="577"/>
      <c r="CV12" s="577"/>
      <c r="CW12" s="577"/>
      <c r="CX12" s="577"/>
      <c r="CY12" s="577"/>
      <c r="CZ12" s="577"/>
      <c r="DA12" s="577"/>
      <c r="DB12" s="577"/>
      <c r="DC12" s="577"/>
      <c r="DD12" s="577"/>
      <c r="DE12" s="577"/>
      <c r="DF12" s="577"/>
      <c r="DG12" s="577"/>
      <c r="DH12" s="577"/>
      <c r="DI12" s="577"/>
      <c r="DJ12" s="577"/>
      <c r="DK12" s="577"/>
      <c r="DL12" s="577"/>
      <c r="DM12" s="577"/>
      <c r="DN12" s="577"/>
      <c r="DO12" s="577"/>
      <c r="DP12" s="577"/>
      <c r="DQ12" s="577"/>
      <c r="DR12" s="577"/>
      <c r="DS12" s="577"/>
      <c r="DT12" s="577"/>
      <c r="DU12" s="577"/>
      <c r="DV12" s="577"/>
      <c r="DW12" s="577"/>
      <c r="DX12" s="577"/>
      <c r="DY12" s="577"/>
      <c r="DZ12" s="577"/>
      <c r="EA12" s="577"/>
      <c r="EB12" s="577"/>
      <c r="EC12" s="577"/>
      <c r="ED12" s="577"/>
      <c r="EE12" s="577"/>
      <c r="EF12" s="577"/>
      <c r="EG12" s="577"/>
      <c r="EH12" s="577"/>
      <c r="EI12" s="577"/>
      <c r="EJ12" s="577"/>
      <c r="EK12" s="577"/>
      <c r="EL12" s="577"/>
      <c r="EM12" s="577"/>
      <c r="EN12" s="577"/>
      <c r="EO12" s="577"/>
      <c r="EP12" s="577"/>
      <c r="EQ12" s="577"/>
      <c r="ER12" s="577"/>
      <c r="ES12" s="577"/>
      <c r="ET12" s="577"/>
      <c r="EU12" s="577"/>
      <c r="EV12" s="577"/>
      <c r="EW12" s="577"/>
      <c r="EX12" s="577"/>
      <c r="EY12" s="577"/>
      <c r="EZ12" s="577"/>
      <c r="FA12" s="577"/>
      <c r="FB12" s="577"/>
      <c r="FC12" s="577"/>
      <c r="FD12" s="577"/>
      <c r="FE12" s="577"/>
      <c r="FF12" s="577"/>
      <c r="FG12" s="577"/>
      <c r="FH12" s="577"/>
      <c r="FI12" s="577"/>
      <c r="FJ12" s="577"/>
      <c r="FK12" s="577"/>
      <c r="FL12" s="577"/>
      <c r="FM12" s="577"/>
      <c r="FN12" s="577"/>
      <c r="FO12" s="577"/>
      <c r="FP12" s="577"/>
      <c r="FQ12" s="577"/>
      <c r="FR12" s="577"/>
      <c r="FS12" s="577"/>
      <c r="FT12" s="577"/>
      <c r="FU12" s="577"/>
      <c r="FV12" s="577"/>
      <c r="FW12" s="577"/>
      <c r="FX12" s="577"/>
      <c r="FY12" s="577"/>
      <c r="FZ12" s="577"/>
      <c r="GA12" s="577"/>
      <c r="GB12" s="577"/>
      <c r="GC12" s="577"/>
      <c r="GD12" s="577"/>
      <c r="GE12" s="577"/>
      <c r="GF12" s="577"/>
      <c r="GG12" s="577"/>
      <c r="GH12" s="577"/>
      <c r="GI12" s="577"/>
      <c r="GJ12" s="577"/>
      <c r="GK12" s="577"/>
      <c r="GL12" s="577"/>
      <c r="GM12" s="577"/>
      <c r="GN12" s="577"/>
      <c r="GO12" s="577"/>
      <c r="GP12" s="577"/>
      <c r="GQ12" s="577"/>
      <c r="GR12" s="577"/>
      <c r="GS12" s="577"/>
      <c r="GT12" s="577"/>
      <c r="GU12" s="577"/>
      <c r="GV12" s="577"/>
      <c r="GW12" s="577"/>
      <c r="GX12" s="577"/>
      <c r="GY12" s="577"/>
      <c r="GZ12" s="577"/>
      <c r="HA12" s="577"/>
      <c r="HB12" s="577"/>
      <c r="HC12" s="577"/>
      <c r="HD12" s="577"/>
      <c r="HE12" s="577"/>
      <c r="HF12" s="577"/>
      <c r="HG12" s="577"/>
      <c r="HH12" s="577"/>
      <c r="HI12" s="577"/>
      <c r="HJ12" s="577"/>
      <c r="HK12" s="577"/>
      <c r="HL12" s="577"/>
      <c r="HM12" s="577"/>
      <c r="HN12" s="577"/>
      <c r="HO12" s="577"/>
      <c r="HP12" s="577"/>
      <c r="HQ12" s="577"/>
      <c r="HR12" s="577"/>
      <c r="HS12" s="577"/>
      <c r="HT12" s="577"/>
      <c r="HU12" s="577"/>
      <c r="HV12" s="577"/>
      <c r="HW12" s="577"/>
      <c r="HX12" s="577"/>
      <c r="HY12" s="577"/>
      <c r="HZ12" s="577"/>
      <c r="IA12" s="577"/>
      <c r="IB12" s="577"/>
      <c r="IC12" s="577"/>
      <c r="ID12" s="577"/>
      <c r="IE12" s="577"/>
      <c r="IF12" s="577"/>
      <c r="IG12" s="577"/>
      <c r="IH12" s="577"/>
      <c r="II12" s="577"/>
      <c r="IJ12" s="577"/>
      <c r="IK12" s="577"/>
      <c r="IL12" s="577"/>
      <c r="IM12" s="577"/>
      <c r="IN12" s="577"/>
      <c r="IO12" s="577"/>
    </row>
    <row r="13" spans="1:249" ht="31">
      <c r="A13" s="581"/>
      <c r="B13" s="569" t="s">
        <v>246</v>
      </c>
      <c r="C13" s="867" t="s">
        <v>1748</v>
      </c>
      <c r="D13" s="868">
        <v>1</v>
      </c>
      <c r="E13" s="869">
        <v>5000000</v>
      </c>
      <c r="F13" s="870">
        <v>1.46</v>
      </c>
      <c r="G13" s="871">
        <v>1</v>
      </c>
      <c r="H13" s="868">
        <v>1.5</v>
      </c>
      <c r="I13" s="872">
        <f>IFERROR(ROUND(D13*E13*F13*G13*H13,0),0)</f>
        <v>10950000</v>
      </c>
      <c r="J13" s="1889"/>
      <c r="K13" s="580"/>
    </row>
    <row r="14" spans="1:249" ht="31" hidden="1">
      <c r="A14" s="581"/>
      <c r="B14" s="569" t="s">
        <v>248</v>
      </c>
      <c r="C14" s="867" t="s">
        <v>247</v>
      </c>
      <c r="D14" s="868"/>
      <c r="E14" s="869">
        <f>+'[2]Personal profesional - técnico'!D12</f>
        <v>5940000</v>
      </c>
      <c r="F14" s="870" t="e">
        <f>+ROUND(VLOOKUP(E14,'PERSONAL PROFESIONAL-TECNICO'!$D$7:$E$22,2,0),2)</f>
        <v>#N/A</v>
      </c>
      <c r="G14" s="871">
        <v>1</v>
      </c>
      <c r="H14" s="868">
        <f>H12</f>
        <v>1.5</v>
      </c>
      <c r="I14" s="872">
        <f t="shared" si="0"/>
        <v>0</v>
      </c>
      <c r="J14" s="1889"/>
      <c r="K14" s="580"/>
    </row>
    <row r="15" spans="1:249" ht="15.5">
      <c r="A15" s="581"/>
      <c r="B15" s="569" t="s">
        <v>249</v>
      </c>
      <c r="C15" s="867" t="s">
        <v>1758</v>
      </c>
      <c r="D15" s="868">
        <v>1</v>
      </c>
      <c r="E15" s="869">
        <v>3000000</v>
      </c>
      <c r="F15" s="870">
        <v>1.46</v>
      </c>
      <c r="G15" s="871">
        <v>0.1</v>
      </c>
      <c r="H15" s="868">
        <f>H11</f>
        <v>1.5</v>
      </c>
      <c r="I15" s="872">
        <f t="shared" si="0"/>
        <v>657000</v>
      </c>
      <c r="J15" s="1889"/>
      <c r="K15" s="580"/>
    </row>
    <row r="16" spans="1:249" ht="15.5" hidden="1">
      <c r="A16" s="581"/>
      <c r="B16" s="569" t="s">
        <v>250</v>
      </c>
      <c r="C16" s="867" t="s">
        <v>251</v>
      </c>
      <c r="D16" s="868"/>
      <c r="E16" s="869">
        <f>+'[2]Personal profesional - técnico'!D16</f>
        <v>3614000</v>
      </c>
      <c r="F16" s="870">
        <f>+ROUND('[2]Factor Prestacional 2023'!U37/100%,2)</f>
        <v>1.46</v>
      </c>
      <c r="G16" s="871">
        <v>1</v>
      </c>
      <c r="H16" s="868">
        <f>H11</f>
        <v>1.5</v>
      </c>
      <c r="I16" s="872">
        <f t="shared" si="0"/>
        <v>0</v>
      </c>
      <c r="J16" s="1889"/>
      <c r="K16" s="580"/>
    </row>
    <row r="17" spans="1:249" ht="15.5" hidden="1">
      <c r="A17" s="581"/>
      <c r="B17" s="569" t="s">
        <v>252</v>
      </c>
      <c r="C17" s="571" t="s">
        <v>253</v>
      </c>
      <c r="D17" s="878"/>
      <c r="E17" s="869">
        <f>+'[2]Personal profesional - técnico'!D24</f>
        <v>1462000</v>
      </c>
      <c r="F17" s="870">
        <f>+ROUND('[2]Factor Prestacional 2023'!E37/100%,2)</f>
        <v>1.48</v>
      </c>
      <c r="G17" s="871">
        <v>1</v>
      </c>
      <c r="H17" s="868">
        <f>H13</f>
        <v>1.5</v>
      </c>
      <c r="I17" s="872">
        <f t="shared" ref="I17" si="1">IFERROR(ROUND(D17*E17*F17*G17*H17,0),0)</f>
        <v>0</v>
      </c>
      <c r="J17" s="577"/>
      <c r="K17" s="580"/>
      <c r="L17" s="577"/>
      <c r="M17" s="577"/>
      <c r="N17" s="577"/>
      <c r="O17" s="577"/>
      <c r="P17" s="577"/>
      <c r="Q17" s="577"/>
      <c r="R17" s="577"/>
      <c r="S17" s="577"/>
      <c r="T17" s="577"/>
      <c r="U17" s="577"/>
      <c r="V17" s="577"/>
      <c r="W17" s="577"/>
      <c r="X17" s="577"/>
      <c r="Y17" s="577"/>
      <c r="Z17" s="577"/>
      <c r="AA17" s="577"/>
      <c r="AB17" s="577"/>
      <c r="AC17" s="577"/>
      <c r="AD17" s="577"/>
      <c r="AE17" s="577"/>
      <c r="AF17" s="577"/>
      <c r="AG17" s="577"/>
      <c r="AH17" s="577"/>
      <c r="AI17" s="577"/>
      <c r="AJ17" s="577"/>
      <c r="AK17" s="577"/>
      <c r="AL17" s="577"/>
      <c r="AM17" s="577"/>
      <c r="AN17" s="577"/>
      <c r="AO17" s="577"/>
      <c r="AP17" s="577"/>
      <c r="AQ17" s="577"/>
      <c r="AR17" s="577"/>
      <c r="AS17" s="577"/>
      <c r="AT17" s="577"/>
      <c r="AU17" s="577"/>
      <c r="AV17" s="577"/>
      <c r="AW17" s="577"/>
      <c r="AX17" s="577"/>
      <c r="AY17" s="577"/>
      <c r="AZ17" s="577"/>
      <c r="BA17" s="577"/>
      <c r="BB17" s="577"/>
      <c r="BC17" s="577"/>
      <c r="BD17" s="577"/>
      <c r="BE17" s="577"/>
      <c r="BF17" s="577"/>
      <c r="BG17" s="577"/>
      <c r="BH17" s="577"/>
      <c r="BI17" s="577"/>
      <c r="BJ17" s="577"/>
      <c r="BK17" s="577"/>
      <c r="BL17" s="577"/>
      <c r="BM17" s="577"/>
      <c r="BN17" s="577"/>
      <c r="BO17" s="577"/>
      <c r="BP17" s="577"/>
      <c r="BQ17" s="577"/>
      <c r="BR17" s="577"/>
      <c r="BS17" s="577"/>
      <c r="BT17" s="577"/>
      <c r="BU17" s="577"/>
      <c r="BV17" s="577"/>
      <c r="BW17" s="577"/>
      <c r="BX17" s="577"/>
      <c r="BY17" s="577"/>
      <c r="BZ17" s="577"/>
      <c r="CA17" s="577"/>
      <c r="CB17" s="577"/>
      <c r="CC17" s="577"/>
      <c r="CD17" s="577"/>
      <c r="CE17" s="577"/>
      <c r="CF17" s="577"/>
      <c r="CG17" s="577"/>
      <c r="CH17" s="577"/>
      <c r="CI17" s="577"/>
      <c r="CJ17" s="577"/>
      <c r="CK17" s="577"/>
      <c r="CL17" s="577"/>
      <c r="CM17" s="577"/>
      <c r="CN17" s="577"/>
      <c r="CO17" s="577"/>
      <c r="CP17" s="577"/>
      <c r="CQ17" s="577"/>
      <c r="CR17" s="577"/>
      <c r="CS17" s="577"/>
      <c r="CT17" s="577"/>
      <c r="CU17" s="577"/>
      <c r="CV17" s="577"/>
      <c r="CW17" s="577"/>
      <c r="CX17" s="577"/>
      <c r="CY17" s="577"/>
      <c r="CZ17" s="577"/>
      <c r="DA17" s="577"/>
      <c r="DB17" s="577"/>
      <c r="DC17" s="577"/>
      <c r="DD17" s="577"/>
      <c r="DE17" s="577"/>
      <c r="DF17" s="577"/>
      <c r="DG17" s="577"/>
      <c r="DH17" s="577"/>
      <c r="DI17" s="577"/>
      <c r="DJ17" s="577"/>
      <c r="DK17" s="577"/>
      <c r="DL17" s="577"/>
      <c r="DM17" s="577"/>
      <c r="DN17" s="577"/>
      <c r="DO17" s="577"/>
      <c r="DP17" s="577"/>
      <c r="DQ17" s="577"/>
      <c r="DR17" s="577"/>
      <c r="DS17" s="577"/>
      <c r="DT17" s="577"/>
      <c r="DU17" s="577"/>
      <c r="DV17" s="577"/>
      <c r="DW17" s="577"/>
      <c r="DX17" s="577"/>
      <c r="DY17" s="577"/>
      <c r="DZ17" s="577"/>
      <c r="EA17" s="577"/>
      <c r="EB17" s="577"/>
      <c r="EC17" s="577"/>
      <c r="ED17" s="577"/>
      <c r="EE17" s="577"/>
      <c r="EF17" s="577"/>
      <c r="EG17" s="577"/>
      <c r="EH17" s="577"/>
      <c r="EI17" s="577"/>
      <c r="EJ17" s="577"/>
      <c r="EK17" s="577"/>
      <c r="EL17" s="577"/>
      <c r="EM17" s="577"/>
      <c r="EN17" s="577"/>
      <c r="EO17" s="577"/>
      <c r="EP17" s="577"/>
      <c r="EQ17" s="577"/>
      <c r="ER17" s="577"/>
      <c r="ES17" s="577"/>
      <c r="ET17" s="577"/>
      <c r="EU17" s="577"/>
      <c r="EV17" s="577"/>
      <c r="EW17" s="577"/>
      <c r="EX17" s="577"/>
      <c r="EY17" s="577"/>
      <c r="EZ17" s="577"/>
      <c r="FA17" s="577"/>
      <c r="FB17" s="577"/>
      <c r="FC17" s="577"/>
      <c r="FD17" s="577"/>
      <c r="FE17" s="577"/>
      <c r="FF17" s="577"/>
      <c r="FG17" s="577"/>
      <c r="FH17" s="577"/>
      <c r="FI17" s="577"/>
      <c r="FJ17" s="577"/>
      <c r="FK17" s="577"/>
      <c r="FL17" s="577"/>
      <c r="FM17" s="577"/>
      <c r="FN17" s="577"/>
      <c r="FO17" s="577"/>
      <c r="FP17" s="577"/>
      <c r="FQ17" s="577"/>
      <c r="FR17" s="577"/>
      <c r="FS17" s="577"/>
      <c r="FT17" s="577"/>
      <c r="FU17" s="577"/>
      <c r="FV17" s="577"/>
      <c r="FW17" s="577"/>
      <c r="FX17" s="577"/>
      <c r="FY17" s="577"/>
      <c r="FZ17" s="577"/>
      <c r="GA17" s="577"/>
      <c r="GB17" s="577"/>
      <c r="GC17" s="577"/>
      <c r="GD17" s="577"/>
      <c r="GE17" s="577"/>
      <c r="GF17" s="577"/>
      <c r="GG17" s="577"/>
      <c r="GH17" s="577"/>
      <c r="GI17" s="577"/>
      <c r="GJ17" s="577"/>
      <c r="GK17" s="577"/>
      <c r="GL17" s="577"/>
      <c r="GM17" s="577"/>
      <c r="GN17" s="577"/>
      <c r="GO17" s="577"/>
      <c r="GP17" s="577"/>
      <c r="GQ17" s="577"/>
      <c r="GR17" s="577"/>
      <c r="GS17" s="577"/>
      <c r="GT17" s="577"/>
      <c r="GU17" s="577"/>
      <c r="GV17" s="577"/>
      <c r="GW17" s="577"/>
      <c r="GX17" s="577"/>
      <c r="GY17" s="577"/>
      <c r="GZ17" s="577"/>
      <c r="HA17" s="577"/>
      <c r="HB17" s="577"/>
      <c r="HC17" s="577"/>
      <c r="HD17" s="577"/>
      <c r="HE17" s="577"/>
      <c r="HF17" s="577"/>
      <c r="HG17" s="577"/>
      <c r="HH17" s="577"/>
      <c r="HI17" s="577"/>
      <c r="HJ17" s="577"/>
      <c r="HK17" s="577"/>
      <c r="HL17" s="577"/>
      <c r="HM17" s="577"/>
      <c r="HN17" s="577"/>
      <c r="HO17" s="577"/>
      <c r="HP17" s="577"/>
      <c r="HQ17" s="577"/>
      <c r="HR17" s="577"/>
      <c r="HS17" s="577"/>
      <c r="HT17" s="577"/>
      <c r="HU17" s="577"/>
      <c r="HV17" s="577"/>
      <c r="HW17" s="577"/>
      <c r="HX17" s="577"/>
      <c r="HY17" s="577"/>
      <c r="HZ17" s="577"/>
      <c r="IA17" s="577"/>
      <c r="IB17" s="577"/>
      <c r="IC17" s="577"/>
      <c r="ID17" s="577"/>
      <c r="IE17" s="577"/>
      <c r="IF17" s="577"/>
      <c r="IG17" s="577"/>
      <c r="IH17" s="577"/>
      <c r="II17" s="577"/>
      <c r="IJ17" s="577"/>
      <c r="IK17" s="577"/>
      <c r="IL17" s="577"/>
      <c r="IM17" s="577"/>
      <c r="IN17" s="577"/>
      <c r="IO17" s="577"/>
    </row>
    <row r="18" spans="1:249" ht="45.75" hidden="1" customHeight="1">
      <c r="A18" s="581"/>
      <c r="B18" s="569">
        <v>5.2</v>
      </c>
      <c r="C18" s="877" t="s">
        <v>254</v>
      </c>
      <c r="D18" s="868"/>
      <c r="E18" s="579">
        <f>+'[2]Gastos administrativos'!E35</f>
        <v>504515</v>
      </c>
      <c r="F18" s="882">
        <v>1</v>
      </c>
      <c r="G18" s="881">
        <v>1</v>
      </c>
      <c r="H18" s="868" t="e">
        <f>+#REF!</f>
        <v>#REF!</v>
      </c>
      <c r="I18" s="872">
        <f>IFERROR(ROUND(D18*E18*F18*G18*H18,0),0)</f>
        <v>0</v>
      </c>
      <c r="J18" s="873"/>
      <c r="K18" s="883" t="s">
        <v>255</v>
      </c>
      <c r="L18" s="580"/>
      <c r="M18" s="580"/>
    </row>
    <row r="19" spans="1:249" ht="15.5">
      <c r="A19" s="581"/>
      <c r="B19" s="657">
        <v>6</v>
      </c>
      <c r="C19" s="574" t="s">
        <v>256</v>
      </c>
      <c r="D19" s="884"/>
      <c r="E19" s="885"/>
      <c r="F19" s="886"/>
      <c r="G19" s="887"/>
      <c r="H19" s="888"/>
      <c r="I19" s="880">
        <f>SUM(I20:I24)</f>
        <v>870378</v>
      </c>
      <c r="J19" s="586"/>
      <c r="K19" s="580"/>
      <c r="L19" s="583"/>
      <c r="M19" s="580"/>
    </row>
    <row r="20" spans="1:249" ht="31">
      <c r="A20" s="581"/>
      <c r="B20" s="658">
        <v>6.01</v>
      </c>
      <c r="C20" s="889" t="s">
        <v>257</v>
      </c>
      <c r="D20" s="868">
        <v>3</v>
      </c>
      <c r="E20" s="890" t="str">
        <f>+IFERROR(VLOOKUP(C20,'ENSAYOS DE LABORATORIO'!$A$12:$B$48,2,FALSE),"")</f>
        <v>unidad</v>
      </c>
      <c r="F20" s="891">
        <f>+IFERROR(VLOOKUP(C20,'ENSAYOS DE LABORATORIO'!$A$12:$E$48,4,FALSE),"")</f>
        <v>90000</v>
      </c>
      <c r="G20" s="892"/>
      <c r="H20" s="892"/>
      <c r="I20" s="893">
        <f>IFERROR(ROUND(D20*F20,0),0)</f>
        <v>270000</v>
      </c>
      <c r="J20" s="1917" t="s">
        <v>258</v>
      </c>
      <c r="K20" s="580"/>
      <c r="L20" s="583"/>
      <c r="M20" s="580"/>
    </row>
    <row r="21" spans="1:249" ht="45.75" customHeight="1">
      <c r="A21" s="581"/>
      <c r="B21" s="658">
        <v>6.02</v>
      </c>
      <c r="C21" s="889" t="s">
        <v>259</v>
      </c>
      <c r="D21" s="868">
        <v>2</v>
      </c>
      <c r="E21" s="890" t="str">
        <f>+IFERROR(VLOOKUP(C21,'ENSAYOS DE LABORATORIO'!$A$12:$B$48,2,FALSE),"")</f>
        <v>unidad</v>
      </c>
      <c r="F21" s="891">
        <f>+IFERROR(VLOOKUP(C21,'ENSAYOS DE LABORATORIO'!$A$12:$E$48,4,FALSE),"")</f>
        <v>182022</v>
      </c>
      <c r="G21" s="892"/>
      <c r="H21" s="892"/>
      <c r="I21" s="893">
        <f t="shared" ref="I21:I24" si="2">IFERROR(ROUND(D21*F21,0),0)</f>
        <v>364044</v>
      </c>
      <c r="J21" s="1917"/>
      <c r="K21" s="580"/>
      <c r="L21" s="583"/>
      <c r="M21" s="580"/>
    </row>
    <row r="22" spans="1:249" ht="31" hidden="1">
      <c r="A22" s="581"/>
      <c r="B22" s="658">
        <v>6.03</v>
      </c>
      <c r="C22" s="889" t="s">
        <v>260</v>
      </c>
      <c r="D22" s="868"/>
      <c r="E22" s="890" t="str">
        <f>+IFERROR(VLOOKUP(C22,'ENSAYOS DE LABORATORIO'!$A$12:$B$48,2,FALSE),"")</f>
        <v>unidad</v>
      </c>
      <c r="F22" s="891">
        <f>+IFERROR(VLOOKUP(C22,'ENSAYOS DE LABORATORIO'!$A$12:$E$48,4,FALSE),"")</f>
        <v>993257</v>
      </c>
      <c r="G22" s="892"/>
      <c r="H22" s="892"/>
      <c r="I22" s="893">
        <f t="shared" si="2"/>
        <v>0</v>
      </c>
      <c r="J22" s="1917"/>
      <c r="K22" s="580"/>
      <c r="L22" s="583"/>
      <c r="M22" s="580"/>
    </row>
    <row r="23" spans="1:249" ht="15.5">
      <c r="A23" s="581"/>
      <c r="B23" s="658">
        <v>6.04</v>
      </c>
      <c r="C23" s="889" t="s">
        <v>261</v>
      </c>
      <c r="D23" s="868">
        <v>2</v>
      </c>
      <c r="E23" s="890" t="str">
        <f>+IFERROR(VLOOKUP(C23,'ENSAYOS DE LABORATORIO'!$A$12:$B$48,2,FALSE),"")</f>
        <v>unidad</v>
      </c>
      <c r="F23" s="891">
        <f>+IFERROR(VLOOKUP(C23,'ENSAYOS DE LABORATORIO'!$A$12:$E$48,4,FALSE),"")</f>
        <v>98532</v>
      </c>
      <c r="G23" s="892"/>
      <c r="H23" s="892"/>
      <c r="I23" s="893">
        <f t="shared" si="2"/>
        <v>197064</v>
      </c>
      <c r="J23" s="1917"/>
      <c r="K23" s="580"/>
      <c r="L23" s="583"/>
      <c r="M23" s="580"/>
    </row>
    <row r="24" spans="1:249" ht="31">
      <c r="A24" s="581"/>
      <c r="B24" s="658">
        <v>6.06</v>
      </c>
      <c r="C24" s="889" t="s">
        <v>262</v>
      </c>
      <c r="D24" s="868">
        <v>5</v>
      </c>
      <c r="E24" s="890" t="str">
        <f>+IFERROR(VLOOKUP(C24,'ENSAYOS DE LABORATORIO'!$A$12:$B$48,2,FALSE),"")</f>
        <v>unidad</v>
      </c>
      <c r="F24" s="891">
        <f>+IFERROR(VLOOKUP(C24,'ENSAYOS DE LABORATORIO'!$A$12:$E$48,4,FALSE),"")</f>
        <v>7854</v>
      </c>
      <c r="G24" s="894"/>
      <c r="H24" s="892"/>
      <c r="I24" s="893">
        <f t="shared" si="2"/>
        <v>39270</v>
      </c>
      <c r="J24" s="1917"/>
      <c r="K24" s="580"/>
      <c r="L24" s="583"/>
      <c r="M24" s="580"/>
    </row>
    <row r="25" spans="1:249" ht="15.5">
      <c r="A25" s="581"/>
      <c r="B25" s="631">
        <v>8</v>
      </c>
      <c r="C25" s="568" t="s">
        <v>263</v>
      </c>
      <c r="D25" s="861"/>
      <c r="E25" s="879"/>
      <c r="F25" s="861"/>
      <c r="G25" s="861"/>
      <c r="H25" s="861"/>
      <c r="I25" s="880">
        <f ca="1">SUM(I26:I26)</f>
        <v>49909313</v>
      </c>
      <c r="J25" s="586"/>
      <c r="K25" s="580"/>
      <c r="L25" s="583"/>
      <c r="M25" s="580"/>
    </row>
    <row r="26" spans="1:249" ht="15.5">
      <c r="A26" s="581"/>
      <c r="B26" s="569">
        <v>8.1</v>
      </c>
      <c r="C26" s="867" t="s">
        <v>264</v>
      </c>
      <c r="D26" s="892"/>
      <c r="E26" s="892"/>
      <c r="F26" s="892"/>
      <c r="G26" s="892"/>
      <c r="H26" s="892"/>
      <c r="I26" s="872">
        <f ca="1">+'LEGALIZACION OBRA'!F15</f>
        <v>49909313</v>
      </c>
      <c r="J26" s="845" t="s">
        <v>265</v>
      </c>
      <c r="K26" s="580"/>
      <c r="L26" s="583"/>
    </row>
    <row r="27" spans="1:249" ht="15.5">
      <c r="A27" s="581"/>
      <c r="B27" s="896"/>
      <c r="C27" s="897" t="s">
        <v>266</v>
      </c>
      <c r="D27" s="898"/>
      <c r="E27" s="899"/>
      <c r="F27" s="900"/>
      <c r="G27" s="901"/>
      <c r="H27" s="902"/>
      <c r="I27" s="903">
        <f ca="1">ROUND(I6+I19+I25,0)</f>
        <v>63700691</v>
      </c>
      <c r="J27" s="580"/>
      <c r="K27" s="1918" t="s">
        <v>267</v>
      </c>
      <c r="L27" s="1907"/>
      <c r="M27" s="949"/>
    </row>
    <row r="28" spans="1:249" ht="15.5">
      <c r="A28" s="581"/>
      <c r="B28" s="1899" t="s">
        <v>268</v>
      </c>
      <c r="C28" s="1900"/>
      <c r="D28" s="1900"/>
      <c r="E28" s="1900"/>
      <c r="F28" s="1900"/>
      <c r="G28" s="1900"/>
      <c r="H28" s="1900"/>
      <c r="I28" s="904">
        <f>+PRESUPUESTO!F19</f>
        <v>224666984</v>
      </c>
      <c r="K28" s="905">
        <f ca="1">IFERROR(I27/I28,0)</f>
        <v>0.28353383245666397</v>
      </c>
      <c r="L28" s="905">
        <f ca="1">IFERROR(ROUND(I28/I27,4),0)</f>
        <v>3.5268999999999999</v>
      </c>
    </row>
    <row r="29" spans="1:249" ht="15.5">
      <c r="A29" s="581"/>
      <c r="B29" s="1899" t="s">
        <v>269</v>
      </c>
      <c r="C29" s="1900"/>
      <c r="D29" s="1900"/>
      <c r="E29" s="1900"/>
      <c r="F29" s="1900"/>
      <c r="G29" s="1900"/>
      <c r="H29" s="1900"/>
      <c r="I29" s="1411">
        <f ca="1">IFERROR(ROUND(I27/I28,4),0)</f>
        <v>0.28349999999999997</v>
      </c>
      <c r="J29" s="907">
        <f ca="1">ROUND(I28*I29,0)</f>
        <v>63693090</v>
      </c>
      <c r="K29" s="908">
        <f ca="1">+I27-J29</f>
        <v>7601</v>
      </c>
      <c r="L29" s="909"/>
    </row>
    <row r="30" spans="1:249" ht="15.5">
      <c r="A30" s="581"/>
      <c r="B30" s="1899" t="s">
        <v>270</v>
      </c>
      <c r="C30" s="1900"/>
      <c r="D30" s="1900"/>
      <c r="E30" s="1900"/>
      <c r="F30" s="1900"/>
      <c r="G30" s="1900"/>
      <c r="H30" s="1900"/>
      <c r="I30" s="906">
        <f>+'[2]Ppto TIPO'!K290</f>
        <v>0</v>
      </c>
      <c r="J30" s="907">
        <f>ROUND(I30*I28,0)</f>
        <v>0</v>
      </c>
      <c r="K30" s="845" t="s">
        <v>271</v>
      </c>
      <c r="L30" s="909"/>
    </row>
    <row r="31" spans="1:249" ht="15.5">
      <c r="A31" s="581"/>
      <c r="B31" s="1899" t="s">
        <v>272</v>
      </c>
      <c r="C31" s="1900"/>
      <c r="D31" s="1900"/>
      <c r="E31" s="1900"/>
      <c r="F31" s="1900"/>
      <c r="G31" s="1900"/>
      <c r="H31" s="1900"/>
      <c r="I31" s="1015">
        <f>+PRESUPUESTO!E21</f>
        <v>0.05</v>
      </c>
      <c r="J31" s="907">
        <f>ROUND((I31*I28),0)</f>
        <v>11233349</v>
      </c>
      <c r="K31" s="845" t="s">
        <v>273</v>
      </c>
      <c r="L31" s="910"/>
    </row>
    <row r="32" spans="1:249" ht="15.5">
      <c r="A32" s="581"/>
      <c r="B32" s="1899" t="s">
        <v>274</v>
      </c>
      <c r="C32" s="1900"/>
      <c r="D32" s="1900"/>
      <c r="E32" s="1900"/>
      <c r="F32" s="1900"/>
      <c r="G32" s="1900"/>
      <c r="H32" s="1900"/>
      <c r="I32" s="906">
        <f ca="1">SUM(I29:I31)</f>
        <v>0.33349999999999996</v>
      </c>
      <c r="J32" s="911">
        <f ca="1">SUM(J29:J31)</f>
        <v>74926439</v>
      </c>
      <c r="K32" s="908"/>
    </row>
    <row r="33" spans="1:12" ht="15.5" hidden="1">
      <c r="A33" s="581"/>
      <c r="B33" s="896"/>
      <c r="C33" s="897" t="s">
        <v>275</v>
      </c>
      <c r="D33" s="898"/>
      <c r="E33" s="899"/>
      <c r="F33" s="900"/>
      <c r="G33" s="901"/>
      <c r="H33" s="902"/>
      <c r="I33" s="903">
        <f ca="1">+I28+J32</f>
        <v>299593423</v>
      </c>
      <c r="K33" s="912">
        <f>+'[2]Ppto TIPO'!$K$267</f>
        <v>7136470891</v>
      </c>
      <c r="L33" s="909">
        <f ca="1">+K33-I33</f>
        <v>6836877468</v>
      </c>
    </row>
    <row r="34" spans="1:12" ht="36.75" hidden="1" customHeight="1">
      <c r="A34" s="581"/>
      <c r="B34" s="1896" t="s">
        <v>276</v>
      </c>
      <c r="C34" s="1895"/>
      <c r="D34" s="913" t="s">
        <v>277</v>
      </c>
      <c r="E34" s="914"/>
      <c r="F34" s="915"/>
      <c r="G34" s="916"/>
      <c r="H34" s="917"/>
      <c r="I34" s="904">
        <f>'[2]Ppto TIPO'!K271</f>
        <v>151243965</v>
      </c>
      <c r="J34" s="918"/>
      <c r="L34" s="583"/>
    </row>
    <row r="35" spans="1:12" ht="36.75" hidden="1" customHeight="1">
      <c r="A35" s="581"/>
      <c r="B35" s="1897" t="s">
        <v>278</v>
      </c>
      <c r="C35" s="1898"/>
      <c r="D35" s="913" t="s">
        <v>277</v>
      </c>
      <c r="E35" s="914"/>
      <c r="F35" s="915"/>
      <c r="G35" s="916"/>
      <c r="H35" s="917"/>
      <c r="I35" s="904">
        <f>+'[2]Ppto TIPO'!K272</f>
        <v>76963363</v>
      </c>
      <c r="J35" s="918"/>
      <c r="L35" s="583"/>
    </row>
    <row r="36" spans="1:12" ht="36.75" hidden="1" customHeight="1">
      <c r="A36" s="581"/>
      <c r="B36" s="1896" t="str">
        <f>+'[2]Ppto TIPO'!G273</f>
        <v>LICENCIAS Y PERMISOS</v>
      </c>
      <c r="C36" s="1895"/>
      <c r="D36" s="913" t="s">
        <v>277</v>
      </c>
      <c r="E36" s="919"/>
      <c r="F36" s="920"/>
      <c r="G36" s="920"/>
      <c r="H36" s="921"/>
      <c r="I36" s="922">
        <f>+'[2]Ppto TIPO'!K273</f>
        <v>31929560</v>
      </c>
      <c r="J36" s="923"/>
      <c r="L36" s="583"/>
    </row>
    <row r="37" spans="1:12" ht="36.75" hidden="1" customHeight="1">
      <c r="A37" s="581"/>
      <c r="B37" s="1896" t="s">
        <v>223</v>
      </c>
      <c r="C37" s="1895"/>
      <c r="D37" s="913" t="s">
        <v>277</v>
      </c>
      <c r="E37" s="919"/>
      <c r="F37" s="920"/>
      <c r="G37" s="920"/>
      <c r="H37" s="921"/>
      <c r="I37" s="922">
        <f>+'[2]Ppto TIPO'!K274</f>
        <v>41632903</v>
      </c>
      <c r="J37" s="924"/>
      <c r="K37" s="909">
        <f ca="1">+I28/I27</f>
        <v>3.5269159639100303</v>
      </c>
      <c r="L37" s="583"/>
    </row>
    <row r="38" spans="1:12" ht="36.75" hidden="1" customHeight="1">
      <c r="A38" s="581"/>
      <c r="B38" s="1896" t="s">
        <v>279</v>
      </c>
      <c r="C38" s="1895"/>
      <c r="D38" s="913" t="s">
        <v>277</v>
      </c>
      <c r="E38" s="914"/>
      <c r="F38" s="925"/>
      <c r="G38" s="926"/>
      <c r="H38" s="927"/>
      <c r="I38" s="904">
        <f>+'[2]Ppto TIPO'!K275</f>
        <v>115269000</v>
      </c>
      <c r="J38" s="918"/>
      <c r="K38" s="924"/>
      <c r="L38" s="583"/>
    </row>
    <row r="39" spans="1:12" ht="36.75" hidden="1" customHeight="1">
      <c r="A39" s="581"/>
      <c r="B39" s="1896" t="s">
        <v>280</v>
      </c>
      <c r="C39" s="1895"/>
      <c r="D39" s="913" t="s">
        <v>277</v>
      </c>
      <c r="E39" s="914"/>
      <c r="F39" s="925"/>
      <c r="G39" s="926"/>
      <c r="H39" s="927"/>
      <c r="I39" s="904">
        <f>+'[2]Ppto TIPO'!K276</f>
        <v>108510129</v>
      </c>
      <c r="J39" s="918"/>
      <c r="K39" s="918"/>
      <c r="L39" s="583"/>
    </row>
    <row r="40" spans="1:12" ht="36.75" hidden="1" customHeight="1">
      <c r="A40" s="581"/>
      <c r="B40" s="1897" t="s">
        <v>281</v>
      </c>
      <c r="C40" s="1898"/>
      <c r="D40" s="928" t="s">
        <v>282</v>
      </c>
      <c r="E40" s="929"/>
      <c r="F40" s="925"/>
      <c r="G40" s="930">
        <v>44</v>
      </c>
      <c r="H40" s="927">
        <f>+'[2]APU CARACTERIZACION VIAL'!I24</f>
        <v>1236725</v>
      </c>
      <c r="I40" s="904">
        <f>ROUND(G40*H40,0)</f>
        <v>54415900</v>
      </c>
      <c r="J40" s="918"/>
      <c r="K40" s="918"/>
      <c r="L40" s="583"/>
    </row>
    <row r="41" spans="1:12" ht="36.75" hidden="1" customHeight="1">
      <c r="A41" s="581"/>
      <c r="B41" s="1897" t="s">
        <v>283</v>
      </c>
      <c r="C41" s="1898"/>
      <c r="D41" s="928" t="s">
        <v>284</v>
      </c>
      <c r="E41" s="931"/>
      <c r="F41" s="925"/>
      <c r="G41" s="895"/>
      <c r="H41" s="927"/>
      <c r="I41" s="904">
        <f>ROUND(G41*H41,0)</f>
        <v>0</v>
      </c>
      <c r="J41" s="918"/>
      <c r="K41" s="932"/>
      <c r="L41" s="583"/>
    </row>
    <row r="42" spans="1:12" ht="50.25" hidden="1" customHeight="1">
      <c r="A42" s="581"/>
      <c r="B42" s="933"/>
      <c r="C42" s="1893" t="s">
        <v>285</v>
      </c>
      <c r="D42" s="1894"/>
      <c r="E42" s="1894"/>
      <c r="F42" s="1894"/>
      <c r="G42" s="1895"/>
      <c r="H42" s="934">
        <f ca="1">IFERROR(I33+ROUND((I34+I35+I36+I37+I38),0)+ROUND((H40*G40+H41*G41),0),0)</f>
        <v>771048114</v>
      </c>
      <c r="I42" s="912"/>
      <c r="J42" s="1907" t="s">
        <v>267</v>
      </c>
      <c r="K42" s="1908"/>
      <c r="L42" s="583"/>
    </row>
    <row r="43" spans="1:12" ht="53.25" hidden="1" customHeight="1">
      <c r="A43" s="581"/>
      <c r="B43" s="896"/>
      <c r="C43" s="1909" t="s">
        <v>286</v>
      </c>
      <c r="D43" s="1910"/>
      <c r="E43" s="1910"/>
      <c r="F43" s="1910"/>
      <c r="G43" s="1910"/>
      <c r="H43" s="1911"/>
      <c r="I43" s="935">
        <f ca="1">SUM(I33:I41)</f>
        <v>879558243</v>
      </c>
      <c r="J43" s="936">
        <f>+'[2]Ppto TIPO'!K280</f>
        <v>7716435711</v>
      </c>
      <c r="K43" s="932">
        <f ca="1">+J43-I43</f>
        <v>6836877468</v>
      </c>
      <c r="L43" s="583"/>
    </row>
    <row r="44" spans="1:12" ht="12" customHeight="1">
      <c r="A44" s="581"/>
      <c r="B44" s="937"/>
      <c r="C44" s="938"/>
      <c r="D44" s="938"/>
      <c r="E44" s="938"/>
      <c r="F44" s="938"/>
      <c r="G44" s="938"/>
      <c r="H44" s="938"/>
      <c r="I44" s="939"/>
      <c r="J44" s="845"/>
      <c r="K44" s="932"/>
      <c r="L44" s="583"/>
    </row>
    <row r="45" spans="1:12" ht="18.75" customHeight="1">
      <c r="A45" s="581"/>
      <c r="B45" s="1912" t="s">
        <v>287</v>
      </c>
      <c r="C45" s="1913"/>
      <c r="D45" s="940"/>
      <c r="E45" s="941"/>
      <c r="F45" s="942"/>
      <c r="G45" s="943"/>
      <c r="H45" s="943"/>
      <c r="I45" s="944"/>
      <c r="J45" s="945"/>
      <c r="K45" s="946"/>
      <c r="L45" s="583"/>
    </row>
    <row r="46" spans="1:12" ht="18.75" customHeight="1">
      <c r="A46" s="581"/>
      <c r="B46" s="1890" t="s">
        <v>288</v>
      </c>
      <c r="C46" s="1891"/>
      <c r="D46" s="1891"/>
      <c r="E46" s="1891"/>
      <c r="F46" s="1891"/>
      <c r="G46" s="1891"/>
      <c r="H46" s="1891"/>
      <c r="I46" s="1892"/>
      <c r="J46" s="1410">
        <f ca="1">+I29-30%</f>
        <v>-1.6500000000000015E-2</v>
      </c>
      <c r="K46" s="946"/>
      <c r="L46" s="583"/>
    </row>
    <row r="47" spans="1:12" ht="15.5">
      <c r="A47" s="581"/>
      <c r="B47" s="1890" t="s">
        <v>289</v>
      </c>
      <c r="C47" s="1891"/>
      <c r="D47" s="1891"/>
      <c r="E47" s="1891"/>
      <c r="F47" s="1891"/>
      <c r="G47" s="1891"/>
      <c r="H47" s="1891"/>
      <c r="I47" s="1892"/>
      <c r="J47" s="947"/>
      <c r="K47" s="946"/>
      <c r="L47" s="583"/>
    </row>
    <row r="48" spans="1:12" ht="18.75" customHeight="1">
      <c r="A48" s="581"/>
      <c r="B48" s="1890" t="s">
        <v>290</v>
      </c>
      <c r="C48" s="1891"/>
      <c r="D48" s="1891"/>
      <c r="E48" s="1891"/>
      <c r="F48" s="1891"/>
      <c r="G48" s="1891"/>
      <c r="H48" s="1891"/>
      <c r="I48" s="1892"/>
      <c r="J48" s="948"/>
      <c r="L48" s="583"/>
    </row>
    <row r="49" spans="1:10" ht="68.25" customHeight="1" thickBot="1">
      <c r="A49" s="581"/>
      <c r="B49" s="1914" t="s">
        <v>291</v>
      </c>
      <c r="C49" s="1915"/>
      <c r="D49" s="1915"/>
      <c r="E49" s="1915"/>
      <c r="F49" s="1915"/>
      <c r="G49" s="1915"/>
      <c r="H49" s="1915"/>
      <c r="I49" s="1916"/>
    </row>
    <row r="53" spans="1:10">
      <c r="J53" s="932">
        <f ca="1">+I25-J55</f>
        <v>-16659909.25</v>
      </c>
    </row>
    <row r="55" spans="1:10">
      <c r="J55" s="1409">
        <v>66569222.25</v>
      </c>
    </row>
  </sheetData>
  <protectedRanges>
    <protectedRange sqref="I19" name="Rango1_5_1_1_1"/>
    <protectedRange sqref="E19" name="Rango1_3_2_1_2_1_1"/>
    <protectedRange sqref="I20:I24" name="Rango1_5_3_1"/>
    <protectedRange sqref="F20:F24" name="Rango1_3_2_2_1_1"/>
  </protectedRanges>
  <mergeCells count="27">
    <mergeCell ref="B32:H32"/>
    <mergeCell ref="B28:H28"/>
    <mergeCell ref="B29:H29"/>
    <mergeCell ref="J20:J24"/>
    <mergeCell ref="K27:L27"/>
    <mergeCell ref="J42:K42"/>
    <mergeCell ref="C43:H43"/>
    <mergeCell ref="B45:C45"/>
    <mergeCell ref="B49:I49"/>
    <mergeCell ref="B47:I47"/>
    <mergeCell ref="B48:I48"/>
    <mergeCell ref="B1:I1"/>
    <mergeCell ref="B4:I4"/>
    <mergeCell ref="J11:J16"/>
    <mergeCell ref="B46:I46"/>
    <mergeCell ref="C42:G42"/>
    <mergeCell ref="B37:C37"/>
    <mergeCell ref="B38:C38"/>
    <mergeCell ref="B39:C39"/>
    <mergeCell ref="B40:C40"/>
    <mergeCell ref="B41:C41"/>
    <mergeCell ref="B30:H30"/>
    <mergeCell ref="B31:H31"/>
    <mergeCell ref="B34:C34"/>
    <mergeCell ref="B35:C35"/>
    <mergeCell ref="B36:C36"/>
    <mergeCell ref="B2:I3"/>
  </mergeCells>
  <conditionalFormatting sqref="D8:D9 D11:D18 H11:H18 C20:E24">
    <cfRule type="containsBlanks" dxfId="52" priority="26">
      <formula>LEN(TRIM(C8))=0</formula>
    </cfRule>
  </conditionalFormatting>
  <conditionalFormatting sqref="E18">
    <cfRule type="cellIs" dxfId="51" priority="21" operator="equal">
      <formula>0</formula>
    </cfRule>
  </conditionalFormatting>
  <conditionalFormatting sqref="G8:G9 G11:G17">
    <cfRule type="cellIs" dxfId="50" priority="23" operator="equal">
      <formula>0</formula>
    </cfRule>
  </conditionalFormatting>
  <conditionalFormatting sqref="G40:G41">
    <cfRule type="containsBlanks" dxfId="49" priority="13">
      <formula>LEN(TRIM(G40))=0</formula>
    </cfRule>
  </conditionalFormatting>
  <conditionalFormatting sqref="H8:H9">
    <cfRule type="containsBlanks" dxfId="48" priority="25">
      <formula>LEN(TRIM(H8))=0</formula>
    </cfRule>
  </conditionalFormatting>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5246A4-5E36-425E-9166-18F21C3FFC34}">
  <sheetPr>
    <tabColor theme="7" tint="0.79998168889431442"/>
  </sheetPr>
  <dimension ref="A1:K120"/>
  <sheetViews>
    <sheetView topLeftCell="A23" zoomScale="80" zoomScaleNormal="80" workbookViewId="0">
      <selection activeCell="G104" sqref="G104"/>
    </sheetView>
  </sheetViews>
  <sheetFormatPr baseColWidth="10" defaultColWidth="11.453125" defaultRowHeight="14.5"/>
  <cols>
    <col min="1" max="1" width="49.36328125" customWidth="1"/>
    <col min="3" max="3" width="10.453125" customWidth="1"/>
    <col min="4" max="4" width="15.08984375" customWidth="1"/>
    <col min="5" max="5" width="6" customWidth="1"/>
    <col min="6" max="6" width="17.6328125" customWidth="1"/>
    <col min="7" max="7" width="76.453125" customWidth="1"/>
  </cols>
  <sheetData>
    <row r="1" spans="1:11" ht="15" thickBot="1"/>
    <row r="2" spans="1:11">
      <c r="A2" s="1901" t="str">
        <f>+TRANSPORTES!B2</f>
        <v>OBJETO: MEJORAMIENTO Y ADECUACIÓN DE LAS VIAS URBANAS DEL MUNICIPIO DE SANTA FE DE ANTIOQUIA</v>
      </c>
      <c r="B2" s="1902"/>
      <c r="C2" s="1902"/>
      <c r="D2" s="1902"/>
      <c r="E2" s="1902"/>
      <c r="F2" s="1902"/>
      <c r="G2" s="1903"/>
    </row>
    <row r="3" spans="1:11">
      <c r="A3" s="1975"/>
      <c r="B3" s="1976"/>
      <c r="C3" s="1976"/>
      <c r="D3" s="1976"/>
      <c r="E3" s="1976"/>
      <c r="F3" s="1976"/>
      <c r="G3" s="1977"/>
    </row>
    <row r="4" spans="1:11" ht="15" thickBot="1">
      <c r="A4" s="1919" t="s">
        <v>292</v>
      </c>
      <c r="B4" s="1920"/>
      <c r="C4" s="1920"/>
      <c r="D4" s="1920"/>
      <c r="E4" s="1920"/>
      <c r="F4" s="1920"/>
      <c r="G4" s="1921"/>
      <c r="H4" s="435"/>
      <c r="I4" s="435"/>
      <c r="J4" s="435"/>
      <c r="K4" s="435"/>
    </row>
    <row r="5" spans="1:11" ht="15" thickBot="1">
      <c r="A5" s="500" t="s">
        <v>228</v>
      </c>
      <c r="B5" s="436" t="s">
        <v>284</v>
      </c>
      <c r="C5" s="436" t="s">
        <v>229</v>
      </c>
      <c r="D5" s="1922" t="s">
        <v>293</v>
      </c>
      <c r="E5" s="1923"/>
      <c r="F5" s="436" t="s">
        <v>6</v>
      </c>
      <c r="G5" s="501" t="s">
        <v>294</v>
      </c>
      <c r="H5" s="435"/>
      <c r="I5" s="435"/>
      <c r="J5" s="435"/>
      <c r="K5" s="435"/>
    </row>
    <row r="6" spans="1:11" ht="15" thickBot="1">
      <c r="A6" s="1924" t="s">
        <v>295</v>
      </c>
      <c r="B6" s="1925"/>
      <c r="C6" s="1925"/>
      <c r="D6" s="1925"/>
      <c r="E6" s="1925"/>
      <c r="F6" s="1925"/>
      <c r="G6" s="1926"/>
      <c r="H6" s="437"/>
      <c r="I6" s="437"/>
      <c r="J6" s="437"/>
      <c r="K6" s="437"/>
    </row>
    <row r="7" spans="1:11">
      <c r="A7" s="1927" t="s">
        <v>296</v>
      </c>
      <c r="B7" s="1928"/>
      <c r="C7" s="1928"/>
      <c r="D7" s="1928"/>
      <c r="E7" s="1928"/>
      <c r="F7" s="1928"/>
      <c r="G7" s="1929"/>
      <c r="H7" s="437"/>
      <c r="I7" s="437"/>
      <c r="J7" s="437"/>
      <c r="K7" s="437"/>
    </row>
    <row r="8" spans="1:11" ht="37.5">
      <c r="A8" s="502" t="s">
        <v>297</v>
      </c>
      <c r="B8" s="438" t="s">
        <v>298</v>
      </c>
      <c r="C8" s="438">
        <v>0</v>
      </c>
      <c r="D8" s="1930">
        <v>650000</v>
      </c>
      <c r="E8" s="1931"/>
      <c r="F8" s="439">
        <f>+D8*C8</f>
        <v>0</v>
      </c>
      <c r="G8" s="503"/>
      <c r="H8" s="437"/>
      <c r="I8" s="437"/>
      <c r="J8" s="437"/>
      <c r="K8" s="437"/>
    </row>
    <row r="9" spans="1:11" ht="41.25" hidden="1" customHeight="1">
      <c r="A9" s="502" t="s">
        <v>299</v>
      </c>
      <c r="B9" s="438" t="s">
        <v>298</v>
      </c>
      <c r="C9" s="438">
        <v>0</v>
      </c>
      <c r="D9" s="1930">
        <v>380000</v>
      </c>
      <c r="E9" s="1931"/>
      <c r="F9" s="439">
        <f>+D9*C9</f>
        <v>0</v>
      </c>
      <c r="G9" s="503" t="s">
        <v>300</v>
      </c>
      <c r="H9" s="437"/>
      <c r="I9" s="437"/>
      <c r="J9" s="437"/>
      <c r="K9" s="437"/>
    </row>
    <row r="10" spans="1:11" hidden="1">
      <c r="A10" s="1932" t="s">
        <v>301</v>
      </c>
      <c r="B10" s="1933"/>
      <c r="C10" s="1933"/>
      <c r="D10" s="1933"/>
      <c r="E10" s="1933"/>
      <c r="F10" s="1933"/>
      <c r="G10" s="1934"/>
      <c r="H10" s="437"/>
      <c r="I10" s="437"/>
      <c r="J10" s="437"/>
      <c r="K10" s="437"/>
    </row>
    <row r="11" spans="1:11" ht="18.75" hidden="1" customHeight="1">
      <c r="A11" s="504" t="s">
        <v>302</v>
      </c>
      <c r="B11" s="440" t="s">
        <v>298</v>
      </c>
      <c r="C11" s="438">
        <v>0</v>
      </c>
      <c r="D11" s="1935"/>
      <c r="E11" s="1936"/>
      <c r="F11" s="441">
        <f>C11*D11</f>
        <v>0</v>
      </c>
      <c r="G11" s="505"/>
      <c r="H11" s="437"/>
      <c r="I11" s="437"/>
      <c r="J11" s="437"/>
      <c r="K11" s="437"/>
    </row>
    <row r="12" spans="1:11">
      <c r="A12" s="1932"/>
      <c r="B12" s="1933"/>
      <c r="C12" s="1933"/>
      <c r="D12" s="1933"/>
      <c r="E12" s="1933"/>
      <c r="F12" s="1933"/>
      <c r="G12" s="1934"/>
      <c r="H12" s="437"/>
      <c r="I12" s="437"/>
      <c r="J12" s="437"/>
      <c r="K12" s="437"/>
    </row>
    <row r="13" spans="1:11" ht="37.5">
      <c r="A13" s="502" t="s">
        <v>303</v>
      </c>
      <c r="B13" s="440" t="s">
        <v>298</v>
      </c>
      <c r="C13" s="438">
        <v>0</v>
      </c>
      <c r="D13" s="1930">
        <v>7889177</v>
      </c>
      <c r="E13" s="1931"/>
      <c r="F13" s="439">
        <f>D13*C13</f>
        <v>0</v>
      </c>
      <c r="G13" s="503"/>
      <c r="H13" s="437"/>
      <c r="I13" s="437"/>
      <c r="J13" s="437"/>
      <c r="K13" s="437"/>
    </row>
    <row r="14" spans="1:11" ht="27.75" customHeight="1">
      <c r="A14" s="502" t="s">
        <v>304</v>
      </c>
      <c r="B14" s="440" t="s">
        <v>298</v>
      </c>
      <c r="C14" s="438">
        <v>0</v>
      </c>
      <c r="D14" s="1930">
        <v>4104652</v>
      </c>
      <c r="E14" s="1931"/>
      <c r="F14" s="439">
        <f>D14*C14</f>
        <v>0</v>
      </c>
      <c r="G14" s="503"/>
      <c r="H14" s="437"/>
      <c r="I14" s="437"/>
      <c r="J14" s="437"/>
      <c r="K14" s="437"/>
    </row>
    <row r="15" spans="1:11" ht="50" hidden="1">
      <c r="A15" s="502" t="s">
        <v>305</v>
      </c>
      <c r="B15" s="440" t="s">
        <v>298</v>
      </c>
      <c r="C15" s="438">
        <v>0</v>
      </c>
      <c r="D15" s="1930">
        <v>4199270</v>
      </c>
      <c r="E15" s="1931"/>
      <c r="F15" s="439">
        <f>D15*C15</f>
        <v>0</v>
      </c>
      <c r="G15" s="503"/>
      <c r="H15" s="437"/>
      <c r="I15" s="437"/>
      <c r="J15" s="437"/>
      <c r="K15" s="437"/>
    </row>
    <row r="16" spans="1:11" ht="25" hidden="1">
      <c r="A16" s="502" t="s">
        <v>306</v>
      </c>
      <c r="B16" s="440" t="s">
        <v>298</v>
      </c>
      <c r="C16" s="438">
        <v>0</v>
      </c>
      <c r="D16" s="1930">
        <v>3489025</v>
      </c>
      <c r="E16" s="1931"/>
      <c r="F16" s="439">
        <f>D16*C16</f>
        <v>0</v>
      </c>
      <c r="G16" s="503"/>
      <c r="H16" s="437"/>
      <c r="I16" s="437"/>
      <c r="J16" s="437"/>
      <c r="K16" s="437"/>
    </row>
    <row r="17" spans="1:11" ht="37.5">
      <c r="A17" s="502" t="s">
        <v>307</v>
      </c>
      <c r="B17" s="440" t="s">
        <v>298</v>
      </c>
      <c r="C17" s="438">
        <v>0</v>
      </c>
      <c r="D17" s="1930">
        <v>11673700</v>
      </c>
      <c r="E17" s="1931"/>
      <c r="F17" s="439">
        <f>D17*C17</f>
        <v>0</v>
      </c>
      <c r="G17" s="503"/>
      <c r="H17" s="435"/>
      <c r="I17" s="435"/>
      <c r="J17" s="435"/>
      <c r="K17" s="435"/>
    </row>
    <row r="18" spans="1:11">
      <c r="A18" s="1932" t="s">
        <v>308</v>
      </c>
      <c r="B18" s="1933"/>
      <c r="C18" s="1933"/>
      <c r="D18" s="1933"/>
      <c r="E18" s="1933"/>
      <c r="F18" s="1933"/>
      <c r="G18" s="1934"/>
      <c r="H18" s="437"/>
      <c r="I18" s="437"/>
      <c r="J18" s="437"/>
      <c r="K18" s="437"/>
    </row>
    <row r="19" spans="1:11" ht="25">
      <c r="A19" s="502" t="s">
        <v>309</v>
      </c>
      <c r="B19" s="438" t="s">
        <v>298</v>
      </c>
      <c r="C19" s="438">
        <v>0</v>
      </c>
      <c r="D19" s="1930">
        <v>436</v>
      </c>
      <c r="E19" s="1931"/>
      <c r="F19" s="442">
        <f>C19*D19</f>
        <v>0</v>
      </c>
      <c r="G19" s="503"/>
      <c r="H19" s="437"/>
      <c r="I19" s="437"/>
      <c r="J19" s="437"/>
      <c r="K19" s="437"/>
    </row>
    <row r="20" spans="1:11" ht="25">
      <c r="A20" s="502" t="s">
        <v>310</v>
      </c>
      <c r="B20" s="438" t="s">
        <v>298</v>
      </c>
      <c r="C20" s="438">
        <v>0</v>
      </c>
      <c r="D20" s="1930">
        <v>99717</v>
      </c>
      <c r="E20" s="1931"/>
      <c r="F20" s="442">
        <f>C20*D20</f>
        <v>0</v>
      </c>
      <c r="G20" s="503"/>
      <c r="H20" s="437"/>
      <c r="I20" s="437"/>
      <c r="J20" s="437"/>
      <c r="K20" s="437"/>
    </row>
    <row r="21" spans="1:11" ht="25">
      <c r="A21" s="502" t="s">
        <v>311</v>
      </c>
      <c r="B21" s="438" t="s">
        <v>298</v>
      </c>
      <c r="C21" s="438">
        <v>0</v>
      </c>
      <c r="D21" s="1930">
        <v>10474</v>
      </c>
      <c r="E21" s="1931"/>
      <c r="F21" s="442">
        <f>+D21*C21</f>
        <v>0</v>
      </c>
      <c r="G21" s="503" t="s">
        <v>312</v>
      </c>
      <c r="H21" s="437"/>
      <c r="I21" s="437"/>
      <c r="J21" s="437"/>
      <c r="K21" s="437"/>
    </row>
    <row r="22" spans="1:11" ht="25.5" thickBot="1">
      <c r="A22" s="506" t="s">
        <v>313</v>
      </c>
      <c r="B22" s="443" t="s">
        <v>298</v>
      </c>
      <c r="C22" s="444">
        <v>0</v>
      </c>
      <c r="D22" s="1930">
        <v>130000</v>
      </c>
      <c r="E22" s="1931"/>
      <c r="F22" s="445">
        <f>+D22*C22</f>
        <v>0</v>
      </c>
      <c r="G22" s="507" t="s">
        <v>314</v>
      </c>
      <c r="H22" s="437"/>
      <c r="I22" s="437"/>
      <c r="J22" s="437"/>
      <c r="K22" s="437"/>
    </row>
    <row r="23" spans="1:11" ht="15" thickBot="1">
      <c r="A23" s="1940" t="s">
        <v>315</v>
      </c>
      <c r="B23" s="1941"/>
      <c r="C23" s="1941"/>
      <c r="D23" s="1941"/>
      <c r="E23" s="1942"/>
      <c r="F23" s="446">
        <f>SUM(F8:F22)</f>
        <v>0</v>
      </c>
      <c r="G23" s="508"/>
      <c r="H23" s="435"/>
      <c r="I23" s="435"/>
      <c r="J23" s="435"/>
      <c r="K23" s="435"/>
    </row>
    <row r="24" spans="1:11" ht="15" thickBot="1">
      <c r="A24" s="509" t="s">
        <v>316</v>
      </c>
      <c r="B24" s="447"/>
      <c r="C24" s="447"/>
      <c r="D24" s="447"/>
      <c r="E24" s="447"/>
      <c r="F24" s="447"/>
      <c r="G24" s="510"/>
      <c r="H24" s="437"/>
      <c r="I24" s="437"/>
      <c r="J24" s="437"/>
      <c r="K24" s="437"/>
    </row>
    <row r="25" spans="1:11" ht="15" thickBot="1">
      <c r="A25" s="1943" t="s">
        <v>317</v>
      </c>
      <c r="B25" s="1944"/>
      <c r="C25" s="1944"/>
      <c r="D25" s="1944"/>
      <c r="E25" s="1944"/>
      <c r="F25" s="1944"/>
      <c r="G25" s="1945"/>
      <c r="H25" s="435"/>
      <c r="I25" s="435"/>
      <c r="J25" s="435"/>
      <c r="K25" s="435"/>
    </row>
    <row r="26" spans="1:11" ht="15" thickBot="1">
      <c r="A26" s="448" t="s">
        <v>318</v>
      </c>
      <c r="B26" s="449" t="s">
        <v>319</v>
      </c>
      <c r="C26" s="450" t="s">
        <v>320</v>
      </c>
      <c r="D26" s="450" t="s">
        <v>321</v>
      </c>
      <c r="E26" s="450" t="s">
        <v>322</v>
      </c>
      <c r="F26" s="450" t="s">
        <v>323</v>
      </c>
      <c r="G26" s="451" t="s">
        <v>324</v>
      </c>
      <c r="H26" s="435"/>
      <c r="I26" s="435"/>
      <c r="J26" s="435"/>
      <c r="K26" s="435"/>
    </row>
    <row r="27" spans="1:11" ht="25">
      <c r="A27" s="511" t="s">
        <v>325</v>
      </c>
      <c r="B27" s="452" t="s">
        <v>326</v>
      </c>
      <c r="C27" s="453">
        <v>0</v>
      </c>
      <c r="D27" s="499">
        <f>'PERSONAL PROFESIONAL-TECNICO'!D22*I112</f>
        <v>2921400</v>
      </c>
      <c r="E27" s="454">
        <f>I113</f>
        <v>2.5</v>
      </c>
      <c r="F27" s="455">
        <f>+D27*C27*E27</f>
        <v>0</v>
      </c>
      <c r="G27" s="512" t="s">
        <v>327</v>
      </c>
      <c r="H27" s="435"/>
      <c r="I27" s="435"/>
      <c r="J27" s="435"/>
      <c r="K27" s="435"/>
    </row>
    <row r="28" spans="1:11">
      <c r="A28" s="1932" t="s">
        <v>328</v>
      </c>
      <c r="B28" s="1933"/>
      <c r="C28" s="1933"/>
      <c r="D28" s="1933"/>
      <c r="E28" s="1933"/>
      <c r="F28" s="1933"/>
      <c r="G28" s="1934"/>
      <c r="H28" s="435"/>
      <c r="I28" s="435"/>
      <c r="J28" s="435"/>
      <c r="K28" s="435"/>
    </row>
    <row r="29" spans="1:11" ht="25.5" thickBot="1">
      <c r="A29" s="504" t="s">
        <v>329</v>
      </c>
      <c r="B29" s="440" t="s">
        <v>298</v>
      </c>
      <c r="C29" s="440">
        <v>1</v>
      </c>
      <c r="D29" s="1930">
        <v>110846</v>
      </c>
      <c r="E29" s="1931"/>
      <c r="F29" s="456">
        <f>+D29*C29</f>
        <v>110846</v>
      </c>
      <c r="G29" s="507" t="s">
        <v>330</v>
      </c>
      <c r="H29" s="435"/>
      <c r="I29" s="435"/>
      <c r="J29" s="435"/>
      <c r="K29" s="435"/>
    </row>
    <row r="30" spans="1:11" ht="15" hidden="1" thickBot="1">
      <c r="A30" s="1932" t="s">
        <v>331</v>
      </c>
      <c r="B30" s="1973"/>
      <c r="C30" s="1973"/>
      <c r="D30" s="1973"/>
      <c r="E30" s="1973"/>
      <c r="F30" s="1973"/>
      <c r="G30" s="1974"/>
      <c r="H30" s="435"/>
      <c r="I30" s="435"/>
      <c r="J30" s="435"/>
      <c r="K30" s="435"/>
    </row>
    <row r="31" spans="1:11" ht="106.5" hidden="1" customHeight="1">
      <c r="A31" s="504" t="s">
        <v>332</v>
      </c>
      <c r="B31" s="440" t="s">
        <v>298</v>
      </c>
      <c r="C31" s="440"/>
      <c r="D31" s="1930">
        <v>2500000</v>
      </c>
      <c r="E31" s="1931"/>
      <c r="F31" s="457">
        <f>+D31*C31</f>
        <v>0</v>
      </c>
      <c r="G31" s="505" t="s">
        <v>333</v>
      </c>
      <c r="H31" s="435"/>
      <c r="I31" s="435"/>
      <c r="J31" s="435"/>
      <c r="K31" s="435"/>
    </row>
    <row r="32" spans="1:11" ht="108" hidden="1" customHeight="1">
      <c r="A32" s="504" t="s">
        <v>334</v>
      </c>
      <c r="B32" s="440" t="s">
        <v>298</v>
      </c>
      <c r="C32" s="440"/>
      <c r="D32" s="1930">
        <v>1200000</v>
      </c>
      <c r="E32" s="1931"/>
      <c r="F32" s="457">
        <f>+D32*C32</f>
        <v>0</v>
      </c>
      <c r="G32" s="505" t="s">
        <v>333</v>
      </c>
      <c r="H32" s="435"/>
      <c r="I32" s="435"/>
      <c r="J32" s="435"/>
      <c r="K32" s="435"/>
    </row>
    <row r="33" spans="1:11" ht="15" hidden="1" thickBot="1">
      <c r="A33" s="504" t="s">
        <v>335</v>
      </c>
      <c r="B33" s="440" t="s">
        <v>298</v>
      </c>
      <c r="C33" s="458"/>
      <c r="D33" s="1930">
        <v>1200000</v>
      </c>
      <c r="E33" s="1931"/>
      <c r="F33" s="457">
        <f t="shared" ref="F33:F34" si="0">+D33*C33</f>
        <v>0</v>
      </c>
      <c r="G33" s="507"/>
      <c r="H33" s="435"/>
      <c r="I33" s="435"/>
      <c r="J33" s="435"/>
      <c r="K33" s="435"/>
    </row>
    <row r="34" spans="1:11" ht="15" hidden="1" thickBot="1">
      <c r="A34" s="504" t="s">
        <v>336</v>
      </c>
      <c r="B34" s="440" t="s">
        <v>298</v>
      </c>
      <c r="C34" s="458"/>
      <c r="D34" s="1930">
        <v>1200000</v>
      </c>
      <c r="E34" s="1931"/>
      <c r="F34" s="457">
        <f t="shared" si="0"/>
        <v>0</v>
      </c>
      <c r="G34" s="507"/>
      <c r="H34" s="435"/>
      <c r="I34" s="435"/>
      <c r="J34" s="435"/>
      <c r="K34" s="435"/>
    </row>
    <row r="35" spans="1:11" ht="38" hidden="1" thickBot="1">
      <c r="A35" s="506" t="s">
        <v>337</v>
      </c>
      <c r="B35" s="444" t="s">
        <v>298</v>
      </c>
      <c r="C35" s="458"/>
      <c r="D35" s="1937">
        <v>1300000</v>
      </c>
      <c r="E35" s="1938"/>
      <c r="F35" s="459">
        <f>D35*C35</f>
        <v>0</v>
      </c>
      <c r="G35" s="507" t="s">
        <v>338</v>
      </c>
      <c r="H35" s="435"/>
      <c r="I35" s="435"/>
      <c r="J35" s="435"/>
      <c r="K35" s="435"/>
    </row>
    <row r="36" spans="1:11" ht="15" thickBot="1">
      <c r="A36" s="1939" t="s">
        <v>339</v>
      </c>
      <c r="B36" s="1925"/>
      <c r="C36" s="1925"/>
      <c r="D36" s="1925"/>
      <c r="E36" s="1925"/>
      <c r="F36" s="1925"/>
      <c r="G36" s="1926"/>
      <c r="H36" s="435"/>
      <c r="I36" s="435"/>
      <c r="J36" s="435"/>
      <c r="K36" s="435"/>
    </row>
    <row r="37" spans="1:11">
      <c r="A37" s="1927" t="s">
        <v>340</v>
      </c>
      <c r="B37" s="1928"/>
      <c r="C37" s="1928"/>
      <c r="D37" s="1928"/>
      <c r="E37" s="1928"/>
      <c r="F37" s="1928"/>
      <c r="G37" s="1929"/>
      <c r="H37" s="435"/>
      <c r="I37" s="435"/>
      <c r="J37" s="435"/>
      <c r="K37" s="435"/>
    </row>
    <row r="38" spans="1:11">
      <c r="A38" s="504" t="s">
        <v>341</v>
      </c>
      <c r="B38" s="440" t="s">
        <v>298</v>
      </c>
      <c r="C38" s="460">
        <v>3</v>
      </c>
      <c r="D38" s="1930">
        <v>22143</v>
      </c>
      <c r="E38" s="1931"/>
      <c r="F38" s="461">
        <f>+D38*C38</f>
        <v>66429</v>
      </c>
      <c r="G38" s="505" t="s">
        <v>342</v>
      </c>
      <c r="H38" s="435"/>
      <c r="I38" s="435"/>
      <c r="J38" s="435"/>
      <c r="K38" s="435"/>
    </row>
    <row r="39" spans="1:11" ht="37.5">
      <c r="A39" s="502" t="s">
        <v>343</v>
      </c>
      <c r="B39" s="440" t="s">
        <v>34</v>
      </c>
      <c r="C39" s="460">
        <v>1</v>
      </c>
      <c r="D39" s="1930">
        <f>250000-36047</f>
        <v>213953</v>
      </c>
      <c r="E39" s="1931"/>
      <c r="F39" s="462">
        <f>+D39*C39</f>
        <v>213953</v>
      </c>
      <c r="G39" s="503" t="s">
        <v>344</v>
      </c>
      <c r="H39" s="435"/>
      <c r="I39" s="435"/>
      <c r="J39" s="435"/>
      <c r="K39" s="435"/>
    </row>
    <row r="40" spans="1:11" ht="25">
      <c r="A40" s="504" t="s">
        <v>345</v>
      </c>
      <c r="B40" s="440" t="s">
        <v>346</v>
      </c>
      <c r="C40" s="438">
        <v>1</v>
      </c>
      <c r="D40" s="1930">
        <v>528400</v>
      </c>
      <c r="E40" s="1931"/>
      <c r="F40" s="461">
        <f>+D40*C40</f>
        <v>528400</v>
      </c>
      <c r="G40" s="505" t="s">
        <v>347</v>
      </c>
      <c r="H40" s="435"/>
      <c r="I40" s="435"/>
      <c r="J40" s="435"/>
      <c r="K40" s="435"/>
    </row>
    <row r="41" spans="1:11">
      <c r="A41" s="1932" t="s">
        <v>348</v>
      </c>
      <c r="B41" s="1933"/>
      <c r="C41" s="1933"/>
      <c r="D41" s="1933"/>
      <c r="E41" s="1933"/>
      <c r="F41" s="1933"/>
      <c r="G41" s="1934"/>
      <c r="H41" s="435"/>
      <c r="I41" s="435"/>
      <c r="J41" s="435"/>
      <c r="K41" s="435"/>
    </row>
    <row r="42" spans="1:11" ht="25">
      <c r="A42" s="504" t="s">
        <v>349</v>
      </c>
      <c r="B42" s="440" t="s">
        <v>350</v>
      </c>
      <c r="C42" s="440"/>
      <c r="D42" s="1930">
        <v>259200</v>
      </c>
      <c r="E42" s="1931"/>
      <c r="F42" s="441">
        <f t="shared" ref="F42:F49" si="1">C42*D42</f>
        <v>0</v>
      </c>
      <c r="G42" s="505"/>
      <c r="H42" s="435"/>
      <c r="I42" s="435"/>
      <c r="J42" s="435"/>
      <c r="K42" s="435"/>
    </row>
    <row r="43" spans="1:11" ht="25">
      <c r="A43" s="504" t="s">
        <v>351</v>
      </c>
      <c r="B43" s="440" t="s">
        <v>34</v>
      </c>
      <c r="C43" s="438"/>
      <c r="D43" s="1930">
        <v>282787</v>
      </c>
      <c r="E43" s="1931"/>
      <c r="F43" s="441">
        <f t="shared" si="1"/>
        <v>0</v>
      </c>
      <c r="G43" s="505" t="s">
        <v>352</v>
      </c>
      <c r="H43" s="435"/>
      <c r="I43" s="435"/>
      <c r="J43" s="435"/>
      <c r="K43" s="435"/>
    </row>
    <row r="44" spans="1:11" ht="25">
      <c r="A44" s="504" t="s">
        <v>353</v>
      </c>
      <c r="B44" s="440" t="s">
        <v>298</v>
      </c>
      <c r="C44" s="438"/>
      <c r="D44" s="1930">
        <v>351400</v>
      </c>
      <c r="E44" s="1931"/>
      <c r="F44" s="441">
        <f t="shared" si="1"/>
        <v>0</v>
      </c>
      <c r="G44" s="505"/>
      <c r="H44" s="435"/>
      <c r="I44" s="435"/>
      <c r="J44" s="435"/>
      <c r="K44" s="435"/>
    </row>
    <row r="45" spans="1:11" ht="25">
      <c r="A45" s="504" t="s">
        <v>354</v>
      </c>
      <c r="B45" s="440" t="s">
        <v>298</v>
      </c>
      <c r="C45" s="440"/>
      <c r="D45" s="1930">
        <v>70479</v>
      </c>
      <c r="E45" s="1931"/>
      <c r="F45" s="441">
        <f t="shared" si="1"/>
        <v>0</v>
      </c>
      <c r="G45" s="505" t="s">
        <v>355</v>
      </c>
      <c r="H45" s="435"/>
      <c r="I45" s="435"/>
      <c r="J45" s="435"/>
      <c r="K45" s="435"/>
    </row>
    <row r="46" spans="1:11" ht="25">
      <c r="A46" s="504" t="s">
        <v>356</v>
      </c>
      <c r="B46" s="440" t="s">
        <v>298</v>
      </c>
      <c r="C46" s="440"/>
      <c r="D46" s="1930">
        <v>27493</v>
      </c>
      <c r="E46" s="1931"/>
      <c r="F46" s="441">
        <f t="shared" si="1"/>
        <v>0</v>
      </c>
      <c r="G46" s="505"/>
      <c r="H46" s="435"/>
      <c r="I46" s="435"/>
      <c r="J46" s="435"/>
      <c r="K46" s="435"/>
    </row>
    <row r="47" spans="1:11" ht="25">
      <c r="A47" s="513" t="s">
        <v>357</v>
      </c>
      <c r="B47" s="463" t="s">
        <v>298</v>
      </c>
      <c r="C47" s="440"/>
      <c r="D47" s="1930">
        <v>396849</v>
      </c>
      <c r="E47" s="1931"/>
      <c r="F47" s="441">
        <f t="shared" si="1"/>
        <v>0</v>
      </c>
      <c r="G47" s="505" t="s">
        <v>358</v>
      </c>
      <c r="H47" s="435"/>
      <c r="I47" s="435"/>
      <c r="J47" s="435"/>
      <c r="K47" s="435"/>
    </row>
    <row r="48" spans="1:11" ht="25">
      <c r="A48" s="504" t="s">
        <v>359</v>
      </c>
      <c r="B48" s="463" t="s">
        <v>298</v>
      </c>
      <c r="C48" s="463"/>
      <c r="D48" s="1930">
        <v>130920</v>
      </c>
      <c r="E48" s="1931"/>
      <c r="F48" s="441">
        <f t="shared" si="1"/>
        <v>0</v>
      </c>
      <c r="G48" s="505"/>
      <c r="H48" s="435"/>
      <c r="I48" s="435"/>
      <c r="J48" s="435"/>
      <c r="K48" s="435"/>
    </row>
    <row r="49" spans="1:11" ht="15" thickBot="1">
      <c r="A49" s="513" t="s">
        <v>360</v>
      </c>
      <c r="B49" s="464" t="s">
        <v>298</v>
      </c>
      <c r="C49" s="465"/>
      <c r="D49" s="1930">
        <v>31900</v>
      </c>
      <c r="E49" s="1931"/>
      <c r="F49" s="466">
        <f t="shared" si="1"/>
        <v>0</v>
      </c>
      <c r="G49" s="514"/>
      <c r="H49" s="435"/>
      <c r="I49" s="435"/>
      <c r="J49" s="435"/>
      <c r="K49" s="435"/>
    </row>
    <row r="50" spans="1:11" ht="15" thickBot="1">
      <c r="A50" s="1939" t="s">
        <v>361</v>
      </c>
      <c r="B50" s="1925"/>
      <c r="C50" s="1925"/>
      <c r="D50" s="1925"/>
      <c r="E50" s="1925"/>
      <c r="F50" s="1925"/>
      <c r="G50" s="1926"/>
      <c r="H50" s="437"/>
      <c r="I50" s="437"/>
      <c r="J50" s="437"/>
      <c r="K50" s="437"/>
    </row>
    <row r="51" spans="1:11">
      <c r="A51" s="1927" t="s">
        <v>362</v>
      </c>
      <c r="B51" s="1928"/>
      <c r="C51" s="1928"/>
      <c r="D51" s="1928"/>
      <c r="E51" s="1928"/>
      <c r="F51" s="1928"/>
      <c r="G51" s="1929"/>
      <c r="H51" s="437"/>
      <c r="I51" s="437"/>
      <c r="J51" s="437"/>
      <c r="K51" s="437"/>
    </row>
    <row r="52" spans="1:11" ht="25">
      <c r="A52" s="504" t="s">
        <v>363</v>
      </c>
      <c r="B52" s="440" t="s">
        <v>298</v>
      </c>
      <c r="C52" s="440">
        <v>0</v>
      </c>
      <c r="D52" s="1930">
        <v>14300</v>
      </c>
      <c r="E52" s="1931"/>
      <c r="F52" s="441">
        <f t="shared" ref="F52:F58" si="2">C52*D52</f>
        <v>0</v>
      </c>
      <c r="G52" s="505" t="s">
        <v>364</v>
      </c>
      <c r="H52" s="435"/>
      <c r="I52" s="435"/>
      <c r="J52" s="435"/>
      <c r="K52" s="435"/>
    </row>
    <row r="53" spans="1:11" ht="37.5" hidden="1">
      <c r="A53" s="504" t="s">
        <v>365</v>
      </c>
      <c r="B53" s="440" t="s">
        <v>298</v>
      </c>
      <c r="C53" s="440"/>
      <c r="D53" s="1930">
        <v>575000</v>
      </c>
      <c r="E53" s="1931"/>
      <c r="F53" s="441">
        <f t="shared" si="2"/>
        <v>0</v>
      </c>
      <c r="G53" s="505" t="s">
        <v>366</v>
      </c>
      <c r="H53" s="435"/>
      <c r="I53" s="435"/>
      <c r="J53" s="435"/>
      <c r="K53" s="435"/>
    </row>
    <row r="54" spans="1:11">
      <c r="A54" s="504" t="s">
        <v>367</v>
      </c>
      <c r="B54" s="440" t="s">
        <v>298</v>
      </c>
      <c r="C54" s="440">
        <v>0</v>
      </c>
      <c r="D54" s="1930">
        <v>239900</v>
      </c>
      <c r="E54" s="1931"/>
      <c r="F54" s="441">
        <f t="shared" si="2"/>
        <v>0</v>
      </c>
      <c r="G54" s="505" t="s">
        <v>368</v>
      </c>
      <c r="H54" s="435"/>
      <c r="I54" s="435"/>
      <c r="J54" s="435"/>
      <c r="K54" s="435"/>
    </row>
    <row r="55" spans="1:11" hidden="1">
      <c r="A55" s="504" t="s">
        <v>369</v>
      </c>
      <c r="B55" s="440" t="s">
        <v>298</v>
      </c>
      <c r="C55" s="440"/>
      <c r="D55" s="1930">
        <v>330000</v>
      </c>
      <c r="E55" s="1931"/>
      <c r="F55" s="441">
        <f t="shared" si="2"/>
        <v>0</v>
      </c>
      <c r="G55" s="505"/>
      <c r="H55" s="435"/>
      <c r="I55" s="435"/>
      <c r="J55" s="435"/>
      <c r="K55" s="435"/>
    </row>
    <row r="56" spans="1:11" hidden="1">
      <c r="A56" s="504" t="s">
        <v>370</v>
      </c>
      <c r="B56" s="440" t="s">
        <v>298</v>
      </c>
      <c r="C56" s="440"/>
      <c r="D56" s="1930"/>
      <c r="E56" s="1931"/>
      <c r="F56" s="441">
        <f t="shared" si="2"/>
        <v>0</v>
      </c>
      <c r="G56" s="503"/>
      <c r="H56" s="435"/>
      <c r="I56" s="435"/>
      <c r="J56" s="435"/>
      <c r="K56" s="435"/>
    </row>
    <row r="57" spans="1:11" hidden="1">
      <c r="A57" s="504" t="s">
        <v>371</v>
      </c>
      <c r="B57" s="440" t="s">
        <v>298</v>
      </c>
      <c r="C57" s="440"/>
      <c r="D57" s="1930"/>
      <c r="E57" s="1931"/>
      <c r="F57" s="441">
        <f t="shared" si="2"/>
        <v>0</v>
      </c>
      <c r="G57" s="505"/>
      <c r="H57" s="437"/>
      <c r="I57" s="437"/>
      <c r="J57" s="437"/>
      <c r="K57" s="437"/>
    </row>
    <row r="58" spans="1:11" hidden="1">
      <c r="A58" s="504" t="s">
        <v>372</v>
      </c>
      <c r="B58" s="440" t="s">
        <v>298</v>
      </c>
      <c r="C58" s="440"/>
      <c r="D58" s="1930"/>
      <c r="E58" s="1931"/>
      <c r="F58" s="441">
        <f t="shared" si="2"/>
        <v>0</v>
      </c>
      <c r="G58" s="505"/>
      <c r="H58" s="437"/>
      <c r="I58" s="437"/>
      <c r="J58" s="437"/>
      <c r="K58" s="437"/>
    </row>
    <row r="59" spans="1:11" ht="15" thickBot="1">
      <c r="A59" s="1946" t="s">
        <v>373</v>
      </c>
      <c r="B59" s="1947"/>
      <c r="C59" s="1947"/>
      <c r="D59" s="1947"/>
      <c r="E59" s="1947"/>
      <c r="F59" s="1947"/>
      <c r="G59" s="1948"/>
      <c r="H59" s="437"/>
      <c r="I59" s="437"/>
      <c r="J59" s="437"/>
      <c r="K59" s="437"/>
    </row>
    <row r="60" spans="1:11" ht="15" thickBot="1">
      <c r="A60" s="467" t="s">
        <v>374</v>
      </c>
      <c r="B60" s="468" t="s">
        <v>319</v>
      </c>
      <c r="C60" s="468" t="s">
        <v>320</v>
      </c>
      <c r="D60" s="468" t="s">
        <v>321</v>
      </c>
      <c r="E60" s="468" t="s">
        <v>322</v>
      </c>
      <c r="F60" s="468" t="s">
        <v>323</v>
      </c>
      <c r="G60" s="469" t="s">
        <v>324</v>
      </c>
      <c r="H60" s="437"/>
      <c r="I60" s="437"/>
      <c r="J60" s="437"/>
      <c r="K60" s="437"/>
    </row>
    <row r="61" spans="1:11" ht="97.5" customHeight="1">
      <c r="A61" s="511" t="s">
        <v>375</v>
      </c>
      <c r="B61" s="452" t="s">
        <v>298</v>
      </c>
      <c r="C61" s="453">
        <v>0</v>
      </c>
      <c r="D61" s="470">
        <v>2050000</v>
      </c>
      <c r="E61" s="454">
        <f>I113</f>
        <v>2.5</v>
      </c>
      <c r="F61" s="471">
        <f>C61*D61*E61</f>
        <v>0</v>
      </c>
      <c r="G61" s="515" t="s">
        <v>376</v>
      </c>
      <c r="H61" s="435"/>
      <c r="I61" s="435"/>
      <c r="J61" s="435"/>
      <c r="K61" s="435"/>
    </row>
    <row r="62" spans="1:11">
      <c r="A62" s="504" t="s">
        <v>377</v>
      </c>
      <c r="B62" s="440" t="s">
        <v>298</v>
      </c>
      <c r="C62" s="440">
        <v>1</v>
      </c>
      <c r="D62" s="1949">
        <f>149900*1.19</f>
        <v>178381</v>
      </c>
      <c r="E62" s="1950"/>
      <c r="F62" s="472">
        <f>C62*D62</f>
        <v>178381</v>
      </c>
      <c r="G62" s="505" t="s">
        <v>378</v>
      </c>
      <c r="H62" s="435"/>
      <c r="I62" s="435"/>
      <c r="J62" s="435"/>
      <c r="K62" s="435"/>
    </row>
    <row r="63" spans="1:11" ht="25">
      <c r="A63" s="504" t="s">
        <v>379</v>
      </c>
      <c r="B63" s="440" t="s">
        <v>298</v>
      </c>
      <c r="C63" s="440">
        <v>0</v>
      </c>
      <c r="D63" s="1949">
        <v>374900</v>
      </c>
      <c r="E63" s="1950"/>
      <c r="F63" s="473">
        <f>C63*D63</f>
        <v>0</v>
      </c>
      <c r="G63" s="505" t="s">
        <v>380</v>
      </c>
      <c r="H63" s="435"/>
      <c r="I63" s="435"/>
      <c r="J63" s="435"/>
      <c r="K63" s="435"/>
    </row>
    <row r="64" spans="1:11">
      <c r="A64" s="504" t="s">
        <v>381</v>
      </c>
      <c r="B64" s="440" t="s">
        <v>298</v>
      </c>
      <c r="C64" s="440">
        <v>0</v>
      </c>
      <c r="D64" s="1957">
        <v>819900</v>
      </c>
      <c r="E64" s="1958"/>
      <c r="F64" s="473">
        <f>C64*D64</f>
        <v>0</v>
      </c>
      <c r="G64" s="505" t="s">
        <v>382</v>
      </c>
      <c r="H64" s="435"/>
      <c r="I64" s="435"/>
      <c r="J64" s="435"/>
      <c r="K64" s="435"/>
    </row>
    <row r="65" spans="1:11" hidden="1">
      <c r="A65" s="511" t="s">
        <v>383</v>
      </c>
      <c r="B65" s="452" t="s">
        <v>298</v>
      </c>
      <c r="C65" s="452"/>
      <c r="D65" s="1959"/>
      <c r="E65" s="1960"/>
      <c r="F65" s="474">
        <f>D65*C65</f>
        <v>0</v>
      </c>
      <c r="G65" s="515" t="s">
        <v>384</v>
      </c>
      <c r="H65" s="437"/>
      <c r="I65" s="437"/>
      <c r="J65" s="437"/>
      <c r="K65" s="437"/>
    </row>
    <row r="66" spans="1:11" hidden="1">
      <c r="A66" s="1932" t="s">
        <v>385</v>
      </c>
      <c r="B66" s="1933"/>
      <c r="C66" s="1933"/>
      <c r="D66" s="1933"/>
      <c r="E66" s="1933"/>
      <c r="F66" s="1933"/>
      <c r="G66" s="1934"/>
      <c r="H66" s="435"/>
      <c r="I66" s="435"/>
      <c r="J66" s="435"/>
      <c r="K66" s="435"/>
    </row>
    <row r="67" spans="1:11" ht="25" hidden="1">
      <c r="A67" s="504" t="s">
        <v>386</v>
      </c>
      <c r="B67" s="440" t="s">
        <v>298</v>
      </c>
      <c r="C67" s="440"/>
      <c r="D67" s="1930">
        <v>355900</v>
      </c>
      <c r="E67" s="1931"/>
      <c r="F67" s="441">
        <f>C67*D67</f>
        <v>0</v>
      </c>
      <c r="G67" s="505"/>
      <c r="H67" s="435"/>
      <c r="I67" s="435"/>
      <c r="J67" s="435"/>
      <c r="K67" s="435"/>
    </row>
    <row r="68" spans="1:11" ht="30.75" hidden="1" customHeight="1" thickBot="1">
      <c r="A68" s="506" t="s">
        <v>387</v>
      </c>
      <c r="B68" s="444" t="s">
        <v>298</v>
      </c>
      <c r="C68" s="444"/>
      <c r="D68" s="1937">
        <v>630000</v>
      </c>
      <c r="E68" s="1961"/>
      <c r="F68" s="466">
        <f>C68*D68</f>
        <v>0</v>
      </c>
      <c r="G68" s="507" t="s">
        <v>388</v>
      </c>
      <c r="H68" s="435"/>
      <c r="I68" s="435"/>
      <c r="J68" s="435"/>
      <c r="K68" s="435"/>
    </row>
    <row r="69" spans="1:11" ht="15" hidden="1" thickBot="1">
      <c r="A69" s="1939" t="s">
        <v>389</v>
      </c>
      <c r="B69" s="1925"/>
      <c r="C69" s="1925"/>
      <c r="D69" s="1925"/>
      <c r="E69" s="1925"/>
      <c r="F69" s="1925"/>
      <c r="G69" s="1926"/>
      <c r="H69" s="435"/>
      <c r="I69" s="435"/>
      <c r="J69" s="435"/>
      <c r="K69" s="435"/>
    </row>
    <row r="70" spans="1:11" hidden="1">
      <c r="A70" s="1927" t="s">
        <v>390</v>
      </c>
      <c r="B70" s="1928"/>
      <c r="C70" s="1928"/>
      <c r="D70" s="1928"/>
      <c r="E70" s="1928"/>
      <c r="F70" s="1928"/>
      <c r="G70" s="1929"/>
      <c r="H70" s="437"/>
      <c r="I70" s="437"/>
      <c r="J70" s="437"/>
      <c r="K70" s="437"/>
    </row>
    <row r="71" spans="1:11" hidden="1">
      <c r="A71" s="504" t="s">
        <v>391</v>
      </c>
      <c r="B71" s="440" t="s">
        <v>298</v>
      </c>
      <c r="C71" s="444"/>
      <c r="D71" s="1951"/>
      <c r="E71" s="1952"/>
      <c r="F71" s="473">
        <f>C71*D71</f>
        <v>0</v>
      </c>
      <c r="G71" s="505"/>
      <c r="H71" s="437"/>
      <c r="I71" s="437"/>
      <c r="J71" s="437"/>
      <c r="K71" s="437"/>
    </row>
    <row r="72" spans="1:11" hidden="1">
      <c r="A72" s="1932" t="s">
        <v>392</v>
      </c>
      <c r="B72" s="1933"/>
      <c r="C72" s="1933"/>
      <c r="D72" s="1933"/>
      <c r="E72" s="1933"/>
      <c r="F72" s="1933"/>
      <c r="G72" s="1934"/>
      <c r="H72" s="476"/>
      <c r="I72" s="476"/>
      <c r="J72" s="476"/>
      <c r="K72" s="476"/>
    </row>
    <row r="73" spans="1:11" ht="38.5" hidden="1">
      <c r="A73" s="516" t="s">
        <v>393</v>
      </c>
      <c r="B73" s="440" t="s">
        <v>394</v>
      </c>
      <c r="C73" s="444"/>
      <c r="D73" s="1953"/>
      <c r="E73" s="1954"/>
      <c r="F73" s="473">
        <f>C73*D73</f>
        <v>0</v>
      </c>
      <c r="G73" s="505"/>
      <c r="H73" s="437"/>
      <c r="I73" s="437"/>
      <c r="J73" s="437"/>
      <c r="K73" s="437"/>
    </row>
    <row r="74" spans="1:11" ht="55.5" hidden="1" customHeight="1">
      <c r="A74" s="504" t="s">
        <v>395</v>
      </c>
      <c r="B74" s="440" t="s">
        <v>298</v>
      </c>
      <c r="C74" s="444"/>
      <c r="D74" s="1955">
        <v>16529</v>
      </c>
      <c r="E74" s="1956"/>
      <c r="F74" s="473">
        <f>C74*D74</f>
        <v>0</v>
      </c>
      <c r="G74" s="505"/>
      <c r="H74" s="437"/>
      <c r="I74" s="437"/>
      <c r="J74" s="437"/>
      <c r="K74" s="437"/>
    </row>
    <row r="75" spans="1:11" hidden="1">
      <c r="A75" s="1932" t="s">
        <v>396</v>
      </c>
      <c r="B75" s="1933"/>
      <c r="C75" s="1962"/>
      <c r="D75" s="1933"/>
      <c r="E75" s="1933"/>
      <c r="F75" s="1933"/>
      <c r="G75" s="1934"/>
      <c r="H75" s="476"/>
      <c r="I75" s="476"/>
      <c r="J75" s="476"/>
      <c r="K75" s="476"/>
    </row>
    <row r="76" spans="1:11" hidden="1">
      <c r="A76" s="504" t="s">
        <v>397</v>
      </c>
      <c r="B76" s="475" t="s">
        <v>298</v>
      </c>
      <c r="C76" s="477"/>
      <c r="D76" s="1963">
        <v>239800</v>
      </c>
      <c r="E76" s="1956"/>
      <c r="F76" s="441">
        <f>C76*D76</f>
        <v>0</v>
      </c>
      <c r="G76" s="505"/>
      <c r="H76" s="476"/>
      <c r="I76" s="476"/>
      <c r="J76" s="476"/>
      <c r="K76" s="476"/>
    </row>
    <row r="77" spans="1:11">
      <c r="A77" s="1964" t="s">
        <v>398</v>
      </c>
      <c r="B77" s="1928"/>
      <c r="C77" s="1928"/>
      <c r="D77" s="1928"/>
      <c r="E77" s="1928"/>
      <c r="F77" s="1928"/>
      <c r="G77" s="1929"/>
      <c r="H77" s="435"/>
      <c r="I77" s="435"/>
      <c r="J77" s="435"/>
      <c r="K77" s="435"/>
    </row>
    <row r="78" spans="1:11">
      <c r="A78" s="1932" t="s">
        <v>399</v>
      </c>
      <c r="B78" s="1933"/>
      <c r="C78" s="1933"/>
      <c r="D78" s="1933"/>
      <c r="E78" s="1933"/>
      <c r="F78" s="1933"/>
      <c r="G78" s="1934"/>
      <c r="H78" s="435"/>
      <c r="I78" s="435"/>
      <c r="J78" s="435"/>
      <c r="K78" s="435"/>
    </row>
    <row r="79" spans="1:11">
      <c r="A79" s="504" t="s">
        <v>363</v>
      </c>
      <c r="B79" s="440" t="s">
        <v>298</v>
      </c>
      <c r="C79" s="444"/>
      <c r="D79" s="1949">
        <v>14300</v>
      </c>
      <c r="E79" s="1950"/>
      <c r="F79" s="473">
        <f>C79*D79</f>
        <v>0</v>
      </c>
      <c r="G79" s="505"/>
      <c r="H79" s="435"/>
      <c r="I79" s="435"/>
      <c r="J79" s="435"/>
      <c r="K79" s="435"/>
    </row>
    <row r="80" spans="1:11">
      <c r="A80" s="504" t="s">
        <v>367</v>
      </c>
      <c r="B80" s="440" t="s">
        <v>298</v>
      </c>
      <c r="C80" s="444"/>
      <c r="D80" s="1949">
        <v>239900</v>
      </c>
      <c r="E80" s="1950"/>
      <c r="F80" s="473">
        <f>C80*D80</f>
        <v>0</v>
      </c>
      <c r="G80" s="505"/>
      <c r="H80" s="435"/>
      <c r="I80" s="435"/>
      <c r="J80" s="435"/>
      <c r="K80" s="435"/>
    </row>
    <row r="81" spans="1:11" ht="25">
      <c r="A81" s="504" t="s">
        <v>345</v>
      </c>
      <c r="B81" s="440" t="s">
        <v>298</v>
      </c>
      <c r="C81" s="444"/>
      <c r="D81" s="1949">
        <v>528401</v>
      </c>
      <c r="E81" s="1950"/>
      <c r="F81" s="474">
        <f>D81*C81</f>
        <v>0</v>
      </c>
      <c r="G81" s="515" t="s">
        <v>400</v>
      </c>
      <c r="H81" s="435"/>
      <c r="I81" s="435"/>
      <c r="J81" s="435"/>
      <c r="K81" s="435"/>
    </row>
    <row r="82" spans="1:11">
      <c r="A82" s="504" t="s">
        <v>360</v>
      </c>
      <c r="B82" s="440" t="s">
        <v>298</v>
      </c>
      <c r="C82" s="444"/>
      <c r="D82" s="1949">
        <v>31900</v>
      </c>
      <c r="E82" s="1950"/>
      <c r="F82" s="441">
        <f>D82*C82</f>
        <v>0</v>
      </c>
      <c r="G82" s="505" t="s">
        <v>401</v>
      </c>
      <c r="H82" s="435"/>
      <c r="I82" s="435"/>
      <c r="J82" s="435"/>
      <c r="K82" s="435"/>
    </row>
    <row r="83" spans="1:11" hidden="1">
      <c r="A83" s="504" t="s">
        <v>402</v>
      </c>
      <c r="B83" s="440" t="s">
        <v>298</v>
      </c>
      <c r="C83" s="444"/>
      <c r="D83" s="1957">
        <v>175100</v>
      </c>
      <c r="E83" s="1958"/>
      <c r="F83" s="441">
        <f>D83*C83</f>
        <v>0</v>
      </c>
      <c r="G83" s="505" t="s">
        <v>401</v>
      </c>
      <c r="H83" s="435"/>
      <c r="I83" s="435"/>
      <c r="J83" s="435"/>
      <c r="K83" s="435"/>
    </row>
    <row r="84" spans="1:11">
      <c r="A84" s="502" t="s">
        <v>403</v>
      </c>
      <c r="B84" s="440" t="s">
        <v>346</v>
      </c>
      <c r="C84" s="444"/>
      <c r="D84" s="1957">
        <v>34040</v>
      </c>
      <c r="E84" s="1958"/>
      <c r="F84" s="441">
        <f>D84*C84</f>
        <v>0</v>
      </c>
      <c r="G84" s="505" t="s">
        <v>404</v>
      </c>
      <c r="H84" s="435"/>
      <c r="I84" s="435"/>
      <c r="J84" s="435"/>
      <c r="K84" s="435"/>
    </row>
    <row r="85" spans="1:11">
      <c r="A85" s="502" t="s">
        <v>405</v>
      </c>
      <c r="B85" s="440" t="s">
        <v>298</v>
      </c>
      <c r="C85" s="444"/>
      <c r="D85" s="1957">
        <v>42113</v>
      </c>
      <c r="E85" s="1958"/>
      <c r="F85" s="473">
        <f>+D85*C85</f>
        <v>0</v>
      </c>
      <c r="G85" s="517"/>
      <c r="H85" s="476"/>
      <c r="I85" s="476"/>
      <c r="J85" s="476"/>
      <c r="K85" s="476"/>
    </row>
    <row r="86" spans="1:11">
      <c r="A86" s="1932" t="s">
        <v>406</v>
      </c>
      <c r="B86" s="1933"/>
      <c r="C86" s="1933"/>
      <c r="D86" s="1933"/>
      <c r="E86" s="1933"/>
      <c r="F86" s="1933"/>
      <c r="G86" s="1934"/>
      <c r="H86" s="435"/>
      <c r="I86" s="435"/>
      <c r="J86" s="435"/>
      <c r="K86" s="435"/>
    </row>
    <row r="87" spans="1:11" ht="37.5">
      <c r="A87" s="513" t="s">
        <v>407</v>
      </c>
      <c r="B87" s="460" t="s">
        <v>408</v>
      </c>
      <c r="C87" s="460"/>
      <c r="D87" s="1949">
        <v>99717</v>
      </c>
      <c r="E87" s="1950"/>
      <c r="F87" s="466">
        <f>C87*D87</f>
        <v>0</v>
      </c>
      <c r="G87" s="505" t="s">
        <v>409</v>
      </c>
      <c r="H87" s="435"/>
      <c r="I87" s="435"/>
      <c r="J87" s="435"/>
      <c r="K87" s="435"/>
    </row>
    <row r="88" spans="1:11" ht="25">
      <c r="A88" s="506" t="s">
        <v>410</v>
      </c>
      <c r="B88" s="444" t="s">
        <v>298</v>
      </c>
      <c r="C88" s="460"/>
      <c r="D88" s="1949">
        <v>459900</v>
      </c>
      <c r="E88" s="1950"/>
      <c r="F88" s="466">
        <f>C88*D88</f>
        <v>0</v>
      </c>
      <c r="G88" s="507" t="s">
        <v>411</v>
      </c>
      <c r="H88" s="435"/>
      <c r="I88" s="435"/>
      <c r="J88" s="435"/>
      <c r="K88" s="435"/>
    </row>
    <row r="89" spans="1:11" ht="25.5" thickBot="1">
      <c r="A89" s="506" t="s">
        <v>412</v>
      </c>
      <c r="B89" s="444" t="s">
        <v>298</v>
      </c>
      <c r="C89" s="460"/>
      <c r="D89" s="1949">
        <v>277114</v>
      </c>
      <c r="E89" s="1950"/>
      <c r="F89" s="466">
        <f>+D89*C89</f>
        <v>0</v>
      </c>
      <c r="G89" s="507" t="s">
        <v>413</v>
      </c>
      <c r="H89" s="435"/>
      <c r="I89" s="435"/>
      <c r="J89" s="435"/>
      <c r="K89" s="435"/>
    </row>
    <row r="90" spans="1:11" ht="15" hidden="1" thickBot="1">
      <c r="A90" s="504" t="s">
        <v>414</v>
      </c>
      <c r="B90" s="444" t="s">
        <v>298</v>
      </c>
      <c r="C90" s="460"/>
      <c r="D90" s="1957"/>
      <c r="E90" s="1958"/>
      <c r="F90" s="466">
        <f>C90*D90</f>
        <v>0</v>
      </c>
      <c r="G90" s="507"/>
      <c r="H90" s="435"/>
      <c r="I90" s="435"/>
      <c r="J90" s="435"/>
      <c r="K90" s="435"/>
    </row>
    <row r="91" spans="1:11" ht="15" hidden="1" thickBot="1">
      <c r="A91" s="504" t="s">
        <v>415</v>
      </c>
      <c r="B91" s="444" t="s">
        <v>298</v>
      </c>
      <c r="C91" s="460"/>
      <c r="D91" s="1957"/>
      <c r="E91" s="1958"/>
      <c r="F91" s="466">
        <f>C91*D91</f>
        <v>0</v>
      </c>
      <c r="G91" s="505"/>
      <c r="H91" s="435"/>
      <c r="I91" s="435"/>
      <c r="J91" s="435"/>
      <c r="K91" s="435"/>
    </row>
    <row r="92" spans="1:11" ht="15" hidden="1" thickBot="1">
      <c r="A92" s="506" t="s">
        <v>416</v>
      </c>
      <c r="B92" s="444" t="s">
        <v>298</v>
      </c>
      <c r="C92" s="460"/>
      <c r="D92" s="1968"/>
      <c r="E92" s="1969"/>
      <c r="F92" s="478"/>
      <c r="G92" s="507"/>
      <c r="H92" s="435"/>
      <c r="I92" s="435"/>
      <c r="J92" s="435"/>
      <c r="K92" s="435"/>
    </row>
    <row r="93" spans="1:11" ht="15" thickBot="1">
      <c r="A93" s="1940" t="s">
        <v>417</v>
      </c>
      <c r="B93" s="1941"/>
      <c r="C93" s="1941"/>
      <c r="D93" s="1941"/>
      <c r="E93" s="1986"/>
      <c r="F93" s="479">
        <f>SUM(F27:F92)</f>
        <v>1098009</v>
      </c>
      <c r="G93" s="518"/>
      <c r="H93" s="435"/>
      <c r="I93" s="435"/>
      <c r="J93" s="435"/>
      <c r="K93" s="435"/>
    </row>
    <row r="94" spans="1:11" ht="15" thickBot="1">
      <c r="A94" s="1939" t="s">
        <v>418</v>
      </c>
      <c r="B94" s="1925"/>
      <c r="C94" s="1925"/>
      <c r="D94" s="1925"/>
      <c r="E94" s="1925"/>
      <c r="F94" s="1925"/>
      <c r="G94" s="1926"/>
      <c r="H94" s="435"/>
      <c r="I94" s="435"/>
      <c r="J94" s="435"/>
      <c r="K94" s="435"/>
    </row>
    <row r="95" spans="1:11">
      <c r="A95" s="1943" t="s">
        <v>419</v>
      </c>
      <c r="B95" s="1944"/>
      <c r="C95" s="1944"/>
      <c r="D95" s="1944"/>
      <c r="E95" s="1944"/>
      <c r="F95" s="1944"/>
      <c r="G95" s="1945"/>
      <c r="H95" s="435"/>
      <c r="I95" s="435"/>
      <c r="J95" s="435"/>
      <c r="K95" s="435"/>
    </row>
    <row r="96" spans="1:11">
      <c r="A96" s="504" t="s">
        <v>420</v>
      </c>
      <c r="B96" s="480" t="s">
        <v>298</v>
      </c>
      <c r="C96" s="481">
        <v>0</v>
      </c>
      <c r="D96" s="1965">
        <v>30000</v>
      </c>
      <c r="E96" s="1950"/>
      <c r="F96" s="457">
        <f>C96*D96</f>
        <v>0</v>
      </c>
      <c r="G96" s="505" t="s">
        <v>421</v>
      </c>
      <c r="H96" s="435"/>
      <c r="I96" s="435"/>
      <c r="J96" s="435"/>
      <c r="K96" s="435"/>
    </row>
    <row r="97" spans="1:11">
      <c r="A97" s="504" t="s">
        <v>422</v>
      </c>
      <c r="B97" s="475" t="s">
        <v>298</v>
      </c>
      <c r="C97" s="481">
        <v>0</v>
      </c>
      <c r="D97" s="1965">
        <v>8855</v>
      </c>
      <c r="E97" s="1950"/>
      <c r="F97" s="457">
        <f>C97*D97</f>
        <v>0</v>
      </c>
      <c r="G97" s="505" t="s">
        <v>421</v>
      </c>
      <c r="H97" s="437"/>
      <c r="I97" s="437"/>
      <c r="J97" s="437"/>
      <c r="K97" s="437"/>
    </row>
    <row r="98" spans="1:11" ht="15" thickBot="1">
      <c r="A98" s="506" t="s">
        <v>423</v>
      </c>
      <c r="B98" s="482" t="s">
        <v>298</v>
      </c>
      <c r="C98" s="483">
        <v>0</v>
      </c>
      <c r="D98" s="1966">
        <v>95400</v>
      </c>
      <c r="E98" s="1967"/>
      <c r="F98" s="484">
        <f>+D98*C98</f>
        <v>0</v>
      </c>
      <c r="G98" s="507" t="s">
        <v>424</v>
      </c>
      <c r="H98" s="437"/>
      <c r="I98" s="437"/>
      <c r="J98" s="437"/>
      <c r="K98" s="437"/>
    </row>
    <row r="99" spans="1:11" ht="15" thickBot="1">
      <c r="A99" s="1981" t="s">
        <v>425</v>
      </c>
      <c r="B99" s="1982"/>
      <c r="C99" s="1982"/>
      <c r="D99" s="1982"/>
      <c r="E99" s="1982"/>
      <c r="F99" s="1982"/>
      <c r="G99" s="1983"/>
      <c r="H99" s="435"/>
      <c r="I99" s="435"/>
      <c r="J99" s="435"/>
      <c r="K99" s="435"/>
    </row>
    <row r="100" spans="1:11">
      <c r="A100" s="511" t="s">
        <v>426</v>
      </c>
      <c r="B100" s="452" t="s">
        <v>298</v>
      </c>
      <c r="C100" s="485">
        <v>0</v>
      </c>
      <c r="D100" s="1984">
        <v>210000</v>
      </c>
      <c r="E100" s="1985"/>
      <c r="F100" s="486">
        <f>+D100*C100</f>
        <v>0</v>
      </c>
      <c r="G100" s="515" t="s">
        <v>427</v>
      </c>
      <c r="H100" s="435"/>
      <c r="I100" s="435"/>
      <c r="J100" s="435"/>
      <c r="K100" s="435"/>
    </row>
    <row r="101" spans="1:11">
      <c r="A101" s="504" t="s">
        <v>428</v>
      </c>
      <c r="B101" s="440" t="s">
        <v>298</v>
      </c>
      <c r="C101" s="485">
        <v>0</v>
      </c>
      <c r="D101" s="1949">
        <v>600000</v>
      </c>
      <c r="E101" s="1950"/>
      <c r="F101" s="487">
        <f>+D101*C101</f>
        <v>0</v>
      </c>
      <c r="G101" s="505" t="s">
        <v>427</v>
      </c>
      <c r="H101" s="435"/>
      <c r="I101" s="435"/>
      <c r="J101" s="435"/>
      <c r="K101" s="435"/>
    </row>
    <row r="102" spans="1:11" ht="15" thickBot="1">
      <c r="A102" s="506" t="s">
        <v>429</v>
      </c>
      <c r="B102" s="444" t="s">
        <v>430</v>
      </c>
      <c r="C102" s="485">
        <v>0</v>
      </c>
      <c r="D102" s="1949">
        <v>700</v>
      </c>
      <c r="E102" s="1950"/>
      <c r="F102" s="487">
        <f>+D102*C102</f>
        <v>0</v>
      </c>
      <c r="G102" s="507" t="s">
        <v>431</v>
      </c>
      <c r="H102" s="435"/>
      <c r="I102" s="435"/>
      <c r="J102" s="435"/>
      <c r="K102" s="435"/>
    </row>
    <row r="103" spans="1:11" ht="15" thickBot="1">
      <c r="A103" s="1939" t="s">
        <v>432</v>
      </c>
      <c r="B103" s="1925"/>
      <c r="C103" s="1925"/>
      <c r="D103" s="1925"/>
      <c r="E103" s="1925"/>
      <c r="F103" s="1925"/>
      <c r="G103" s="1926"/>
      <c r="H103" s="435"/>
      <c r="I103" s="435"/>
      <c r="J103" s="435"/>
      <c r="K103" s="435"/>
    </row>
    <row r="104" spans="1:11" ht="25">
      <c r="A104" s="519" t="s">
        <v>433</v>
      </c>
      <c r="B104" s="485" t="s">
        <v>346</v>
      </c>
      <c r="C104" s="485">
        <v>1</v>
      </c>
      <c r="D104" s="1949">
        <v>34039</v>
      </c>
      <c r="E104" s="1950"/>
      <c r="F104" s="488">
        <f>C104*D104</f>
        <v>34039</v>
      </c>
      <c r="G104" s="520" t="s">
        <v>434</v>
      </c>
      <c r="H104" s="435"/>
      <c r="I104" s="435"/>
      <c r="J104" s="435"/>
      <c r="K104" s="435"/>
    </row>
    <row r="105" spans="1:11">
      <c r="A105" s="504" t="s">
        <v>435</v>
      </c>
      <c r="B105" s="440" t="s">
        <v>298</v>
      </c>
      <c r="C105" s="485">
        <v>1</v>
      </c>
      <c r="D105" s="1949">
        <v>93950</v>
      </c>
      <c r="E105" s="1950"/>
      <c r="F105" s="487">
        <f>+D105*C105</f>
        <v>93950</v>
      </c>
      <c r="G105" s="505" t="s">
        <v>436</v>
      </c>
      <c r="H105" s="435"/>
      <c r="I105" s="435"/>
      <c r="J105" s="435"/>
      <c r="K105" s="435"/>
    </row>
    <row r="106" spans="1:11">
      <c r="A106" s="504" t="s">
        <v>437</v>
      </c>
      <c r="B106" s="440" t="s">
        <v>298</v>
      </c>
      <c r="C106" s="485">
        <v>1</v>
      </c>
      <c r="D106" s="1949">
        <v>175869</v>
      </c>
      <c r="E106" s="1950"/>
      <c r="F106" s="487">
        <f>+D106*C106</f>
        <v>175869</v>
      </c>
      <c r="G106" s="505" t="s">
        <v>436</v>
      </c>
      <c r="H106" s="435"/>
      <c r="I106" s="435"/>
      <c r="J106" s="435"/>
      <c r="K106" s="435"/>
    </row>
    <row r="107" spans="1:11">
      <c r="A107" s="504" t="s">
        <v>438</v>
      </c>
      <c r="B107" s="440" t="s">
        <v>298</v>
      </c>
      <c r="C107" s="485">
        <v>0</v>
      </c>
      <c r="D107" s="1949">
        <v>268168</v>
      </c>
      <c r="E107" s="1950"/>
      <c r="F107" s="487">
        <f>+D107*C107</f>
        <v>0</v>
      </c>
      <c r="G107" s="505" t="s">
        <v>436</v>
      </c>
      <c r="H107" s="435"/>
      <c r="I107" s="435"/>
      <c r="J107" s="435"/>
      <c r="K107" s="435"/>
    </row>
    <row r="108" spans="1:11" ht="37.5">
      <c r="A108" s="504" t="s">
        <v>439</v>
      </c>
      <c r="B108" s="440" t="s">
        <v>298</v>
      </c>
      <c r="C108" s="485">
        <v>0</v>
      </c>
      <c r="D108" s="1949">
        <v>35105</v>
      </c>
      <c r="E108" s="1950"/>
      <c r="F108" s="487">
        <f>+D108*C108</f>
        <v>0</v>
      </c>
      <c r="G108" s="521" t="s">
        <v>440</v>
      </c>
      <c r="H108" s="435"/>
      <c r="I108" s="435"/>
      <c r="J108" s="435"/>
      <c r="K108" s="435"/>
    </row>
    <row r="109" spans="1:11">
      <c r="A109" s="504" t="s">
        <v>441</v>
      </c>
      <c r="B109" s="440" t="s">
        <v>298</v>
      </c>
      <c r="C109" s="485">
        <v>0</v>
      </c>
      <c r="D109" s="1949">
        <v>1200000</v>
      </c>
      <c r="E109" s="1950"/>
      <c r="F109" s="441">
        <f>C109*D109</f>
        <v>0</v>
      </c>
      <c r="G109" s="515" t="s">
        <v>427</v>
      </c>
      <c r="H109" s="435"/>
      <c r="I109" s="435"/>
      <c r="J109" s="435"/>
      <c r="K109" s="435"/>
    </row>
    <row r="110" spans="1:11" ht="15" thickBot="1">
      <c r="A110" s="504" t="s">
        <v>442</v>
      </c>
      <c r="B110" s="440" t="s">
        <v>298</v>
      </c>
      <c r="C110" s="485">
        <v>0</v>
      </c>
      <c r="D110" s="1949">
        <v>220000</v>
      </c>
      <c r="E110" s="1950"/>
      <c r="F110" s="441">
        <f>C110*D110</f>
        <v>0</v>
      </c>
      <c r="G110" s="505" t="s">
        <v>427</v>
      </c>
      <c r="H110" s="437"/>
      <c r="I110" s="437"/>
      <c r="J110" s="437"/>
      <c r="K110" s="437"/>
    </row>
    <row r="111" spans="1:11" ht="15" thickBot="1">
      <c r="A111" s="522" t="s">
        <v>443</v>
      </c>
      <c r="B111" s="523"/>
      <c r="C111" s="524"/>
      <c r="D111" s="524"/>
      <c r="E111" s="524"/>
      <c r="F111" s="525">
        <f>SUM(F96:F110)</f>
        <v>303858</v>
      </c>
      <c r="G111" s="526"/>
      <c r="H111" s="437"/>
      <c r="I111" s="437"/>
      <c r="J111" s="437"/>
      <c r="K111" s="437"/>
    </row>
    <row r="112" spans="1:11" ht="15" thickBot="1">
      <c r="A112" s="489"/>
      <c r="B112" s="489"/>
      <c r="C112" s="489"/>
      <c r="D112" s="489"/>
      <c r="E112" s="489"/>
      <c r="F112" s="490"/>
      <c r="G112" s="491"/>
      <c r="H112" s="435"/>
      <c r="I112" s="492">
        <v>1.8</v>
      </c>
      <c r="J112" s="435" t="s">
        <v>444</v>
      </c>
      <c r="K112" s="435"/>
    </row>
    <row r="113" spans="1:11" ht="15" thickBot="1">
      <c r="A113" s="1978" t="s">
        <v>445</v>
      </c>
      <c r="B113" s="1979"/>
      <c r="C113" s="1979"/>
      <c r="D113" s="1979"/>
      <c r="E113" s="1980"/>
      <c r="F113" s="493">
        <f>ROUND(F23+F93+F111,0)</f>
        <v>1401867</v>
      </c>
      <c r="G113" s="494"/>
      <c r="H113" s="435"/>
      <c r="I113" s="495">
        <v>2.5</v>
      </c>
      <c r="J113" s="435" t="s">
        <v>322</v>
      </c>
      <c r="K113" s="435"/>
    </row>
    <row r="114" spans="1:11">
      <c r="A114" s="496"/>
      <c r="B114" s="497"/>
      <c r="C114" s="497"/>
      <c r="D114" s="497"/>
      <c r="E114" s="497"/>
      <c r="F114" s="497"/>
      <c r="G114" s="498"/>
      <c r="H114" s="435"/>
      <c r="I114" s="435"/>
      <c r="J114" s="435"/>
      <c r="K114" s="435"/>
    </row>
    <row r="115" spans="1:11" ht="24.75" customHeight="1">
      <c r="A115" s="1970" t="s">
        <v>446</v>
      </c>
      <c r="B115" s="1971"/>
      <c r="C115" s="1971"/>
      <c r="D115" s="1971"/>
      <c r="E115" s="1971"/>
      <c r="F115" s="1971"/>
      <c r="G115" s="1972"/>
      <c r="H115" s="435"/>
      <c r="I115" s="435"/>
      <c r="J115" s="435"/>
      <c r="K115" s="435"/>
    </row>
    <row r="116" spans="1:11" ht="24.75" customHeight="1">
      <c r="A116" s="1970" t="s">
        <v>447</v>
      </c>
      <c r="B116" s="1971"/>
      <c r="C116" s="1971"/>
      <c r="D116" s="1971"/>
      <c r="E116" s="1971"/>
      <c r="F116" s="1971"/>
      <c r="G116" s="1972"/>
      <c r="H116" s="435"/>
      <c r="I116" s="435"/>
      <c r="J116" s="435"/>
      <c r="K116" s="435"/>
    </row>
    <row r="117" spans="1:11" ht="43.5" customHeight="1">
      <c r="A117" s="1970" t="s">
        <v>448</v>
      </c>
      <c r="B117" s="1971"/>
      <c r="C117" s="1971"/>
      <c r="D117" s="1971"/>
      <c r="E117" s="1971"/>
      <c r="F117" s="1971"/>
      <c r="G117" s="1972"/>
      <c r="H117" s="435"/>
      <c r="I117" s="435"/>
      <c r="J117" s="435"/>
      <c r="K117" s="435"/>
    </row>
    <row r="118" spans="1:11" ht="24.75" customHeight="1">
      <c r="A118" s="1970" t="s">
        <v>449</v>
      </c>
      <c r="B118" s="1971"/>
      <c r="C118" s="1971"/>
      <c r="D118" s="1971"/>
      <c r="E118" s="1971"/>
      <c r="F118" s="1971"/>
      <c r="G118" s="1972"/>
      <c r="H118" s="435"/>
      <c r="I118" s="435"/>
      <c r="J118" s="435"/>
      <c r="K118" s="435"/>
    </row>
    <row r="119" spans="1:11" ht="24.75" customHeight="1">
      <c r="A119" s="1970" t="s">
        <v>450</v>
      </c>
      <c r="B119" s="1971"/>
      <c r="C119" s="1971"/>
      <c r="D119" s="1971"/>
      <c r="E119" s="1971"/>
      <c r="F119" s="1971"/>
      <c r="G119" s="1972"/>
      <c r="H119" s="435"/>
      <c r="I119" s="435"/>
      <c r="J119" s="435"/>
      <c r="K119" s="435"/>
    </row>
    <row r="120" spans="1:11" ht="24.75" customHeight="1">
      <c r="A120" s="1970" t="s">
        <v>451</v>
      </c>
      <c r="B120" s="1971"/>
      <c r="C120" s="1971"/>
      <c r="D120" s="1971"/>
      <c r="E120" s="1971"/>
      <c r="F120" s="1971"/>
      <c r="G120" s="1972"/>
      <c r="H120" s="435"/>
      <c r="I120" s="435"/>
      <c r="J120" s="435"/>
      <c r="K120" s="435"/>
    </row>
  </sheetData>
  <mergeCells count="110">
    <mergeCell ref="A120:G120"/>
    <mergeCell ref="A30:G30"/>
    <mergeCell ref="A2:G3"/>
    <mergeCell ref="A113:E113"/>
    <mergeCell ref="A115:G115"/>
    <mergeCell ref="A116:G116"/>
    <mergeCell ref="A117:G117"/>
    <mergeCell ref="A118:G118"/>
    <mergeCell ref="A119:G119"/>
    <mergeCell ref="D105:E105"/>
    <mergeCell ref="D106:E106"/>
    <mergeCell ref="D107:E107"/>
    <mergeCell ref="D108:E108"/>
    <mergeCell ref="D109:E109"/>
    <mergeCell ref="D110:E110"/>
    <mergeCell ref="A99:G99"/>
    <mergeCell ref="D100:E100"/>
    <mergeCell ref="D101:E101"/>
    <mergeCell ref="D102:E102"/>
    <mergeCell ref="A103:G103"/>
    <mergeCell ref="D104:E104"/>
    <mergeCell ref="A93:E93"/>
    <mergeCell ref="A94:G94"/>
    <mergeCell ref="A95:G95"/>
    <mergeCell ref="D96:E96"/>
    <mergeCell ref="D97:E97"/>
    <mergeCell ref="D98:E98"/>
    <mergeCell ref="D87:E87"/>
    <mergeCell ref="D88:E88"/>
    <mergeCell ref="D89:E89"/>
    <mergeCell ref="D90:E90"/>
    <mergeCell ref="D91:E91"/>
    <mergeCell ref="D92:E92"/>
    <mergeCell ref="D81:E81"/>
    <mergeCell ref="D82:E82"/>
    <mergeCell ref="D83:E83"/>
    <mergeCell ref="D84:E84"/>
    <mergeCell ref="D85:E85"/>
    <mergeCell ref="A86:G86"/>
    <mergeCell ref="A75:G75"/>
    <mergeCell ref="D76:E76"/>
    <mergeCell ref="A77:G77"/>
    <mergeCell ref="A78:G78"/>
    <mergeCell ref="D79:E79"/>
    <mergeCell ref="D80:E80"/>
    <mergeCell ref="A69:G69"/>
    <mergeCell ref="A70:G70"/>
    <mergeCell ref="D71:E71"/>
    <mergeCell ref="A72:G72"/>
    <mergeCell ref="D73:E73"/>
    <mergeCell ref="D74:E74"/>
    <mergeCell ref="D63:E63"/>
    <mergeCell ref="D64:E64"/>
    <mergeCell ref="D65:E65"/>
    <mergeCell ref="A66:G66"/>
    <mergeCell ref="D67:E67"/>
    <mergeCell ref="D68:E68"/>
    <mergeCell ref="D55:E55"/>
    <mergeCell ref="D56:E56"/>
    <mergeCell ref="D57:E57"/>
    <mergeCell ref="D58:E58"/>
    <mergeCell ref="A59:G59"/>
    <mergeCell ref="D62:E62"/>
    <mergeCell ref="D49:E49"/>
    <mergeCell ref="A50:G50"/>
    <mergeCell ref="A51:G51"/>
    <mergeCell ref="D52:E52"/>
    <mergeCell ref="D53:E53"/>
    <mergeCell ref="D54:E54"/>
    <mergeCell ref="D43:E43"/>
    <mergeCell ref="D44:E44"/>
    <mergeCell ref="D45:E45"/>
    <mergeCell ref="D46:E46"/>
    <mergeCell ref="D47:E47"/>
    <mergeCell ref="D48:E48"/>
    <mergeCell ref="A37:G37"/>
    <mergeCell ref="D38:E38"/>
    <mergeCell ref="D39:E39"/>
    <mergeCell ref="D40:E40"/>
    <mergeCell ref="A41:G41"/>
    <mergeCell ref="D42:E42"/>
    <mergeCell ref="D31:E31"/>
    <mergeCell ref="D32:E32"/>
    <mergeCell ref="D33:E33"/>
    <mergeCell ref="D34:E34"/>
    <mergeCell ref="D35:E35"/>
    <mergeCell ref="A36:G36"/>
    <mergeCell ref="D22:E22"/>
    <mergeCell ref="A23:E23"/>
    <mergeCell ref="A25:G25"/>
    <mergeCell ref="A28:G28"/>
    <mergeCell ref="D29:E29"/>
    <mergeCell ref="D19:E19"/>
    <mergeCell ref="D20:E20"/>
    <mergeCell ref="D21:E21"/>
    <mergeCell ref="A10:G10"/>
    <mergeCell ref="D11:E11"/>
    <mergeCell ref="A12:G12"/>
    <mergeCell ref="D13:E13"/>
    <mergeCell ref="D14:E14"/>
    <mergeCell ref="D15:E15"/>
    <mergeCell ref="A4:G4"/>
    <mergeCell ref="D5:E5"/>
    <mergeCell ref="A6:G6"/>
    <mergeCell ref="A7:G7"/>
    <mergeCell ref="D8:E8"/>
    <mergeCell ref="D9:E9"/>
    <mergeCell ref="D16:E16"/>
    <mergeCell ref="D17:E17"/>
    <mergeCell ref="A18:G18"/>
  </mergeCells>
  <conditionalFormatting sqref="C8:C9">
    <cfRule type="containsBlanks" dxfId="47" priority="13">
      <formula>LEN(TRIM(C8))=0</formula>
    </cfRule>
  </conditionalFormatting>
  <conditionalFormatting sqref="C11">
    <cfRule type="containsBlanks" dxfId="46" priority="1">
      <formula>LEN(TRIM(C11))=0</formula>
    </cfRule>
  </conditionalFormatting>
  <conditionalFormatting sqref="C13:C17">
    <cfRule type="containsBlanks" dxfId="45" priority="12">
      <formula>LEN(TRIM(C13))=0</formula>
    </cfRule>
  </conditionalFormatting>
  <conditionalFormatting sqref="C19:C22 C29 C31:C35 C42:C49 C52:C58 C100:C102">
    <cfRule type="containsBlanks" dxfId="44" priority="7">
      <formula>LEN(TRIM(C19))=0</formula>
    </cfRule>
  </conditionalFormatting>
  <conditionalFormatting sqref="C27">
    <cfRule type="containsBlanks" dxfId="43" priority="8">
      <formula>LEN(TRIM(C27))=0</formula>
    </cfRule>
  </conditionalFormatting>
  <conditionalFormatting sqref="C38:C40 C87:C92">
    <cfRule type="containsBlanks" dxfId="42" priority="9">
      <formula>LEN(TRIM(C38))=0</formula>
    </cfRule>
  </conditionalFormatting>
  <conditionalFormatting sqref="C61:C65">
    <cfRule type="containsBlanks" dxfId="41" priority="10">
      <formula>LEN(TRIM(C61))=0</formula>
    </cfRule>
  </conditionalFormatting>
  <conditionalFormatting sqref="C67:C68">
    <cfRule type="containsBlanks" dxfId="40" priority="11">
      <formula>LEN(TRIM(C67))=0</formula>
    </cfRule>
  </conditionalFormatting>
  <conditionalFormatting sqref="C71">
    <cfRule type="containsBlanks" dxfId="39" priority="6">
      <formula>LEN(TRIM(C71))=0</formula>
    </cfRule>
  </conditionalFormatting>
  <conditionalFormatting sqref="C73:C74">
    <cfRule type="containsBlanks" dxfId="38" priority="5">
      <formula>LEN(TRIM(C73))=0</formula>
    </cfRule>
  </conditionalFormatting>
  <conditionalFormatting sqref="C76">
    <cfRule type="containsBlanks" dxfId="37" priority="4">
      <formula>LEN(TRIM(C76))=0</formula>
    </cfRule>
  </conditionalFormatting>
  <conditionalFormatting sqref="C79:C85">
    <cfRule type="containsBlanks" dxfId="36" priority="3">
      <formula>LEN(TRIM(C79))=0</formula>
    </cfRule>
  </conditionalFormatting>
  <conditionalFormatting sqref="C96:C98">
    <cfRule type="containsBlanks" dxfId="35" priority="2">
      <formula>LEN(TRIM(C96))=0</formula>
    </cfRule>
  </conditionalFormatting>
  <conditionalFormatting sqref="C104:C110">
    <cfRule type="containsBlanks" dxfId="34" priority="14">
      <formula>LEN(TRIM(C104))=0</formula>
    </cfRule>
  </conditionalFormatting>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B70F3C-277E-4B7B-B692-7DD45B49E64C}">
  <sheetPr>
    <tabColor theme="7" tint="0.79998168889431442"/>
  </sheetPr>
  <dimension ref="A1:H22"/>
  <sheetViews>
    <sheetView workbookViewId="0">
      <selection activeCell="D10" sqref="D10"/>
    </sheetView>
  </sheetViews>
  <sheetFormatPr baseColWidth="10" defaultColWidth="11.453125" defaultRowHeight="14.5"/>
  <cols>
    <col min="2" max="2" width="35.36328125" customWidth="1"/>
    <col min="5" max="5" width="12.453125" bestFit="1" customWidth="1"/>
    <col min="6" max="6" width="20.08984375" customWidth="1"/>
  </cols>
  <sheetData>
    <row r="1" spans="1:8" ht="15" thickBot="1"/>
    <row r="2" spans="1:8" ht="15" customHeight="1">
      <c r="A2" s="1901" t="str">
        <f>+TRANSPORTES!B2</f>
        <v>OBJETO: MEJORAMIENTO Y ADECUACIÓN DE LAS VIAS URBANAS DEL MUNICIPIO DE SANTA FE DE ANTIOQUIA</v>
      </c>
      <c r="B2" s="1902"/>
      <c r="C2" s="1902"/>
      <c r="D2" s="1902"/>
      <c r="E2" s="1902"/>
      <c r="F2" s="1903"/>
    </row>
    <row r="3" spans="1:8">
      <c r="A3" s="1975"/>
      <c r="B3" s="1976"/>
      <c r="C3" s="1976"/>
      <c r="D3" s="1976"/>
      <c r="E3" s="1976"/>
      <c r="F3" s="1977"/>
    </row>
    <row r="4" spans="1:8">
      <c r="A4" s="1987" t="s">
        <v>452</v>
      </c>
      <c r="B4" s="1988"/>
      <c r="C4" s="1988"/>
      <c r="D4" s="1988"/>
      <c r="E4" s="1988"/>
      <c r="F4" s="1989"/>
      <c r="G4" s="527"/>
      <c r="H4" s="527"/>
    </row>
    <row r="5" spans="1:8">
      <c r="A5" s="1990" t="s">
        <v>453</v>
      </c>
      <c r="B5" s="1991"/>
      <c r="C5" s="1991"/>
      <c r="D5" s="1991"/>
      <c r="E5" s="1991"/>
      <c r="F5" s="1992"/>
      <c r="G5" s="527"/>
      <c r="H5" s="527"/>
    </row>
    <row r="6" spans="1:8">
      <c r="A6" s="528" t="s">
        <v>454</v>
      </c>
      <c r="B6" s="529" t="s">
        <v>455</v>
      </c>
      <c r="C6" s="529" t="s">
        <v>193</v>
      </c>
      <c r="D6" s="529" t="s">
        <v>4</v>
      </c>
      <c r="E6" s="529" t="s">
        <v>456</v>
      </c>
      <c r="F6" s="530" t="s">
        <v>457</v>
      </c>
      <c r="G6" s="527"/>
      <c r="H6" s="527"/>
    </row>
    <row r="7" spans="1:8">
      <c r="A7" s="531" t="s">
        <v>458</v>
      </c>
      <c r="B7" s="532"/>
      <c r="C7" s="532"/>
      <c r="D7" s="532"/>
      <c r="E7" s="532"/>
      <c r="F7" s="533"/>
      <c r="G7" s="534"/>
      <c r="H7" s="527"/>
    </row>
    <row r="8" spans="1:8" ht="25">
      <c r="A8" s="535">
        <v>1.1000000000000001</v>
      </c>
      <c r="B8" s="536" t="s">
        <v>459</v>
      </c>
      <c r="C8" s="537" t="s">
        <v>23</v>
      </c>
      <c r="D8" s="537">
        <v>4</v>
      </c>
      <c r="E8" s="538">
        <v>384036.43599999999</v>
      </c>
      <c r="F8" s="539">
        <f>+ROUND(E8*D8,0)</f>
        <v>1536146</v>
      </c>
      <c r="G8" s="540"/>
      <c r="H8" s="527"/>
    </row>
    <row r="9" spans="1:8">
      <c r="A9" s="531" t="s">
        <v>460</v>
      </c>
      <c r="B9" s="541"/>
      <c r="C9" s="542"/>
      <c r="D9" s="542"/>
      <c r="E9" s="543"/>
      <c r="F9" s="544"/>
      <c r="G9" s="527"/>
      <c r="H9" s="527"/>
    </row>
    <row r="10" spans="1:8" ht="25">
      <c r="A10" s="535">
        <v>2.2000000000000002</v>
      </c>
      <c r="B10" s="536" t="s">
        <v>461</v>
      </c>
      <c r="C10" s="537" t="s">
        <v>23</v>
      </c>
      <c r="D10" s="537">
        <v>3</v>
      </c>
      <c r="E10" s="538">
        <v>582981</v>
      </c>
      <c r="F10" s="539">
        <f t="shared" ref="F10:F16" si="0">+E10*D10</f>
        <v>1748943</v>
      </c>
      <c r="G10" s="540"/>
      <c r="H10" s="527"/>
    </row>
    <row r="11" spans="1:8" ht="25">
      <c r="A11" s="535">
        <v>2.2999999999999998</v>
      </c>
      <c r="B11" s="536" t="s">
        <v>462</v>
      </c>
      <c r="C11" s="537" t="s">
        <v>23</v>
      </c>
      <c r="D11" s="537">
        <v>3</v>
      </c>
      <c r="E11" s="538">
        <v>506821</v>
      </c>
      <c r="F11" s="539">
        <f t="shared" si="0"/>
        <v>1520463</v>
      </c>
      <c r="G11" s="540"/>
      <c r="H11" s="527"/>
    </row>
    <row r="12" spans="1:8" ht="25">
      <c r="A12" s="535">
        <v>2.4</v>
      </c>
      <c r="B12" s="536" t="s">
        <v>463</v>
      </c>
      <c r="C12" s="537" t="s">
        <v>23</v>
      </c>
      <c r="D12" s="537">
        <v>6</v>
      </c>
      <c r="E12" s="538">
        <v>68510</v>
      </c>
      <c r="F12" s="539">
        <f t="shared" si="0"/>
        <v>411060</v>
      </c>
      <c r="G12" s="540"/>
      <c r="H12" s="527"/>
    </row>
    <row r="13" spans="1:8">
      <c r="A13" s="535">
        <v>2.6</v>
      </c>
      <c r="B13" s="536" t="s">
        <v>464</v>
      </c>
      <c r="C13" s="537" t="s">
        <v>23</v>
      </c>
      <c r="D13" s="537">
        <v>2</v>
      </c>
      <c r="E13" s="538">
        <v>104600</v>
      </c>
      <c r="F13" s="539">
        <f t="shared" si="0"/>
        <v>209200</v>
      </c>
      <c r="G13" s="540"/>
      <c r="H13" s="527"/>
    </row>
    <row r="14" spans="1:8" ht="25">
      <c r="A14" s="535">
        <v>2.7</v>
      </c>
      <c r="B14" s="536" t="s">
        <v>465</v>
      </c>
      <c r="C14" s="537" t="s">
        <v>23</v>
      </c>
      <c r="D14" s="537">
        <v>0</v>
      </c>
      <c r="E14" s="538">
        <v>157383.33333333334</v>
      </c>
      <c r="F14" s="539">
        <f t="shared" si="0"/>
        <v>0</v>
      </c>
      <c r="G14" s="540"/>
      <c r="H14" s="527"/>
    </row>
    <row r="15" spans="1:8">
      <c r="A15" s="535">
        <v>2.8</v>
      </c>
      <c r="B15" s="545" t="s">
        <v>466</v>
      </c>
      <c r="C15" s="537" t="s">
        <v>23</v>
      </c>
      <c r="D15" s="537">
        <v>0</v>
      </c>
      <c r="E15" s="538">
        <v>42113</v>
      </c>
      <c r="F15" s="539">
        <f t="shared" si="0"/>
        <v>0</v>
      </c>
      <c r="G15" s="540"/>
      <c r="H15" s="527"/>
    </row>
    <row r="16" spans="1:8" ht="25">
      <c r="A16" s="535">
        <v>2.9</v>
      </c>
      <c r="B16" s="545" t="s">
        <v>467</v>
      </c>
      <c r="C16" s="537" t="s">
        <v>23</v>
      </c>
      <c r="D16" s="537">
        <v>1</v>
      </c>
      <c r="E16" s="538">
        <v>34039</v>
      </c>
      <c r="F16" s="539">
        <f t="shared" si="0"/>
        <v>34039</v>
      </c>
      <c r="G16" s="540"/>
      <c r="H16" s="527"/>
    </row>
    <row r="17" spans="1:8">
      <c r="A17" s="531" t="s">
        <v>468</v>
      </c>
      <c r="B17" s="546"/>
      <c r="C17" s="547"/>
      <c r="D17" s="547"/>
      <c r="E17" s="548"/>
      <c r="F17" s="549"/>
      <c r="G17" s="527"/>
      <c r="H17" s="527"/>
    </row>
    <row r="18" spans="1:8">
      <c r="A18" s="535">
        <v>3.1</v>
      </c>
      <c r="B18" s="536" t="s">
        <v>469</v>
      </c>
      <c r="C18" s="537" t="s">
        <v>23</v>
      </c>
      <c r="D18" s="537">
        <v>0</v>
      </c>
      <c r="E18" s="538">
        <v>34385</v>
      </c>
      <c r="F18" s="539">
        <f>+E18*D18</f>
        <v>0</v>
      </c>
      <c r="G18" s="540"/>
      <c r="H18" s="527"/>
    </row>
    <row r="19" spans="1:8">
      <c r="A19" s="550">
        <v>3.2</v>
      </c>
      <c r="B19" s="551" t="s">
        <v>470</v>
      </c>
      <c r="C19" s="552" t="s">
        <v>471</v>
      </c>
      <c r="D19" s="537">
        <v>0</v>
      </c>
      <c r="E19" s="553">
        <v>55000</v>
      </c>
      <c r="F19" s="539">
        <f>+E19*D19</f>
        <v>0</v>
      </c>
      <c r="G19" s="563">
        <f ca="1">+FM!D44</f>
        <v>2.0699999999999998</v>
      </c>
      <c r="H19" s="527" t="s">
        <v>444</v>
      </c>
    </row>
    <row r="20" spans="1:8" ht="15" thickBot="1">
      <c r="A20" s="554">
        <v>3.2</v>
      </c>
      <c r="B20" s="555" t="s">
        <v>472</v>
      </c>
      <c r="C20" s="556" t="s">
        <v>23</v>
      </c>
      <c r="D20" s="556">
        <v>0</v>
      </c>
      <c r="E20" s="564">
        <f ca="1">'PERSONAL PROFESIONAL-TECNICO'!D22*G19*G20</f>
        <v>10078829.999999998</v>
      </c>
      <c r="F20" s="557">
        <f ca="1">+E20*D20</f>
        <v>0</v>
      </c>
      <c r="G20" s="563">
        <v>3</v>
      </c>
      <c r="H20" s="527" t="s">
        <v>473</v>
      </c>
    </row>
    <row r="21" spans="1:8" ht="15" thickBot="1">
      <c r="A21" s="558"/>
      <c r="B21" s="559"/>
      <c r="C21" s="558"/>
      <c r="D21" s="558"/>
      <c r="E21" s="560"/>
      <c r="F21" s="561"/>
      <c r="G21" s="527"/>
      <c r="H21" s="527"/>
    </row>
    <row r="22" spans="1:8" ht="15" thickBot="1">
      <c r="A22" s="558"/>
      <c r="B22" s="559"/>
      <c r="C22" s="558"/>
      <c r="D22" s="1993" t="s">
        <v>474</v>
      </c>
      <c r="E22" s="1994"/>
      <c r="F22" s="562">
        <f ca="1">ROUND(SUM(F8:F21),0)</f>
        <v>5459851</v>
      </c>
      <c r="G22" s="527"/>
      <c r="H22" s="527"/>
    </row>
  </sheetData>
  <mergeCells count="4">
    <mergeCell ref="A4:F4"/>
    <mergeCell ref="A5:F5"/>
    <mergeCell ref="D22:E22"/>
    <mergeCell ref="A2:F3"/>
  </mergeCells>
  <conditionalFormatting sqref="D8">
    <cfRule type="containsBlanks" dxfId="33" priority="4">
      <formula>LEN(TRIM(D8))=0</formula>
    </cfRule>
  </conditionalFormatting>
  <conditionalFormatting sqref="D10:D16">
    <cfRule type="containsBlanks" dxfId="32" priority="2">
      <formula>LEN(TRIM(D10))=0</formula>
    </cfRule>
  </conditionalFormatting>
  <conditionalFormatting sqref="D18:D20">
    <cfRule type="containsBlanks" dxfId="31" priority="1">
      <formula>LEN(TRIM(D18))=0</formula>
    </cfRule>
  </conditionalFormatting>
  <conditionalFormatting sqref="G19:G20">
    <cfRule type="containsBlanks" dxfId="30" priority="3">
      <formula>LEN(TRIM(G19))=0</formula>
    </cfRule>
  </conditionalFormatting>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96B530-907A-40BE-94A3-E25BEA374458}">
  <sheetPr>
    <tabColor theme="7" tint="0.79998168889431442"/>
  </sheetPr>
  <dimension ref="B1:AH51"/>
  <sheetViews>
    <sheetView topLeftCell="B1" zoomScale="80" zoomScaleNormal="80" workbookViewId="0">
      <selection activeCell="B22" sqref="B22:F22"/>
    </sheetView>
  </sheetViews>
  <sheetFormatPr baseColWidth="10" defaultColWidth="11.453125" defaultRowHeight="14.5"/>
  <cols>
    <col min="2" max="12" width="26.6328125" customWidth="1"/>
    <col min="13" max="13" width="30.36328125" customWidth="1"/>
    <col min="14" max="28" width="26.6328125" customWidth="1"/>
  </cols>
  <sheetData>
    <row r="1" spans="2:34">
      <c r="B1" s="1792" t="str">
        <f>+PRESUPUESTO!A2</f>
        <v>OBJETO: MEJORAMIENTO Y ADECUACIÓN DE LAS VIAS URBANAS DEL MUNICIPIO DE SANTA FE DE ANTIOQUIA</v>
      </c>
      <c r="C1" s="1996"/>
      <c r="D1" s="1996"/>
      <c r="E1" s="1996"/>
      <c r="F1" s="1996"/>
      <c r="G1" s="1997"/>
    </row>
    <row r="2" spans="2:34">
      <c r="B2" s="1998"/>
      <c r="C2" s="1999"/>
      <c r="D2" s="1999"/>
      <c r="E2" s="1999"/>
      <c r="F2" s="1999"/>
      <c r="G2" s="2000"/>
    </row>
    <row r="3" spans="2:34">
      <c r="B3" s="1789" t="s">
        <v>475</v>
      </c>
      <c r="C3" s="1790"/>
      <c r="D3" s="1790"/>
      <c r="E3" s="1790"/>
      <c r="F3" s="1790"/>
      <c r="G3" s="1791"/>
    </row>
    <row r="4" spans="2:34">
      <c r="B4" s="957"/>
      <c r="C4" s="955"/>
      <c r="D4" s="954"/>
      <c r="E4" s="954"/>
      <c r="G4" s="630"/>
    </row>
    <row r="5" spans="2:34" ht="36.75" customHeight="1">
      <c r="B5" s="958" t="s">
        <v>476</v>
      </c>
      <c r="C5" s="827">
        <f ca="1">'LEGALIZACION OBRA'!B5</f>
        <v>302480679</v>
      </c>
      <c r="D5" s="959"/>
      <c r="E5" s="960"/>
      <c r="F5" s="961"/>
      <c r="G5" s="962"/>
      <c r="H5" s="828"/>
      <c r="I5" s="828"/>
      <c r="J5" s="828"/>
      <c r="K5" s="828"/>
      <c r="L5" s="828"/>
      <c r="M5" s="828"/>
      <c r="N5" s="828"/>
      <c r="O5" s="828"/>
      <c r="P5" s="828"/>
      <c r="Q5" s="828"/>
      <c r="R5" s="828"/>
      <c r="S5" s="828"/>
      <c r="T5" s="828"/>
      <c r="U5" s="828"/>
      <c r="V5" s="828"/>
      <c r="W5" s="828"/>
      <c r="X5" s="828"/>
      <c r="Y5" s="828"/>
      <c r="Z5" s="828"/>
      <c r="AA5" s="828"/>
      <c r="AB5" s="828"/>
      <c r="AC5" s="828"/>
      <c r="AD5" s="828"/>
      <c r="AE5" s="828"/>
      <c r="AF5" s="828"/>
      <c r="AG5" s="828"/>
      <c r="AH5" s="828"/>
    </row>
    <row r="6" spans="2:34">
      <c r="B6" s="958" t="s">
        <v>477</v>
      </c>
      <c r="C6" s="829">
        <f>+E6*30</f>
        <v>45</v>
      </c>
      <c r="D6" s="963"/>
      <c r="E6" s="830">
        <f>+AU!L11</f>
        <v>1.5</v>
      </c>
      <c r="F6" s="831" t="s">
        <v>478</v>
      </c>
      <c r="G6" s="964"/>
      <c r="H6" s="828"/>
      <c r="I6" s="828"/>
      <c r="J6" s="828"/>
      <c r="K6" s="828"/>
      <c r="L6" s="828"/>
      <c r="M6" s="828"/>
      <c r="N6" s="828"/>
      <c r="O6" s="828"/>
      <c r="P6" s="828"/>
      <c r="Q6" s="828"/>
      <c r="R6" s="828"/>
      <c r="S6" s="828"/>
      <c r="T6" s="828"/>
      <c r="U6" s="828"/>
      <c r="V6" s="828"/>
      <c r="W6" s="828"/>
      <c r="X6" s="828"/>
      <c r="Y6" s="828"/>
      <c r="Z6" s="828"/>
      <c r="AA6" s="828"/>
      <c r="AB6" s="828"/>
      <c r="AC6" s="828"/>
      <c r="AD6" s="828"/>
      <c r="AE6" s="828"/>
      <c r="AF6" s="828"/>
      <c r="AG6" s="828"/>
      <c r="AH6" s="828"/>
    </row>
    <row r="7" spans="2:34">
      <c r="B7" s="965" t="s">
        <v>479</v>
      </c>
      <c r="C7" s="832"/>
      <c r="D7" s="966" t="s">
        <v>480</v>
      </c>
      <c r="E7" s="833">
        <f ca="1">+C5*C7</f>
        <v>0</v>
      </c>
      <c r="F7" s="831" t="s">
        <v>481</v>
      </c>
      <c r="G7" s="967"/>
      <c r="H7" s="828"/>
      <c r="I7" s="828"/>
      <c r="J7" s="828"/>
      <c r="K7" s="828"/>
      <c r="L7" s="828"/>
      <c r="M7" s="828"/>
      <c r="N7" s="828"/>
      <c r="O7" s="828"/>
      <c r="P7" s="828"/>
      <c r="Q7" s="828"/>
      <c r="R7" s="828"/>
      <c r="S7" s="828"/>
      <c r="T7" s="828"/>
      <c r="U7" s="828"/>
      <c r="V7" s="828"/>
      <c r="W7" s="828"/>
      <c r="X7" s="828"/>
      <c r="Y7" s="828"/>
      <c r="Z7" s="828"/>
      <c r="AA7" s="828"/>
      <c r="AB7" s="828"/>
      <c r="AC7" s="828"/>
      <c r="AD7" s="828"/>
      <c r="AE7" s="828"/>
      <c r="AF7" s="828"/>
      <c r="AG7" s="828"/>
      <c r="AH7" s="828"/>
    </row>
    <row r="8" spans="2:34">
      <c r="B8" s="968"/>
      <c r="C8" s="969"/>
      <c r="D8" s="969"/>
      <c r="E8" s="970"/>
      <c r="F8" s="971"/>
      <c r="G8" s="967"/>
      <c r="H8" s="828"/>
      <c r="I8" s="828"/>
      <c r="J8" s="828"/>
      <c r="K8" s="828"/>
      <c r="L8" s="828"/>
      <c r="M8" s="828"/>
      <c r="N8" s="828"/>
      <c r="O8" s="828"/>
      <c r="P8" s="828"/>
      <c r="Q8" s="828"/>
      <c r="R8" s="828"/>
      <c r="S8" s="828"/>
      <c r="T8" s="828"/>
      <c r="U8" s="828"/>
      <c r="V8" s="828"/>
      <c r="W8" s="828"/>
      <c r="X8" s="828"/>
      <c r="Y8" s="828"/>
      <c r="Z8" s="828"/>
      <c r="AA8" s="828"/>
      <c r="AB8" s="828"/>
      <c r="AC8" s="828"/>
      <c r="AD8" s="828"/>
      <c r="AE8" s="828"/>
      <c r="AF8" s="828"/>
      <c r="AG8" s="828"/>
      <c r="AH8" s="828"/>
    </row>
    <row r="9" spans="2:34">
      <c r="B9" s="972"/>
      <c r="C9" s="970"/>
      <c r="D9" s="970"/>
      <c r="E9" s="970"/>
      <c r="F9" s="971"/>
      <c r="G9" s="967"/>
      <c r="H9" s="828"/>
      <c r="I9" s="828"/>
      <c r="J9" s="828"/>
      <c r="K9" s="828"/>
      <c r="L9" s="828"/>
      <c r="M9" s="828"/>
      <c r="N9" s="828"/>
      <c r="O9" s="828"/>
      <c r="P9" s="828"/>
      <c r="Q9" s="828"/>
      <c r="R9" s="828"/>
      <c r="S9" s="828"/>
      <c r="T9" s="828"/>
      <c r="U9" s="828"/>
      <c r="V9" s="828"/>
      <c r="W9" s="828"/>
      <c r="X9" s="828"/>
      <c r="Y9" s="828"/>
      <c r="Z9" s="828"/>
      <c r="AA9" s="828"/>
      <c r="AB9" s="828"/>
      <c r="AC9" s="828"/>
      <c r="AD9" s="828"/>
      <c r="AE9" s="828"/>
      <c r="AF9" s="828"/>
      <c r="AG9" s="828"/>
      <c r="AH9" s="828"/>
    </row>
    <row r="10" spans="2:34">
      <c r="B10" s="2001" t="s">
        <v>482</v>
      </c>
      <c r="C10" s="2002" t="s">
        <v>483</v>
      </c>
      <c r="D10" s="2002"/>
      <c r="E10" s="2002" t="s">
        <v>484</v>
      </c>
      <c r="F10" s="2003" t="s">
        <v>485</v>
      </c>
      <c r="G10" s="2004" t="s">
        <v>486</v>
      </c>
      <c r="H10" s="828"/>
      <c r="I10" s="828"/>
      <c r="J10" s="828"/>
      <c r="K10" s="828"/>
      <c r="L10" s="828"/>
      <c r="M10" s="828"/>
      <c r="N10" s="828"/>
      <c r="O10" s="828"/>
      <c r="P10" s="828"/>
      <c r="Q10" s="828"/>
      <c r="R10" s="828"/>
      <c r="S10" s="828"/>
      <c r="T10" s="828"/>
      <c r="U10" s="828"/>
      <c r="V10" s="828"/>
      <c r="W10" s="828"/>
      <c r="X10" s="828"/>
      <c r="Y10" s="828"/>
      <c r="Z10" s="828"/>
      <c r="AA10" s="828"/>
      <c r="AB10" s="828"/>
      <c r="AC10" s="828"/>
      <c r="AD10" s="828"/>
      <c r="AE10" s="828"/>
      <c r="AF10" s="828"/>
      <c r="AG10" s="828"/>
      <c r="AH10" s="828"/>
    </row>
    <row r="11" spans="2:34">
      <c r="B11" s="2001"/>
      <c r="C11" s="834" t="s">
        <v>487</v>
      </c>
      <c r="D11" s="835" t="s">
        <v>488</v>
      </c>
      <c r="E11" s="2002"/>
      <c r="F11" s="2003"/>
      <c r="G11" s="2004"/>
      <c r="H11" s="828"/>
      <c r="I11" s="828"/>
      <c r="J11" s="828"/>
      <c r="K11" s="828"/>
      <c r="L11" s="828"/>
      <c r="M11" s="828"/>
      <c r="N11" s="828"/>
      <c r="O11" s="828"/>
      <c r="P11" s="828"/>
      <c r="Q11" s="828"/>
      <c r="R11" s="828"/>
      <c r="S11" s="828"/>
      <c r="T11" s="828"/>
      <c r="U11" s="828"/>
      <c r="V11" s="828"/>
      <c r="W11" s="828"/>
      <c r="X11" s="828"/>
      <c r="Y11" s="828"/>
      <c r="Z11" s="828"/>
      <c r="AA11" s="828"/>
      <c r="AB11" s="828"/>
      <c r="AC11" s="828"/>
      <c r="AD11" s="828"/>
      <c r="AE11" s="828"/>
      <c r="AF11" s="828"/>
      <c r="AG11" s="828"/>
      <c r="AH11" s="828"/>
    </row>
    <row r="12" spans="2:34">
      <c r="B12" s="973" t="s">
        <v>489</v>
      </c>
      <c r="C12" s="836">
        <v>0.2</v>
      </c>
      <c r="D12" s="837">
        <f ca="1">C5*C12</f>
        <v>60496135.800000004</v>
      </c>
      <c r="E12" s="838">
        <f>IF(C6=0,0,C6+(6*30))</f>
        <v>225</v>
      </c>
      <c r="F12" s="839">
        <v>3.0000000000000001E-3</v>
      </c>
      <c r="G12" s="974">
        <f ca="1">ROUND((D12*F12)/360*E12,0)</f>
        <v>113430</v>
      </c>
      <c r="H12" s="956"/>
      <c r="I12" s="1995" t="s">
        <v>490</v>
      </c>
      <c r="J12" s="840"/>
      <c r="K12" s="828"/>
      <c r="L12" s="828"/>
      <c r="M12" s="828"/>
      <c r="N12" s="828"/>
      <c r="O12" s="828"/>
      <c r="P12" s="828"/>
      <c r="Q12" s="828"/>
      <c r="R12" s="828"/>
      <c r="S12" s="828"/>
      <c r="T12" s="828"/>
      <c r="U12" s="828"/>
      <c r="V12" s="828"/>
      <c r="W12" s="828"/>
      <c r="X12" s="828"/>
      <c r="Y12" s="828"/>
      <c r="Z12" s="828"/>
      <c r="AA12" s="828"/>
      <c r="AB12" s="828"/>
      <c r="AC12" s="828"/>
      <c r="AD12" s="828"/>
      <c r="AE12" s="828"/>
      <c r="AF12" s="828"/>
      <c r="AG12" s="828"/>
      <c r="AH12" s="828"/>
    </row>
    <row r="13" spans="2:34" ht="27">
      <c r="B13" s="975" t="s">
        <v>491</v>
      </c>
      <c r="C13" s="836">
        <v>1</v>
      </c>
      <c r="D13" s="837">
        <f ca="1">C5*C7</f>
        <v>0</v>
      </c>
      <c r="E13" s="841">
        <f>IF(C6=0,0,C6+(6*30))</f>
        <v>225</v>
      </c>
      <c r="F13" s="839">
        <v>3.0000000000000001E-3</v>
      </c>
      <c r="G13" s="974">
        <f ca="1">ROUND((D13*F13)/360*E13,0)</f>
        <v>0</v>
      </c>
      <c r="H13" s="956"/>
      <c r="I13" s="1995"/>
      <c r="J13" s="840"/>
      <c r="K13" s="828"/>
      <c r="L13" s="828"/>
      <c r="M13" s="828"/>
      <c r="N13" s="828"/>
      <c r="O13" s="828"/>
      <c r="P13" s="828"/>
      <c r="Q13" s="828"/>
      <c r="R13" s="828"/>
      <c r="S13" s="828"/>
      <c r="T13" s="828"/>
      <c r="U13" s="828"/>
      <c r="V13" s="828"/>
      <c r="W13" s="828"/>
      <c r="X13" s="828"/>
      <c r="Y13" s="828"/>
      <c r="Z13" s="828"/>
      <c r="AA13" s="828"/>
      <c r="AB13" s="828"/>
      <c r="AC13" s="828"/>
      <c r="AD13" s="828"/>
      <c r="AE13" s="828"/>
      <c r="AF13" s="828"/>
      <c r="AG13" s="828"/>
      <c r="AH13" s="828"/>
    </row>
    <row r="14" spans="2:34" ht="27">
      <c r="B14" s="975" t="s">
        <v>492</v>
      </c>
      <c r="C14" s="832">
        <f ca="1">+IF(L34&lt;5%,5%,ROUNDUP(L34,2))</f>
        <v>0.05</v>
      </c>
      <c r="D14" s="837">
        <f ca="1">$C$5*C14</f>
        <v>15124033.950000001</v>
      </c>
      <c r="E14" s="841">
        <f>IF(C6=0,0,C6+(3*360))</f>
        <v>1125</v>
      </c>
      <c r="F14" s="839">
        <v>2.5000000000000001E-3</v>
      </c>
      <c r="G14" s="974">
        <f ca="1">ROUND((D14*F14)/360*E14,0)</f>
        <v>118157</v>
      </c>
      <c r="H14" s="956"/>
      <c r="I14" s="1995"/>
      <c r="J14" s="840"/>
      <c r="K14" s="828"/>
      <c r="L14" s="828"/>
      <c r="M14" s="828"/>
      <c r="N14" s="828"/>
      <c r="O14" s="828"/>
      <c r="P14" s="828"/>
      <c r="Q14" s="828"/>
      <c r="R14" s="828"/>
      <c r="S14" s="828"/>
      <c r="T14" s="828"/>
      <c r="U14" s="828"/>
      <c r="V14" s="828"/>
      <c r="W14" s="828"/>
      <c r="X14" s="828"/>
      <c r="Y14" s="828"/>
      <c r="Z14" s="828"/>
      <c r="AA14" s="828"/>
      <c r="AB14" s="828"/>
      <c r="AC14" s="828"/>
      <c r="AD14" s="828"/>
      <c r="AE14" s="828"/>
      <c r="AF14" s="828"/>
      <c r="AG14" s="828"/>
      <c r="AH14" s="828"/>
    </row>
    <row r="15" spans="2:34" ht="27">
      <c r="B15" s="975" t="s">
        <v>493</v>
      </c>
      <c r="C15" s="836">
        <v>0.2</v>
      </c>
      <c r="D15" s="837">
        <f ca="1">$C$5*C15</f>
        <v>60496135.800000004</v>
      </c>
      <c r="E15" s="841">
        <f>IF(C6=0,0,(5*360))</f>
        <v>1800</v>
      </c>
      <c r="F15" s="839">
        <v>2.9810000000000001E-3</v>
      </c>
      <c r="G15" s="974">
        <f ca="1">(D15*E15*F15)/360</f>
        <v>901694.90409900015</v>
      </c>
      <c r="H15" s="1397"/>
      <c r="I15" s="1995"/>
      <c r="J15" s="840"/>
      <c r="K15" s="828"/>
      <c r="L15" s="828"/>
      <c r="M15" s="828"/>
      <c r="N15" s="828"/>
      <c r="O15" s="828"/>
      <c r="P15" s="828"/>
      <c r="Q15" s="828"/>
      <c r="R15" s="828"/>
      <c r="S15" s="828"/>
      <c r="T15" s="828"/>
      <c r="U15" s="828"/>
      <c r="V15" s="828"/>
      <c r="W15" s="828"/>
      <c r="X15" s="828"/>
      <c r="Y15" s="828"/>
      <c r="Z15" s="828"/>
      <c r="AA15" s="828"/>
      <c r="AB15" s="828"/>
      <c r="AC15" s="828"/>
      <c r="AD15" s="828"/>
      <c r="AE15" s="828"/>
      <c r="AF15" s="828"/>
      <c r="AG15" s="828"/>
      <c r="AH15" s="828"/>
    </row>
    <row r="16" spans="2:34">
      <c r="B16" s="975" t="s">
        <v>494</v>
      </c>
      <c r="C16" s="836"/>
      <c r="D16" s="837">
        <f ca="1">$C$5*C16</f>
        <v>0</v>
      </c>
      <c r="E16" s="841">
        <f>IF(C6=0,0,5*360)</f>
        <v>1800</v>
      </c>
      <c r="F16" s="839">
        <v>3.0000000000000001E-3</v>
      </c>
      <c r="G16" s="974">
        <f ca="1">(D16*F16)/360*E16</f>
        <v>0</v>
      </c>
      <c r="H16" s="956"/>
      <c r="I16" s="1995"/>
      <c r="J16" s="840"/>
      <c r="K16" s="828"/>
      <c r="L16" s="828"/>
      <c r="M16" s="828"/>
      <c r="N16" s="828"/>
      <c r="O16" s="828"/>
      <c r="P16" s="828"/>
      <c r="Q16" s="828"/>
      <c r="R16" s="828"/>
      <c r="S16" s="828"/>
      <c r="T16" s="828"/>
      <c r="U16" s="828"/>
      <c r="V16" s="828"/>
      <c r="W16" s="828"/>
      <c r="X16" s="828"/>
      <c r="Y16" s="828"/>
      <c r="Z16" s="828"/>
      <c r="AA16" s="828"/>
      <c r="AB16" s="828"/>
      <c r="AC16" s="828"/>
      <c r="AD16" s="828"/>
      <c r="AE16" s="828"/>
      <c r="AF16" s="828"/>
      <c r="AG16" s="828"/>
      <c r="AH16" s="828"/>
    </row>
    <row r="17" spans="2:34" ht="27">
      <c r="B17" s="976" t="s">
        <v>495</v>
      </c>
      <c r="C17" s="842" t="s">
        <v>496</v>
      </c>
      <c r="D17" s="842" t="s">
        <v>497</v>
      </c>
      <c r="E17" s="843" t="s">
        <v>498</v>
      </c>
      <c r="F17" s="844" t="s">
        <v>499</v>
      </c>
      <c r="G17" s="977" t="s">
        <v>486</v>
      </c>
      <c r="H17" s="845">
        <v>5470337</v>
      </c>
      <c r="I17" s="828"/>
      <c r="J17" s="828"/>
      <c r="K17" s="828"/>
      <c r="L17" s="828"/>
      <c r="M17" s="828"/>
      <c r="N17" s="828"/>
      <c r="O17" s="828"/>
      <c r="P17" s="828"/>
      <c r="Q17" s="828"/>
      <c r="R17" s="828"/>
      <c r="S17" s="828"/>
      <c r="T17" s="828"/>
      <c r="U17" s="828"/>
      <c r="V17" s="828"/>
      <c r="W17" s="828"/>
      <c r="X17" s="828"/>
      <c r="Y17" s="828"/>
      <c r="Z17" s="828"/>
      <c r="AA17" s="828"/>
      <c r="AB17" s="828"/>
      <c r="AC17" s="828"/>
      <c r="AD17" s="828"/>
      <c r="AE17" s="828"/>
      <c r="AF17" s="828"/>
      <c r="AG17" s="828"/>
      <c r="AH17" s="828"/>
    </row>
    <row r="18" spans="2:34">
      <c r="B18" s="978">
        <f ca="1">IF(C5=0,"",IF(I28&lt;1500,200,IF(I28&lt;2500,300,IF(I28&lt;5000,400,IF(I28&lt;10000,500,IF(I28&gt;10000,0.05))))))</f>
        <v>200</v>
      </c>
      <c r="C18" s="846">
        <f>+'FP ADTIVO'!C3</f>
        <v>1423500</v>
      </c>
      <c r="D18" s="837">
        <f ca="1">IFERROR(IF(B18&lt;200,B18*C5,C18*B18),0)</f>
        <v>284700000</v>
      </c>
      <c r="E18" s="847">
        <f>+E6</f>
        <v>1.5</v>
      </c>
      <c r="F18" s="839">
        <v>3.0000000000000001E-3</v>
      </c>
      <c r="G18" s="974">
        <f ca="1">ROUND(F18*(E18/12*D18),0)</f>
        <v>106763</v>
      </c>
      <c r="H18" s="828"/>
      <c r="I18" s="828"/>
      <c r="J18" s="828"/>
      <c r="K18" s="828"/>
      <c r="L18" s="828"/>
      <c r="M18" s="828"/>
      <c r="N18" s="828"/>
      <c r="O18" s="828"/>
      <c r="P18" s="828"/>
      <c r="Q18" s="828"/>
      <c r="R18" s="828"/>
      <c r="S18" s="828"/>
      <c r="T18" s="828"/>
      <c r="U18" s="828"/>
      <c r="V18" s="828"/>
      <c r="W18" s="828"/>
      <c r="X18" s="828"/>
      <c r="Y18" s="828"/>
      <c r="Z18" s="828"/>
      <c r="AA18" s="828"/>
      <c r="AB18" s="828"/>
      <c r="AC18" s="828"/>
      <c r="AD18" s="828"/>
      <c r="AE18" s="828"/>
      <c r="AF18" s="828"/>
      <c r="AG18" s="828"/>
      <c r="AH18" s="828"/>
    </row>
    <row r="19" spans="2:34">
      <c r="B19" s="2001" t="s">
        <v>500</v>
      </c>
      <c r="C19" s="2005"/>
      <c r="D19" s="2005"/>
      <c r="E19" s="2005"/>
      <c r="F19" s="2005"/>
      <c r="G19" s="979">
        <f ca="1">SUM(G12:G18)</f>
        <v>1240044.9040990002</v>
      </c>
      <c r="H19" s="828"/>
      <c r="I19" s="828"/>
      <c r="J19" s="828"/>
      <c r="K19" s="828"/>
      <c r="L19" s="828"/>
      <c r="M19" s="828"/>
      <c r="N19" s="828"/>
      <c r="O19" s="828"/>
      <c r="P19" s="828"/>
      <c r="Q19" s="828"/>
      <c r="R19" s="828"/>
      <c r="S19" s="828"/>
      <c r="T19" s="828"/>
      <c r="U19" s="828"/>
      <c r="V19" s="828"/>
      <c r="W19" s="828"/>
      <c r="X19" s="828"/>
      <c r="Y19" s="828"/>
      <c r="Z19" s="828"/>
      <c r="AA19" s="828"/>
      <c r="AB19" s="828"/>
      <c r="AC19" s="828"/>
      <c r="AD19" s="828"/>
      <c r="AE19" s="828"/>
      <c r="AF19" s="828"/>
      <c r="AG19" s="828"/>
      <c r="AH19" s="828"/>
    </row>
    <row r="20" spans="2:34">
      <c r="B20" s="2001" t="s">
        <v>501</v>
      </c>
      <c r="C20" s="2005"/>
      <c r="D20" s="2005"/>
      <c r="E20" s="2005"/>
      <c r="F20" s="2005"/>
      <c r="G20" s="974">
        <f ca="1">+IF(C5=0,0,8180)</f>
        <v>8180</v>
      </c>
      <c r="H20" s="828"/>
      <c r="I20" s="828"/>
      <c r="J20" s="828"/>
      <c r="K20" s="828"/>
      <c r="L20" s="828"/>
      <c r="M20" s="828"/>
      <c r="N20" s="828"/>
      <c r="O20" s="828"/>
      <c r="P20" s="828"/>
      <c r="Q20" s="828"/>
      <c r="R20" s="828"/>
      <c r="S20" s="828"/>
      <c r="T20" s="828"/>
      <c r="U20" s="828"/>
      <c r="V20" s="828"/>
      <c r="W20" s="828"/>
      <c r="X20" s="828"/>
      <c r="Y20" s="828"/>
      <c r="Z20" s="828"/>
      <c r="AA20" s="828"/>
      <c r="AB20" s="828"/>
      <c r="AC20" s="828"/>
      <c r="AD20" s="828"/>
      <c r="AE20" s="828"/>
      <c r="AF20" s="828"/>
      <c r="AG20" s="828"/>
      <c r="AH20" s="828"/>
    </row>
    <row r="21" spans="2:34">
      <c r="B21" s="2001" t="s">
        <v>502</v>
      </c>
      <c r="C21" s="2005"/>
      <c r="D21" s="2005"/>
      <c r="E21" s="2005"/>
      <c r="F21" s="2005"/>
      <c r="G21" s="974">
        <f ca="1">ROUND(IFERROR((G19+G20)*19%,0),0)</f>
        <v>237163</v>
      </c>
      <c r="H21" s="828"/>
      <c r="I21" s="828"/>
      <c r="J21" s="828"/>
      <c r="K21" s="828"/>
      <c r="L21" s="828"/>
      <c r="M21" s="828"/>
      <c r="N21" s="828"/>
      <c r="O21" s="828"/>
      <c r="P21" s="828"/>
      <c r="Q21" s="828"/>
      <c r="R21" s="828"/>
      <c r="S21" s="828"/>
      <c r="T21" s="828"/>
      <c r="U21" s="828"/>
      <c r="V21" s="828"/>
      <c r="W21" s="828"/>
      <c r="X21" s="828"/>
      <c r="Y21" s="828"/>
      <c r="Z21" s="828"/>
      <c r="AA21" s="828"/>
      <c r="AB21" s="828"/>
      <c r="AC21" s="828"/>
      <c r="AD21" s="828"/>
      <c r="AE21" s="828"/>
      <c r="AF21" s="828"/>
      <c r="AG21" s="828"/>
      <c r="AH21" s="828"/>
    </row>
    <row r="22" spans="2:34">
      <c r="B22" s="2001" t="s">
        <v>503</v>
      </c>
      <c r="C22" s="2005"/>
      <c r="D22" s="2005"/>
      <c r="E22" s="2005"/>
      <c r="F22" s="2005"/>
      <c r="G22" s="979">
        <f ca="1">IF(E6="","",IFERROR(ROUNDUP(G19+G20+G21,0),0))</f>
        <v>1485388</v>
      </c>
      <c r="H22" s="828"/>
      <c r="I22" s="848"/>
      <c r="J22" s="828"/>
      <c r="K22" s="828"/>
      <c r="L22" s="828"/>
      <c r="M22" s="828"/>
      <c r="N22" s="828"/>
      <c r="O22" s="828"/>
      <c r="P22" s="828"/>
      <c r="Q22" s="828"/>
      <c r="R22" s="828"/>
      <c r="S22" s="828"/>
      <c r="T22" s="828"/>
      <c r="U22" s="828"/>
      <c r="V22" s="828"/>
      <c r="W22" s="828"/>
      <c r="X22" s="828"/>
      <c r="Y22" s="828"/>
      <c r="Z22" s="828"/>
      <c r="AA22" s="828"/>
      <c r="AB22" s="828"/>
      <c r="AC22" s="828"/>
      <c r="AD22" s="828"/>
      <c r="AE22" s="828"/>
      <c r="AF22" s="828"/>
      <c r="AG22" s="828"/>
      <c r="AH22" s="828"/>
    </row>
    <row r="23" spans="2:34">
      <c r="B23" s="980"/>
      <c r="C23" s="970"/>
      <c r="D23" s="970"/>
      <c r="E23" s="970"/>
      <c r="F23" s="981"/>
      <c r="G23" s="964"/>
      <c r="H23" s="828"/>
      <c r="I23" s="828"/>
      <c r="J23" s="828"/>
      <c r="K23" s="828"/>
      <c r="L23" s="828"/>
      <c r="M23" s="828"/>
      <c r="N23" s="828"/>
      <c r="O23" s="828"/>
      <c r="P23" s="828"/>
      <c r="Q23" s="828"/>
      <c r="R23" s="828"/>
      <c r="S23" s="828"/>
      <c r="T23" s="828"/>
      <c r="U23" s="828"/>
      <c r="V23" s="828"/>
      <c r="W23" s="828"/>
      <c r="X23" s="828"/>
      <c r="Y23" s="828"/>
      <c r="Z23" s="828"/>
      <c r="AA23" s="828"/>
      <c r="AB23" s="828"/>
      <c r="AC23" s="828"/>
      <c r="AD23" s="828"/>
      <c r="AE23" s="828"/>
      <c r="AF23" s="828"/>
      <c r="AG23" s="828"/>
      <c r="AH23" s="828"/>
    </row>
    <row r="24" spans="2:34">
      <c r="B24" s="982" t="s">
        <v>504</v>
      </c>
      <c r="C24" s="834">
        <f ca="1">IFERROR(G22/C5,0)</f>
        <v>4.9106872045867099E-3</v>
      </c>
      <c r="D24" s="970"/>
      <c r="E24" s="983"/>
      <c r="F24" s="981"/>
      <c r="G24" s="984"/>
      <c r="H24" s="828"/>
      <c r="I24" s="828"/>
      <c r="J24" s="828"/>
      <c r="K24" s="828"/>
      <c r="L24" s="828"/>
      <c r="M24" s="828"/>
      <c r="N24" s="828"/>
      <c r="O24" s="828"/>
      <c r="P24" s="828"/>
      <c r="Q24" s="828"/>
      <c r="R24" s="828"/>
      <c r="S24" s="828"/>
      <c r="T24" s="828"/>
      <c r="U24" s="828"/>
      <c r="V24" s="828"/>
      <c r="W24" s="828"/>
      <c r="X24" s="828"/>
      <c r="Y24" s="828"/>
      <c r="Z24" s="828"/>
      <c r="AA24" s="828"/>
      <c r="AB24" s="828"/>
      <c r="AC24" s="828"/>
      <c r="AD24" s="828"/>
      <c r="AE24" s="828"/>
      <c r="AF24" s="828"/>
      <c r="AG24" s="828"/>
      <c r="AH24" s="828"/>
    </row>
    <row r="25" spans="2:34">
      <c r="B25" s="985"/>
      <c r="C25" s="986"/>
      <c r="D25" s="963" t="s">
        <v>66</v>
      </c>
      <c r="E25" s="963"/>
      <c r="F25" s="981"/>
      <c r="G25" s="964"/>
      <c r="H25" s="849"/>
      <c r="I25" s="828"/>
      <c r="J25" s="828"/>
      <c r="K25" s="828"/>
      <c r="L25" s="828"/>
      <c r="M25" s="828"/>
      <c r="N25" s="828"/>
      <c r="O25" s="828"/>
      <c r="P25" s="828"/>
      <c r="Q25" s="828"/>
      <c r="R25" s="828"/>
      <c r="S25" s="828"/>
      <c r="T25" s="828"/>
      <c r="U25" s="828"/>
      <c r="V25" s="828"/>
      <c r="W25" s="828"/>
      <c r="X25" s="828"/>
      <c r="Y25" s="828"/>
      <c r="Z25" s="828"/>
      <c r="AA25" s="828"/>
      <c r="AB25" s="828"/>
      <c r="AC25" s="828"/>
      <c r="AD25" s="828"/>
      <c r="AE25" s="828"/>
      <c r="AF25" s="828"/>
      <c r="AG25" s="828"/>
      <c r="AH25" s="828"/>
    </row>
    <row r="26" spans="2:34">
      <c r="B26" s="985"/>
      <c r="C26" s="983"/>
      <c r="D26" s="963"/>
      <c r="E26" s="963"/>
      <c r="F26" s="981"/>
      <c r="G26" s="964"/>
      <c r="H26" s="828"/>
      <c r="I26" s="828"/>
      <c r="J26" s="828"/>
      <c r="K26" s="828"/>
      <c r="L26" s="828"/>
      <c r="M26" s="828"/>
      <c r="N26" s="828"/>
      <c r="O26" s="828"/>
      <c r="P26" s="828"/>
      <c r="Q26" s="828"/>
      <c r="R26" s="828"/>
      <c r="S26" s="828"/>
      <c r="T26" s="828"/>
      <c r="U26" s="828"/>
      <c r="V26" s="828"/>
      <c r="W26" s="828"/>
      <c r="X26" s="828"/>
      <c r="Y26" s="828"/>
      <c r="Z26" s="828"/>
      <c r="AA26" s="828"/>
      <c r="AB26" s="828"/>
      <c r="AC26" s="828"/>
      <c r="AD26" s="828"/>
      <c r="AE26" s="828"/>
      <c r="AF26" s="828"/>
      <c r="AG26" s="828"/>
      <c r="AH26" s="828"/>
    </row>
    <row r="27" spans="2:34" ht="15" thickBot="1">
      <c r="B27" s="985"/>
      <c r="C27" s="983"/>
      <c r="D27" s="963"/>
      <c r="E27" s="963"/>
      <c r="F27" s="981"/>
      <c r="G27" s="964"/>
      <c r="H27" s="828"/>
      <c r="I27" s="828"/>
      <c r="J27" s="828"/>
      <c r="K27" s="828"/>
      <c r="L27" s="828"/>
      <c r="M27" s="828"/>
      <c r="N27" s="828"/>
      <c r="O27" s="828"/>
      <c r="P27" s="828"/>
      <c r="Q27" s="828"/>
      <c r="R27" s="828"/>
      <c r="S27" s="828"/>
      <c r="T27" s="828"/>
      <c r="U27" s="828"/>
      <c r="V27" s="828"/>
      <c r="W27" s="828"/>
      <c r="X27" s="828"/>
      <c r="Y27" s="828"/>
      <c r="Z27" s="828"/>
      <c r="AA27" s="828"/>
      <c r="AB27" s="828"/>
      <c r="AC27" s="828"/>
      <c r="AD27" s="828"/>
      <c r="AE27" s="828"/>
      <c r="AF27" s="828"/>
      <c r="AG27" s="828"/>
      <c r="AH27" s="828"/>
    </row>
    <row r="28" spans="2:34" ht="20">
      <c r="B28" s="985"/>
      <c r="C28" s="983"/>
      <c r="D28" s="963"/>
      <c r="E28" s="963"/>
      <c r="F28" s="981"/>
      <c r="G28" s="964"/>
      <c r="H28" s="828"/>
      <c r="I28" s="1001">
        <f ca="1">ROUND(+C5/C18,0)</f>
        <v>212</v>
      </c>
      <c r="J28" s="828"/>
      <c r="K28" s="988" t="s">
        <v>505</v>
      </c>
      <c r="L28" s="989" t="s">
        <v>506</v>
      </c>
      <c r="M28" s="990"/>
      <c r="N28" s="828"/>
      <c r="O28" s="828"/>
      <c r="P28" s="828"/>
      <c r="Q28" s="828"/>
      <c r="R28" s="828"/>
      <c r="S28" s="828"/>
      <c r="T28" s="828"/>
      <c r="U28" s="828"/>
      <c r="V28" s="828"/>
      <c r="W28" s="828"/>
      <c r="X28" s="828"/>
      <c r="Y28" s="828"/>
      <c r="Z28" s="828"/>
      <c r="AA28" s="828"/>
      <c r="AB28" s="828"/>
      <c r="AC28" s="828"/>
      <c r="AD28" s="828"/>
      <c r="AE28" s="828"/>
      <c r="AF28" s="828"/>
      <c r="AG28" s="828"/>
      <c r="AH28" s="828"/>
    </row>
    <row r="29" spans="2:34" ht="16" thickBot="1">
      <c r="B29" s="2006" t="s">
        <v>507</v>
      </c>
      <c r="C29" s="2007"/>
      <c r="D29" s="2007"/>
      <c r="E29" s="2007"/>
      <c r="F29" s="2007"/>
      <c r="G29" s="987">
        <f ca="1">G22</f>
        <v>1485388</v>
      </c>
      <c r="H29" s="828"/>
      <c r="I29" s="1002"/>
      <c r="J29" s="828"/>
      <c r="K29" s="991" t="s">
        <v>508</v>
      </c>
      <c r="L29" s="992">
        <v>553956709</v>
      </c>
      <c r="M29" s="993"/>
      <c r="N29" s="828"/>
      <c r="O29" s="828"/>
      <c r="P29" s="828"/>
      <c r="Q29" s="828"/>
      <c r="R29" s="828"/>
      <c r="S29" s="828"/>
      <c r="T29" s="828"/>
      <c r="U29" s="828"/>
      <c r="V29" s="828"/>
      <c r="W29" s="828"/>
      <c r="X29" s="828"/>
      <c r="Y29" s="828"/>
      <c r="Z29" s="828"/>
      <c r="AA29" s="828"/>
      <c r="AB29" s="828"/>
      <c r="AC29" s="828"/>
      <c r="AD29" s="828"/>
      <c r="AE29" s="828"/>
      <c r="AF29" s="828"/>
      <c r="AG29" s="828"/>
      <c r="AH29" s="828"/>
    </row>
    <row r="30" spans="2:34" ht="46">
      <c r="B30" s="851"/>
      <c r="C30" s="852"/>
      <c r="D30" s="853"/>
      <c r="E30" s="853"/>
      <c r="F30" s="854"/>
      <c r="G30" s="853"/>
      <c r="H30" s="828"/>
      <c r="I30" s="1003" t="s">
        <v>509</v>
      </c>
      <c r="J30" s="828"/>
      <c r="K30" s="991" t="s">
        <v>510</v>
      </c>
      <c r="L30" s="992" t="str">
        <f>+[2]AIU!H6</f>
        <v>PLAZO - MESES</v>
      </c>
      <c r="M30" s="993"/>
      <c r="N30" s="828"/>
      <c r="O30" s="828"/>
      <c r="P30" s="828"/>
      <c r="Q30" s="828"/>
      <c r="R30" s="828"/>
      <c r="S30" s="828"/>
      <c r="T30" s="828"/>
      <c r="U30" s="828"/>
      <c r="V30" s="828"/>
      <c r="W30" s="828"/>
      <c r="X30" s="828"/>
      <c r="Y30" s="828"/>
      <c r="Z30" s="828"/>
      <c r="AA30" s="828"/>
      <c r="AB30" s="828"/>
      <c r="AC30" s="828"/>
      <c r="AD30" s="828"/>
      <c r="AE30" s="828"/>
      <c r="AF30" s="828"/>
      <c r="AG30" s="828"/>
      <c r="AH30" s="828"/>
    </row>
    <row r="31" spans="2:34" ht="57.5">
      <c r="B31" s="851"/>
      <c r="C31" s="852"/>
      <c r="D31" s="853"/>
      <c r="E31" s="853"/>
      <c r="F31" s="854"/>
      <c r="G31" s="853"/>
      <c r="H31" s="828"/>
      <c r="I31" s="1003" t="s">
        <v>511</v>
      </c>
      <c r="J31" s="828"/>
      <c r="K31" s="994" t="s">
        <v>512</v>
      </c>
      <c r="L31" s="992">
        <f>+SUM(L29:L30)</f>
        <v>553956709</v>
      </c>
      <c r="M31" s="995"/>
      <c r="N31" s="828"/>
      <c r="O31" s="828"/>
      <c r="P31" s="828"/>
      <c r="Q31" s="828"/>
      <c r="R31" s="828"/>
      <c r="S31" s="828"/>
      <c r="T31" s="828"/>
      <c r="U31" s="828"/>
      <c r="V31" s="828"/>
      <c r="W31" s="828"/>
      <c r="X31" s="828"/>
      <c r="Y31" s="828"/>
      <c r="Z31" s="828"/>
      <c r="AA31" s="828"/>
      <c r="AB31" s="828"/>
      <c r="AC31" s="828"/>
      <c r="AD31" s="828"/>
      <c r="AE31" s="828"/>
      <c r="AF31" s="828"/>
      <c r="AG31" s="828"/>
      <c r="AH31" s="828"/>
    </row>
    <row r="32" spans="2:34" ht="57.5">
      <c r="B32" s="851"/>
      <c r="C32" s="852"/>
      <c r="D32" s="853"/>
      <c r="E32" s="853"/>
      <c r="F32" s="854"/>
      <c r="G32" s="853"/>
      <c r="H32" s="828"/>
      <c r="I32" s="1003" t="s">
        <v>513</v>
      </c>
      <c r="J32" s="828"/>
      <c r="K32" s="996" t="s">
        <v>514</v>
      </c>
      <c r="L32" s="992">
        <f>+L31</f>
        <v>553956709</v>
      </c>
      <c r="M32" s="995"/>
      <c r="N32" s="828"/>
      <c r="O32" s="828"/>
      <c r="P32" s="828"/>
      <c r="Q32" s="828"/>
      <c r="R32" s="828"/>
      <c r="S32" s="828"/>
      <c r="T32" s="828"/>
      <c r="U32" s="828"/>
      <c r="V32" s="828"/>
      <c r="W32" s="828"/>
      <c r="X32" s="828"/>
      <c r="Y32" s="828"/>
      <c r="Z32" s="828"/>
      <c r="AA32" s="828"/>
      <c r="AB32" s="828"/>
      <c r="AC32" s="828"/>
      <c r="AD32" s="828"/>
      <c r="AE32" s="828"/>
      <c r="AF32" s="828"/>
      <c r="AG32" s="828"/>
      <c r="AH32" s="828"/>
    </row>
    <row r="33" spans="2:34" ht="46">
      <c r="B33" s="851"/>
      <c r="C33" s="852"/>
      <c r="D33" s="853"/>
      <c r="E33" s="853"/>
      <c r="F33" s="854"/>
      <c r="G33" s="853"/>
      <c r="H33" s="828"/>
      <c r="I33" s="1003" t="s">
        <v>515</v>
      </c>
      <c r="J33" s="828"/>
      <c r="K33" s="996" t="s">
        <v>516</v>
      </c>
      <c r="L33" s="997">
        <f>IFERROR(ROUND(L32/'[2]Ppto TIPO'!J279,4),0)</f>
        <v>0</v>
      </c>
      <c r="M33" s="995"/>
      <c r="N33" s="828"/>
      <c r="O33" s="828"/>
      <c r="P33" s="828"/>
      <c r="Q33" s="828"/>
      <c r="R33" s="828"/>
      <c r="S33" s="828"/>
      <c r="T33" s="828"/>
      <c r="U33" s="828"/>
      <c r="V33" s="828"/>
      <c r="W33" s="828"/>
      <c r="X33" s="828"/>
      <c r="Y33" s="828"/>
      <c r="Z33" s="828"/>
      <c r="AA33" s="828"/>
      <c r="AB33" s="828"/>
      <c r="AC33" s="828"/>
      <c r="AD33" s="828"/>
      <c r="AE33" s="828"/>
      <c r="AF33" s="828"/>
      <c r="AG33" s="828"/>
      <c r="AH33" s="828"/>
    </row>
    <row r="34" spans="2:34" ht="124.5" thickBot="1">
      <c r="B34" s="851"/>
      <c r="C34" s="852"/>
      <c r="D34" s="853"/>
      <c r="E34" s="853"/>
      <c r="F34" s="854"/>
      <c r="G34" s="853"/>
      <c r="H34" s="828"/>
      <c r="I34" s="1003" t="s">
        <v>517</v>
      </c>
      <c r="J34" s="828"/>
      <c r="K34" s="998">
        <f ca="1">+IF(C5&gt;=5000000000,50%,100%)</f>
        <v>1</v>
      </c>
      <c r="L34" s="999">
        <f ca="1">+L33*K34</f>
        <v>0</v>
      </c>
      <c r="M34" s="1000" t="s">
        <v>518</v>
      </c>
      <c r="N34" s="828"/>
      <c r="O34" s="828"/>
      <c r="P34" s="828"/>
      <c r="Q34" s="828"/>
      <c r="R34" s="828"/>
      <c r="S34" s="828"/>
      <c r="T34" s="828"/>
      <c r="U34" s="828"/>
      <c r="V34" s="828"/>
      <c r="W34" s="828"/>
      <c r="X34" s="828"/>
      <c r="Y34" s="828"/>
      <c r="Z34" s="828"/>
      <c r="AA34" s="828"/>
      <c r="AB34" s="828"/>
      <c r="AC34" s="828"/>
      <c r="AD34" s="828"/>
      <c r="AE34" s="828"/>
      <c r="AF34" s="828"/>
      <c r="AG34" s="828"/>
      <c r="AH34" s="828"/>
    </row>
    <row r="35" spans="2:34" ht="35" thickBot="1">
      <c r="B35" s="851"/>
      <c r="C35" s="852"/>
      <c r="D35" s="853"/>
      <c r="E35" s="853"/>
      <c r="F35" s="854"/>
      <c r="G35" s="853"/>
      <c r="H35" s="828"/>
      <c r="I35" s="1004" t="s">
        <v>519</v>
      </c>
      <c r="J35" s="828"/>
      <c r="K35" s="828"/>
      <c r="L35" s="828"/>
      <c r="M35" s="828"/>
      <c r="N35" s="828"/>
      <c r="O35" s="828"/>
      <c r="P35" s="828"/>
      <c r="Q35" s="828"/>
      <c r="R35" s="828"/>
      <c r="S35" s="828"/>
      <c r="T35" s="828"/>
      <c r="U35" s="828"/>
      <c r="V35" s="828"/>
      <c r="W35" s="828"/>
      <c r="X35" s="828"/>
      <c r="Y35" s="828"/>
      <c r="Z35" s="828"/>
      <c r="AA35" s="828"/>
      <c r="AB35" s="828"/>
      <c r="AC35" s="828"/>
      <c r="AD35" s="828"/>
      <c r="AE35" s="828"/>
      <c r="AF35" s="828"/>
      <c r="AG35" s="828"/>
      <c r="AH35" s="828"/>
    </row>
    <row r="36" spans="2:34">
      <c r="B36" s="851"/>
      <c r="C36" s="852"/>
      <c r="D36" s="853"/>
      <c r="E36" s="853"/>
      <c r="F36" s="854"/>
      <c r="G36" s="853"/>
      <c r="H36" s="828"/>
      <c r="I36" s="828"/>
      <c r="J36" s="828"/>
      <c r="K36" s="828"/>
      <c r="L36" s="828"/>
      <c r="M36" s="828"/>
      <c r="N36" s="828"/>
      <c r="O36" s="828"/>
      <c r="P36" s="828"/>
      <c r="Q36" s="828"/>
      <c r="R36" s="828"/>
      <c r="S36" s="828"/>
      <c r="T36" s="828"/>
      <c r="U36" s="828"/>
      <c r="V36" s="828"/>
      <c r="W36" s="828"/>
      <c r="X36" s="828"/>
      <c r="Y36" s="828"/>
      <c r="Z36" s="828"/>
      <c r="AA36" s="828"/>
      <c r="AB36" s="828"/>
      <c r="AC36" s="828"/>
      <c r="AD36" s="828"/>
      <c r="AE36" s="828"/>
      <c r="AF36" s="828"/>
      <c r="AG36" s="828"/>
      <c r="AH36" s="828"/>
    </row>
    <row r="37" spans="2:34">
      <c r="B37" s="851"/>
      <c r="C37" s="852"/>
      <c r="D37" s="853"/>
      <c r="E37" s="853"/>
      <c r="F37" s="854"/>
      <c r="G37" s="853"/>
      <c r="H37" s="828"/>
      <c r="I37" s="828"/>
      <c r="J37" s="828"/>
      <c r="K37" s="828"/>
      <c r="L37" s="828"/>
      <c r="M37" s="828"/>
      <c r="N37" s="828"/>
      <c r="O37" s="828"/>
      <c r="P37" s="828"/>
      <c r="Q37" s="828"/>
      <c r="R37" s="828"/>
      <c r="S37" s="828"/>
      <c r="T37" s="828"/>
      <c r="U37" s="828"/>
      <c r="V37" s="828"/>
      <c r="W37" s="828"/>
      <c r="X37" s="828"/>
      <c r="Y37" s="828"/>
      <c r="Z37" s="828"/>
      <c r="AA37" s="828"/>
      <c r="AB37" s="828"/>
      <c r="AC37" s="828"/>
      <c r="AD37" s="828"/>
      <c r="AE37" s="828"/>
      <c r="AF37" s="828"/>
      <c r="AG37" s="828"/>
      <c r="AH37" s="828"/>
    </row>
    <row r="38" spans="2:34">
      <c r="B38" s="851"/>
      <c r="C38" s="852"/>
      <c r="D38" s="853"/>
      <c r="E38" s="853"/>
      <c r="F38" s="854"/>
      <c r="G38" s="853"/>
      <c r="H38" s="828"/>
      <c r="I38" s="828"/>
      <c r="J38" s="828"/>
      <c r="K38" s="828"/>
      <c r="L38" s="828"/>
      <c r="M38" s="828"/>
      <c r="N38" s="828"/>
      <c r="O38" s="828"/>
      <c r="P38" s="828"/>
      <c r="Q38" s="828"/>
      <c r="R38" s="828"/>
      <c r="S38" s="828"/>
      <c r="T38" s="828"/>
      <c r="U38" s="828"/>
      <c r="V38" s="828"/>
      <c r="W38" s="828"/>
      <c r="X38" s="828"/>
      <c r="Y38" s="828"/>
      <c r="Z38" s="828"/>
      <c r="AA38" s="828"/>
      <c r="AB38" s="828"/>
      <c r="AC38" s="828"/>
      <c r="AD38" s="828"/>
      <c r="AE38" s="828"/>
      <c r="AF38" s="828"/>
      <c r="AG38" s="828"/>
      <c r="AH38" s="828"/>
    </row>
    <row r="39" spans="2:34">
      <c r="B39" s="851"/>
      <c r="C39" s="852"/>
      <c r="D39" s="853"/>
      <c r="E39" s="853"/>
      <c r="F39" s="854"/>
      <c r="G39" s="853"/>
      <c r="H39" s="828"/>
      <c r="I39" s="828"/>
      <c r="J39" s="828"/>
      <c r="K39" s="828"/>
      <c r="L39" s="828"/>
      <c r="M39" s="828"/>
      <c r="N39" s="828"/>
      <c r="O39" s="828"/>
      <c r="P39" s="828"/>
      <c r="Q39" s="828"/>
      <c r="R39" s="828"/>
      <c r="S39" s="828"/>
      <c r="T39" s="828"/>
      <c r="U39" s="828"/>
      <c r="V39" s="828"/>
      <c r="W39" s="828"/>
      <c r="X39" s="828"/>
      <c r="Y39" s="828"/>
      <c r="Z39" s="828"/>
      <c r="AA39" s="828"/>
      <c r="AB39" s="828"/>
      <c r="AC39" s="828"/>
      <c r="AD39" s="828"/>
      <c r="AE39" s="828"/>
      <c r="AF39" s="828"/>
      <c r="AG39" s="828"/>
      <c r="AH39" s="828"/>
    </row>
    <row r="40" spans="2:34">
      <c r="B40" s="851"/>
      <c r="C40" s="852"/>
      <c r="D40" s="853"/>
      <c r="E40" s="853"/>
      <c r="F40" s="854"/>
      <c r="G40" s="853"/>
      <c r="H40" s="828"/>
      <c r="I40" s="828"/>
      <c r="J40" s="828"/>
      <c r="K40" s="828"/>
      <c r="L40" s="828"/>
      <c r="M40" s="828"/>
      <c r="N40" s="828"/>
      <c r="O40" s="828"/>
      <c r="P40" s="828"/>
      <c r="Q40" s="828"/>
      <c r="R40" s="828"/>
      <c r="S40" s="828"/>
      <c r="T40" s="828"/>
      <c r="U40" s="828"/>
      <c r="V40" s="828"/>
      <c r="W40" s="828"/>
      <c r="X40" s="828"/>
      <c r="Y40" s="828"/>
      <c r="Z40" s="828"/>
      <c r="AA40" s="828"/>
      <c r="AB40" s="828"/>
      <c r="AC40" s="828"/>
      <c r="AD40" s="828"/>
      <c r="AE40" s="828"/>
      <c r="AF40" s="828"/>
      <c r="AG40" s="828"/>
      <c r="AH40" s="828"/>
    </row>
    <row r="41" spans="2:34">
      <c r="B41" s="851"/>
      <c r="C41" s="852"/>
      <c r="D41" s="853"/>
      <c r="E41" s="853"/>
      <c r="F41" s="854"/>
      <c r="G41" s="853"/>
      <c r="H41" s="828"/>
      <c r="I41" s="828"/>
      <c r="J41" s="828"/>
      <c r="K41" s="828"/>
      <c r="L41" s="828"/>
      <c r="M41" s="828"/>
      <c r="N41" s="828"/>
      <c r="O41" s="828"/>
      <c r="P41" s="828"/>
      <c r="Q41" s="828"/>
      <c r="R41" s="828"/>
      <c r="S41" s="828"/>
      <c r="T41" s="828"/>
      <c r="U41" s="828"/>
      <c r="V41" s="828"/>
      <c r="W41" s="828"/>
      <c r="X41" s="828"/>
      <c r="Y41" s="828"/>
      <c r="Z41" s="828"/>
      <c r="AA41" s="828"/>
      <c r="AB41" s="828"/>
      <c r="AC41" s="828"/>
      <c r="AD41" s="828"/>
      <c r="AE41" s="828"/>
      <c r="AF41" s="828"/>
      <c r="AG41" s="828"/>
      <c r="AH41" s="828"/>
    </row>
    <row r="42" spans="2:34">
      <c r="B42" s="851"/>
      <c r="C42" s="852"/>
      <c r="D42" s="828"/>
      <c r="E42" s="828"/>
      <c r="F42" s="828"/>
      <c r="G42" s="828"/>
      <c r="H42" s="828"/>
      <c r="I42" s="828"/>
      <c r="J42" s="828"/>
      <c r="K42" s="828"/>
      <c r="L42" s="828"/>
      <c r="M42" s="828"/>
      <c r="N42" s="828"/>
      <c r="O42" s="828"/>
      <c r="P42" s="828"/>
      <c r="Q42" s="828"/>
      <c r="R42" s="828"/>
      <c r="S42" s="828"/>
      <c r="T42" s="828"/>
      <c r="U42" s="828"/>
      <c r="V42" s="828"/>
      <c r="W42" s="828"/>
      <c r="X42" s="828"/>
      <c r="Y42" s="828"/>
      <c r="Z42" s="828"/>
      <c r="AA42" s="828"/>
      <c r="AB42" s="828"/>
      <c r="AC42" s="828"/>
      <c r="AD42" s="828"/>
      <c r="AE42" s="828"/>
      <c r="AF42" s="828"/>
      <c r="AG42" s="828"/>
      <c r="AH42" s="828"/>
    </row>
    <row r="43" spans="2:34">
      <c r="B43" s="851"/>
      <c r="C43" s="852"/>
      <c r="D43" s="828"/>
      <c r="E43" s="828"/>
      <c r="F43" s="828"/>
      <c r="G43" s="828"/>
      <c r="H43" s="828"/>
      <c r="I43" s="828"/>
      <c r="J43" s="828"/>
      <c r="K43" s="828"/>
      <c r="L43" s="828"/>
      <c r="M43" s="828"/>
      <c r="N43" s="828"/>
      <c r="O43" s="828"/>
      <c r="P43" s="828"/>
      <c r="Q43" s="828"/>
      <c r="R43" s="828"/>
      <c r="S43" s="828"/>
      <c r="T43" s="828"/>
      <c r="U43" s="828"/>
      <c r="V43" s="828"/>
      <c r="W43" s="828"/>
      <c r="X43" s="828"/>
      <c r="Y43" s="828"/>
      <c r="Z43" s="828"/>
      <c r="AA43" s="828"/>
      <c r="AB43" s="828"/>
      <c r="AC43" s="828"/>
      <c r="AD43" s="828"/>
      <c r="AE43" s="828"/>
      <c r="AF43" s="828"/>
      <c r="AG43" s="828"/>
      <c r="AH43" s="828"/>
    </row>
    <row r="44" spans="2:34">
      <c r="B44" s="851"/>
      <c r="C44" s="852"/>
      <c r="D44" s="828"/>
      <c r="E44" s="828"/>
      <c r="F44" s="828"/>
      <c r="G44" s="828"/>
      <c r="H44" s="828"/>
      <c r="I44" s="828"/>
      <c r="J44" s="828"/>
      <c r="K44" s="828"/>
      <c r="L44" s="828"/>
      <c r="M44" s="828"/>
      <c r="N44" s="828"/>
      <c r="O44" s="828"/>
      <c r="P44" s="828"/>
      <c r="Q44" s="828"/>
      <c r="R44" s="828"/>
      <c r="S44" s="828"/>
      <c r="T44" s="828"/>
      <c r="U44" s="828"/>
      <c r="V44" s="828"/>
      <c r="W44" s="828"/>
      <c r="X44" s="828"/>
      <c r="Y44" s="828"/>
      <c r="Z44" s="828"/>
      <c r="AA44" s="828"/>
      <c r="AB44" s="828"/>
      <c r="AC44" s="828"/>
      <c r="AD44" s="828"/>
      <c r="AE44" s="828"/>
      <c r="AF44" s="828"/>
      <c r="AG44" s="828"/>
      <c r="AH44" s="828"/>
    </row>
    <row r="45" spans="2:34">
      <c r="B45" s="851"/>
      <c r="C45" s="852"/>
      <c r="D45" s="828"/>
      <c r="E45" s="828"/>
      <c r="F45" s="828"/>
      <c r="G45" s="828"/>
      <c r="H45" s="828"/>
      <c r="I45" s="828"/>
      <c r="J45" s="828"/>
      <c r="K45" s="828"/>
      <c r="L45" s="828"/>
      <c r="M45" s="828"/>
      <c r="N45" s="828"/>
      <c r="O45" s="828"/>
      <c r="P45" s="828"/>
      <c r="Q45" s="828"/>
      <c r="R45" s="828"/>
      <c r="S45" s="828"/>
      <c r="T45" s="828"/>
      <c r="U45" s="828"/>
      <c r="V45" s="828"/>
      <c r="W45" s="828"/>
      <c r="X45" s="828"/>
      <c r="Y45" s="828"/>
      <c r="Z45" s="828"/>
      <c r="AA45" s="828"/>
      <c r="AB45" s="828"/>
      <c r="AC45" s="828"/>
      <c r="AD45" s="828"/>
      <c r="AE45" s="828"/>
      <c r="AF45" s="828"/>
      <c r="AG45" s="828"/>
      <c r="AH45" s="828"/>
    </row>
    <row r="46" spans="2:34">
      <c r="B46" s="851"/>
      <c r="C46" s="852"/>
      <c r="D46" s="828"/>
      <c r="E46" s="828"/>
      <c r="F46" s="828"/>
      <c r="G46" s="828"/>
      <c r="H46" s="828"/>
      <c r="I46" s="828"/>
      <c r="J46" s="828"/>
      <c r="K46" s="828"/>
      <c r="L46" s="828"/>
      <c r="M46" s="828"/>
      <c r="N46" s="828"/>
      <c r="O46" s="828"/>
      <c r="P46" s="828"/>
      <c r="Q46" s="828"/>
      <c r="R46" s="828"/>
      <c r="S46" s="828"/>
      <c r="T46" s="828"/>
      <c r="U46" s="828"/>
      <c r="V46" s="828"/>
      <c r="W46" s="828"/>
      <c r="X46" s="828"/>
      <c r="Y46" s="828"/>
      <c r="Z46" s="828"/>
      <c r="AA46" s="828"/>
      <c r="AB46" s="828"/>
      <c r="AC46" s="828"/>
      <c r="AD46" s="828"/>
      <c r="AE46" s="828"/>
      <c r="AF46" s="828"/>
      <c r="AG46" s="828"/>
      <c r="AH46" s="828"/>
    </row>
    <row r="47" spans="2:34">
      <c r="B47" s="851"/>
      <c r="C47" s="852"/>
      <c r="D47" s="828"/>
      <c r="E47" s="828"/>
      <c r="F47" s="828"/>
      <c r="G47" s="828"/>
      <c r="H47" s="828"/>
      <c r="I47" s="828"/>
      <c r="J47" s="828"/>
      <c r="K47" s="828"/>
      <c r="L47" s="828"/>
      <c r="M47" s="828"/>
      <c r="N47" s="828"/>
      <c r="O47" s="828"/>
      <c r="P47" s="828"/>
      <c r="Q47" s="828"/>
      <c r="R47" s="828"/>
      <c r="S47" s="828"/>
      <c r="T47" s="828"/>
      <c r="U47" s="828"/>
      <c r="V47" s="828"/>
      <c r="W47" s="828"/>
      <c r="X47" s="828"/>
      <c r="Y47" s="828"/>
      <c r="Z47" s="828"/>
      <c r="AA47" s="828"/>
      <c r="AB47" s="828"/>
      <c r="AC47" s="828"/>
      <c r="AD47" s="828"/>
      <c r="AE47" s="828"/>
      <c r="AF47" s="828"/>
      <c r="AG47" s="828"/>
      <c r="AH47" s="828"/>
    </row>
    <row r="48" spans="2:34">
      <c r="B48" s="851"/>
      <c r="C48" s="852"/>
      <c r="D48" s="853"/>
      <c r="E48" s="853"/>
      <c r="F48" s="854"/>
      <c r="G48" s="853"/>
      <c r="H48" s="828"/>
      <c r="I48" s="828"/>
      <c r="J48" s="828"/>
      <c r="K48" s="828"/>
      <c r="L48" s="828"/>
      <c r="M48" s="828"/>
      <c r="N48" s="828"/>
      <c r="O48" s="828"/>
      <c r="P48" s="828"/>
      <c r="Q48" s="828"/>
      <c r="R48" s="828"/>
      <c r="S48" s="828"/>
      <c r="T48" s="828"/>
      <c r="U48" s="828"/>
      <c r="V48" s="828"/>
      <c r="W48" s="828"/>
      <c r="X48" s="828"/>
      <c r="Y48" s="828"/>
      <c r="Z48" s="828"/>
      <c r="AA48" s="828"/>
      <c r="AB48" s="828"/>
      <c r="AC48" s="828"/>
      <c r="AD48" s="828"/>
      <c r="AE48" s="828"/>
      <c r="AF48" s="828"/>
      <c r="AG48" s="828"/>
      <c r="AH48" s="828"/>
    </row>
    <row r="49" spans="2:34">
      <c r="B49" s="851"/>
      <c r="C49" s="852"/>
      <c r="D49" s="853"/>
      <c r="E49" s="853"/>
      <c r="F49" s="854"/>
      <c r="G49" s="853"/>
      <c r="H49" s="828"/>
      <c r="I49" s="828"/>
      <c r="J49" s="828"/>
      <c r="K49" s="828"/>
      <c r="L49" s="828"/>
      <c r="M49" s="828"/>
      <c r="N49" s="828"/>
      <c r="O49" s="828"/>
      <c r="P49" s="828"/>
      <c r="Q49" s="828"/>
      <c r="R49" s="828"/>
      <c r="S49" s="828"/>
      <c r="T49" s="828"/>
      <c r="U49" s="828"/>
      <c r="V49" s="828"/>
      <c r="W49" s="828"/>
      <c r="X49" s="828"/>
      <c r="Y49" s="828"/>
      <c r="Z49" s="828"/>
      <c r="AA49" s="828"/>
      <c r="AB49" s="828"/>
      <c r="AC49" s="828"/>
      <c r="AD49" s="828"/>
      <c r="AE49" s="828"/>
      <c r="AF49" s="828"/>
      <c r="AG49" s="828"/>
      <c r="AH49" s="828"/>
    </row>
    <row r="50" spans="2:34">
      <c r="B50" s="851"/>
      <c r="C50" s="852"/>
      <c r="D50" s="853"/>
      <c r="E50" s="853"/>
      <c r="F50" s="854"/>
      <c r="G50" s="853"/>
      <c r="H50" s="828"/>
      <c r="I50" s="828"/>
      <c r="J50" s="828"/>
      <c r="K50" s="828"/>
      <c r="L50" s="828"/>
      <c r="M50" s="828"/>
      <c r="N50" s="828"/>
      <c r="O50" s="828"/>
      <c r="P50" s="828"/>
      <c r="Q50" s="828"/>
      <c r="R50" s="828"/>
      <c r="S50" s="828"/>
      <c r="T50" s="828"/>
      <c r="U50" s="828"/>
      <c r="V50" s="828"/>
      <c r="W50" s="828"/>
      <c r="X50" s="828"/>
      <c r="Y50" s="828"/>
      <c r="Z50" s="828"/>
      <c r="AA50" s="828"/>
      <c r="AB50" s="828"/>
      <c r="AC50" s="828"/>
      <c r="AD50" s="828"/>
      <c r="AE50" s="828"/>
      <c r="AF50" s="828"/>
      <c r="AG50" s="828"/>
      <c r="AH50" s="828"/>
    </row>
    <row r="51" spans="2:34">
      <c r="B51" s="851"/>
      <c r="C51" s="852"/>
      <c r="D51" s="853"/>
      <c r="E51" s="853"/>
      <c r="F51" s="854"/>
      <c r="G51" s="853"/>
      <c r="H51" s="828"/>
      <c r="I51" s="828"/>
      <c r="J51" s="828"/>
      <c r="K51" s="828"/>
      <c r="L51" s="828"/>
      <c r="M51" s="828"/>
      <c r="N51" s="828"/>
      <c r="O51" s="828"/>
      <c r="P51" s="828"/>
      <c r="Q51" s="828"/>
      <c r="R51" s="828"/>
      <c r="S51" s="828"/>
      <c r="T51" s="828"/>
      <c r="U51" s="828"/>
      <c r="V51" s="828"/>
      <c r="W51" s="828"/>
      <c r="X51" s="828"/>
      <c r="Y51" s="828"/>
      <c r="Z51" s="828"/>
      <c r="AA51" s="828"/>
      <c r="AB51" s="828"/>
      <c r="AC51" s="828"/>
      <c r="AD51" s="828"/>
      <c r="AE51" s="828"/>
      <c r="AF51" s="828"/>
      <c r="AG51" s="828"/>
      <c r="AH51" s="828"/>
    </row>
  </sheetData>
  <mergeCells count="13">
    <mergeCell ref="B19:F19"/>
    <mergeCell ref="B20:F20"/>
    <mergeCell ref="B21:F21"/>
    <mergeCell ref="B22:F22"/>
    <mergeCell ref="B29:F29"/>
    <mergeCell ref="I12:I16"/>
    <mergeCell ref="B1:G2"/>
    <mergeCell ref="B3:G3"/>
    <mergeCell ref="B10:B11"/>
    <mergeCell ref="C10:D10"/>
    <mergeCell ref="E10:E11"/>
    <mergeCell ref="F10:F11"/>
    <mergeCell ref="G10:G11"/>
  </mergeCells>
  <conditionalFormatting sqref="C7">
    <cfRule type="containsBlanks" dxfId="29" priority="2">
      <formula>LEN(TRIM(C7))=0</formula>
    </cfRule>
  </conditionalFormatting>
  <conditionalFormatting sqref="C12:C16">
    <cfRule type="containsBlanks" dxfId="28" priority="1">
      <formula>LEN(TRIM(C12))=0</formula>
    </cfRule>
  </conditionalFormatting>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89FD17-35C0-4141-A943-FF6EE894BA4C}">
  <sheetPr>
    <tabColor theme="7" tint="0.79998168889431442"/>
  </sheetPr>
  <dimension ref="A1:G25"/>
  <sheetViews>
    <sheetView workbookViewId="0">
      <selection activeCell="E8" sqref="E8"/>
    </sheetView>
  </sheetViews>
  <sheetFormatPr baseColWidth="10" defaultColWidth="11.453125" defaultRowHeight="14.5"/>
  <cols>
    <col min="1" max="1" width="53.36328125" customWidth="1"/>
    <col min="2" max="2" width="21.453125" customWidth="1"/>
    <col min="3" max="3" width="13.08984375" customWidth="1"/>
    <col min="4" max="4" width="3" hidden="1" customWidth="1"/>
    <col min="5" max="5" width="45.81640625" customWidth="1"/>
    <col min="6" max="6" width="23.36328125" customWidth="1"/>
    <col min="7" max="7" width="23.453125" customWidth="1"/>
  </cols>
  <sheetData>
    <row r="1" spans="1:7" ht="16.5" customHeight="1">
      <c r="A1" s="1792" t="str">
        <f>+PRESUPUESTO!A2</f>
        <v>OBJETO: MEJORAMIENTO Y ADECUACIÓN DE LAS VIAS URBANAS DEL MUNICIPIO DE SANTA FE DE ANTIOQUIA</v>
      </c>
      <c r="B1" s="1996"/>
      <c r="C1" s="1996"/>
      <c r="D1" s="1996"/>
      <c r="E1" s="1996"/>
      <c r="F1" s="1997"/>
    </row>
    <row r="2" spans="1:7">
      <c r="A2" s="1998"/>
      <c r="B2" s="1999"/>
      <c r="C2" s="1999"/>
      <c r="D2" s="1999"/>
      <c r="E2" s="1999"/>
      <c r="F2" s="2000"/>
    </row>
    <row r="3" spans="1:7" ht="16.5" customHeight="1">
      <c r="A3" s="1789" t="s">
        <v>520</v>
      </c>
      <c r="B3" s="1790"/>
      <c r="C3" s="1790"/>
      <c r="D3" s="1790"/>
      <c r="E3" s="1790"/>
      <c r="F3" s="1791"/>
    </row>
    <row r="4" spans="1:7" ht="16">
      <c r="A4" s="2008"/>
      <c r="B4" s="2009"/>
      <c r="C4" s="2009"/>
      <c r="D4" s="2009"/>
      <c r="E4" s="2009"/>
      <c r="F4" s="2010"/>
    </row>
    <row r="5" spans="1:7">
      <c r="A5" s="958" t="s">
        <v>476</v>
      </c>
      <c r="B5" s="1005">
        <f ca="1">PRESUPUESTO!F27</f>
        <v>302480679</v>
      </c>
      <c r="C5" s="959"/>
      <c r="D5" s="960"/>
      <c r="E5" s="1009"/>
      <c r="F5" s="1010"/>
    </row>
    <row r="6" spans="1:7">
      <c r="A6" s="968"/>
      <c r="C6" s="969"/>
      <c r="D6" s="970"/>
      <c r="E6" s="971"/>
      <c r="F6" s="967"/>
    </row>
    <row r="7" spans="1:7" ht="15.5">
      <c r="A7" s="1011" t="s">
        <v>521</v>
      </c>
      <c r="B7" s="1006">
        <v>0.02</v>
      </c>
      <c r="C7" s="1007"/>
      <c r="D7" s="1007"/>
      <c r="E7" s="1007"/>
      <c r="F7" s="1012">
        <f ca="1">ROUND($B$5*B7,0)</f>
        <v>6049614</v>
      </c>
      <c r="G7" s="1008"/>
    </row>
    <row r="8" spans="1:7" ht="15.5">
      <c r="A8" s="1011" t="s">
        <v>522</v>
      </c>
      <c r="B8" s="1006">
        <v>0.04</v>
      </c>
      <c r="C8" s="1007"/>
      <c r="D8" s="1007"/>
      <c r="E8" s="1007"/>
      <c r="F8" s="1012">
        <f t="shared" ref="F8:F13" ca="1" si="0">ROUND($B$5*B8,0)</f>
        <v>12099227</v>
      </c>
      <c r="G8" s="1008"/>
    </row>
    <row r="9" spans="1:7" ht="15.5">
      <c r="A9" s="1011" t="s">
        <v>523</v>
      </c>
      <c r="B9" s="1006">
        <v>0.02</v>
      </c>
      <c r="C9" s="1007"/>
      <c r="D9" s="1007"/>
      <c r="E9" s="1007"/>
      <c r="F9" s="1012">
        <f t="shared" ca="1" si="0"/>
        <v>6049614</v>
      </c>
      <c r="G9" s="1008"/>
    </row>
    <row r="10" spans="1:7" ht="15.5">
      <c r="A10" s="1011" t="s">
        <v>524</v>
      </c>
      <c r="B10" s="1006">
        <v>0.01</v>
      </c>
      <c r="C10" s="1007"/>
      <c r="D10" s="1007"/>
      <c r="E10" s="1007"/>
      <c r="F10" s="1012">
        <f t="shared" ca="1" si="0"/>
        <v>3024807</v>
      </c>
      <c r="G10" s="1008"/>
    </row>
    <row r="11" spans="1:7" ht="15.5">
      <c r="A11" s="1011" t="s">
        <v>525</v>
      </c>
      <c r="B11" s="1006">
        <v>2.5000000000000001E-2</v>
      </c>
      <c r="C11" s="1007"/>
      <c r="D11" s="1007"/>
      <c r="E11" s="1007"/>
      <c r="F11" s="1012">
        <f t="shared" ca="1" si="0"/>
        <v>7562017</v>
      </c>
      <c r="G11" s="1008"/>
    </row>
    <row r="12" spans="1:7" ht="15.5">
      <c r="A12" s="1011" t="s">
        <v>526</v>
      </c>
      <c r="B12" s="1006">
        <v>0.05</v>
      </c>
      <c r="C12" s="1007"/>
      <c r="D12" s="1007"/>
      <c r="E12" s="1007"/>
      <c r="F12" s="1012">
        <f t="shared" ca="1" si="0"/>
        <v>15124034</v>
      </c>
      <c r="G12" s="1008"/>
    </row>
    <row r="13" spans="1:7" ht="24" customHeight="1">
      <c r="A13" s="1011" t="s">
        <v>1746</v>
      </c>
      <c r="B13" s="1006"/>
      <c r="C13" s="1007"/>
      <c r="D13" s="1007"/>
      <c r="E13" s="1007"/>
      <c r="F13" s="1012">
        <f t="shared" ca="1" si="0"/>
        <v>0</v>
      </c>
    </row>
    <row r="14" spans="1:7">
      <c r="A14" s="1013"/>
      <c r="F14" s="630"/>
    </row>
    <row r="15" spans="1:7" ht="26.5" customHeight="1" thickBot="1">
      <c r="A15" s="2011" t="s">
        <v>527</v>
      </c>
      <c r="B15" s="2012"/>
      <c r="C15" s="2012"/>
      <c r="D15" s="2012"/>
      <c r="E15" s="2012"/>
      <c r="F15" s="1014">
        <f ca="1">+SUM(F7:F13)</f>
        <v>49909313</v>
      </c>
    </row>
    <row r="25" spans="5:5">
      <c r="E25" s="1408"/>
    </row>
  </sheetData>
  <mergeCells count="4">
    <mergeCell ref="A3:F3"/>
    <mergeCell ref="A4:F4"/>
    <mergeCell ref="A15:E15"/>
    <mergeCell ref="A1:F2"/>
  </mergeCells>
  <conditionalFormatting sqref="E4">
    <cfRule type="cellIs" dxfId="27" priority="1" stopIfTrue="1" operator="equal">
      <formula>0</formula>
    </cfRule>
  </conditionalFormatting>
  <pageMargins left="0.7" right="0.7" top="0.75" bottom="0.75" header="0.3" footer="0.3"/>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76495A-444F-4A5F-AEC6-272E29FA841D}">
  <sheetPr>
    <tabColor theme="7" tint="0.79998168889431442"/>
  </sheetPr>
  <dimension ref="A1:AK67"/>
  <sheetViews>
    <sheetView topLeftCell="B1" workbookViewId="0">
      <selection activeCell="D8" sqref="D8"/>
    </sheetView>
  </sheetViews>
  <sheetFormatPr baseColWidth="10" defaultColWidth="11.453125" defaultRowHeight="14"/>
  <cols>
    <col min="1" max="1" width="7.36328125" style="671" customWidth="1"/>
    <col min="2" max="2" width="83.453125" style="671" customWidth="1"/>
    <col min="3" max="3" width="22.08984375" style="671" customWidth="1"/>
    <col min="4" max="4" width="19" style="754" customWidth="1"/>
    <col min="5" max="5" width="12.453125" style="670" customWidth="1"/>
    <col min="6" max="6" width="17.453125" style="671" customWidth="1"/>
    <col min="7" max="7" width="13.81640625" style="671" customWidth="1"/>
    <col min="8" max="8" width="17.08984375" style="760" customWidth="1"/>
    <col min="9" max="9" width="11.6328125" style="671" customWidth="1"/>
    <col min="10" max="10" width="15.36328125" style="671" customWidth="1"/>
    <col min="11" max="11" width="14.81640625" style="671" customWidth="1"/>
    <col min="12" max="12" width="15.453125" style="761" customWidth="1"/>
    <col min="13" max="13" width="9.36328125" style="671" customWidth="1"/>
    <col min="14" max="14" width="15" style="671" customWidth="1"/>
    <col min="15" max="15" width="11.81640625" style="671" customWidth="1"/>
    <col min="16" max="16" width="21.36328125" style="671" customWidth="1"/>
    <col min="17" max="17" width="16.6328125" style="671" customWidth="1"/>
    <col min="18" max="18" width="16.36328125" style="671" customWidth="1"/>
    <col min="19" max="19" width="11.6328125" style="671" customWidth="1"/>
    <col min="20" max="20" width="19.453125" style="671" customWidth="1"/>
    <col min="21" max="21" width="12.08984375" style="671" customWidth="1"/>
    <col min="22" max="22" width="20.81640625" style="671" customWidth="1"/>
    <col min="23" max="23" width="11.6328125" style="671" customWidth="1"/>
    <col min="24" max="24" width="18.453125" style="671" customWidth="1"/>
    <col min="25" max="25" width="11.6328125" style="671" customWidth="1"/>
    <col min="26" max="26" width="16.453125" style="671" customWidth="1"/>
    <col min="27" max="27" width="11.6328125" style="671" customWidth="1"/>
    <col min="28" max="28" width="16.453125" style="671" customWidth="1"/>
    <col min="29" max="29" width="11.6328125" style="671" customWidth="1"/>
    <col min="30" max="30" width="15.81640625" style="671" customWidth="1"/>
    <col min="31" max="31" width="11.6328125" style="671" customWidth="1"/>
    <col min="32" max="32" width="16.08984375" style="671" customWidth="1"/>
    <col min="33" max="33" width="11.6328125" style="671" customWidth="1"/>
    <col min="34" max="34" width="15" style="671" customWidth="1"/>
    <col min="35" max="35" width="11.6328125" style="671" customWidth="1"/>
    <col min="36" max="36" width="14.453125" style="671" customWidth="1"/>
    <col min="37" max="37" width="11.6328125" style="671" bestFit="1" customWidth="1"/>
    <col min="38" max="38" width="14.453125" style="671" customWidth="1"/>
    <col min="39" max="16384" width="11.453125" style="671"/>
  </cols>
  <sheetData>
    <row r="1" spans="1:37">
      <c r="A1" s="2013" t="s">
        <v>576</v>
      </c>
      <c r="B1" s="2013"/>
      <c r="C1" s="2013"/>
      <c r="D1" s="2013"/>
      <c r="E1" s="2013"/>
      <c r="F1" s="669"/>
      <c r="G1" s="670"/>
      <c r="H1" s="669"/>
      <c r="I1" s="670"/>
      <c r="J1" s="669"/>
      <c r="K1" s="670"/>
      <c r="L1" s="669"/>
      <c r="M1" s="670"/>
      <c r="N1" s="669"/>
      <c r="O1" s="670"/>
      <c r="P1" s="669"/>
      <c r="Q1" s="670"/>
      <c r="R1" s="669"/>
      <c r="S1" s="670"/>
      <c r="T1" s="669"/>
      <c r="U1" s="670"/>
      <c r="V1" s="669"/>
      <c r="W1" s="670"/>
      <c r="X1" s="669"/>
      <c r="Y1" s="670"/>
      <c r="Z1" s="669"/>
      <c r="AA1" s="670"/>
      <c r="AB1" s="669"/>
      <c r="AC1" s="670"/>
      <c r="AD1" s="669"/>
      <c r="AE1" s="670"/>
      <c r="AF1" s="669"/>
      <c r="AG1" s="670"/>
      <c r="AH1" s="669"/>
      <c r="AI1" s="670"/>
      <c r="AJ1" s="669"/>
      <c r="AK1" s="670"/>
    </row>
    <row r="2" spans="1:37">
      <c r="A2" s="672" t="s">
        <v>1745</v>
      </c>
      <c r="B2" s="673"/>
      <c r="C2" s="2014">
        <v>2025</v>
      </c>
      <c r="D2" s="2014"/>
      <c r="E2" s="2014"/>
      <c r="F2" s="669"/>
      <c r="G2" s="670"/>
      <c r="H2" s="669"/>
      <c r="I2" s="670"/>
      <c r="J2" s="669"/>
      <c r="K2" s="670"/>
      <c r="L2" s="669"/>
      <c r="M2" s="670"/>
      <c r="N2" s="669"/>
      <c r="O2" s="670"/>
      <c r="P2" s="669"/>
      <c r="Q2" s="670"/>
      <c r="R2" s="669"/>
      <c r="S2" s="670"/>
      <c r="T2" s="669"/>
      <c r="U2" s="670"/>
      <c r="V2" s="669"/>
      <c r="W2" s="670"/>
      <c r="X2" s="669"/>
      <c r="Y2" s="670"/>
      <c r="Z2" s="669"/>
      <c r="AA2" s="670"/>
      <c r="AB2" s="669"/>
      <c r="AC2" s="670"/>
      <c r="AD2" s="669"/>
      <c r="AE2" s="670"/>
      <c r="AF2" s="669"/>
      <c r="AG2" s="670"/>
      <c r="AH2" s="669"/>
      <c r="AI2" s="670"/>
      <c r="AJ2" s="669"/>
      <c r="AK2" s="670"/>
    </row>
    <row r="3" spans="1:37" ht="27" customHeight="1">
      <c r="A3" s="672" t="s">
        <v>577</v>
      </c>
      <c r="B3" s="673"/>
      <c r="C3" s="674">
        <v>1423500</v>
      </c>
      <c r="D3" s="2015" t="s">
        <v>578</v>
      </c>
      <c r="E3" s="2016"/>
      <c r="F3" s="2016"/>
      <c r="G3" s="2016"/>
      <c r="H3" s="2016"/>
      <c r="I3" s="2016"/>
      <c r="J3" s="2016"/>
      <c r="K3" s="2016"/>
      <c r="L3" s="2016"/>
      <c r="M3" s="2016"/>
      <c r="N3" s="2016"/>
      <c r="O3" s="2016"/>
      <c r="P3" s="2016"/>
      <c r="Q3" s="2016"/>
      <c r="R3" s="2016"/>
      <c r="S3" s="2016"/>
      <c r="T3" s="2016"/>
      <c r="U3" s="2016"/>
      <c r="V3" s="2016"/>
      <c r="W3" s="2016"/>
      <c r="X3" s="2016"/>
      <c r="Y3" s="2016"/>
      <c r="Z3" s="2016"/>
      <c r="AA3" s="2016"/>
      <c r="AB3" s="2016"/>
      <c r="AC3" s="2016"/>
      <c r="AD3" s="2016"/>
      <c r="AE3" s="2016"/>
      <c r="AF3" s="2016"/>
      <c r="AG3" s="2016"/>
      <c r="AH3" s="2016"/>
      <c r="AI3" s="2017"/>
      <c r="AJ3" s="669"/>
      <c r="AK3" s="670"/>
    </row>
    <row r="4" spans="1:37" ht="20.25" customHeight="1">
      <c r="A4" s="672" t="s">
        <v>579</v>
      </c>
      <c r="B4" s="673"/>
      <c r="C4" s="674">
        <v>200000</v>
      </c>
      <c r="D4" s="2018" t="s">
        <v>580</v>
      </c>
      <c r="E4" s="2019"/>
      <c r="F4" s="2019"/>
      <c r="G4" s="2019"/>
      <c r="H4" s="2019"/>
      <c r="I4" s="2019"/>
      <c r="J4" s="2019"/>
      <c r="K4" s="2019"/>
      <c r="L4" s="2019"/>
      <c r="M4" s="2019"/>
      <c r="N4" s="2019"/>
      <c r="O4" s="2019"/>
      <c r="P4" s="2019"/>
      <c r="Q4" s="2019"/>
      <c r="R4" s="2019"/>
      <c r="S4" s="2019"/>
      <c r="T4" s="2019"/>
      <c r="U4" s="2019"/>
      <c r="V4" s="2019"/>
      <c r="W4" s="2019"/>
      <c r="X4" s="2019"/>
      <c r="Y4" s="2019"/>
      <c r="Z4" s="2019"/>
      <c r="AA4" s="2019"/>
      <c r="AB4" s="2019"/>
      <c r="AC4" s="2019"/>
      <c r="AD4" s="2019"/>
      <c r="AE4" s="2019"/>
      <c r="AF4" s="2019"/>
      <c r="AG4" s="2019"/>
      <c r="AH4" s="2019"/>
      <c r="AI4" s="2020"/>
      <c r="AJ4" s="669"/>
      <c r="AK4" s="670"/>
    </row>
    <row r="5" spans="1:37" ht="76.25" customHeight="1">
      <c r="A5" s="675"/>
      <c r="B5" s="675"/>
      <c r="C5" s="675"/>
      <c r="D5" s="2021" t="s">
        <v>581</v>
      </c>
      <c r="E5" s="2021"/>
      <c r="F5" s="2022" t="s">
        <v>582</v>
      </c>
      <c r="G5" s="2021"/>
      <c r="H5" s="2021" t="s">
        <v>583</v>
      </c>
      <c r="I5" s="2021"/>
      <c r="J5" s="2021" t="s">
        <v>584</v>
      </c>
      <c r="K5" s="2021"/>
      <c r="L5" s="2021" t="s">
        <v>585</v>
      </c>
      <c r="M5" s="2021"/>
      <c r="N5" s="2021" t="s">
        <v>586</v>
      </c>
      <c r="O5" s="2021"/>
      <c r="P5" s="2021" t="s">
        <v>587</v>
      </c>
      <c r="Q5" s="2021"/>
      <c r="R5" s="2021" t="s">
        <v>588</v>
      </c>
      <c r="S5" s="2021"/>
      <c r="T5" s="2021" t="s">
        <v>589</v>
      </c>
      <c r="U5" s="2021"/>
      <c r="V5" s="2021" t="s">
        <v>590</v>
      </c>
      <c r="W5" s="2021"/>
      <c r="X5" s="2021" t="s">
        <v>1749</v>
      </c>
      <c r="Y5" s="2021"/>
      <c r="Z5" s="2021" t="s">
        <v>1747</v>
      </c>
      <c r="AA5" s="2021"/>
      <c r="AB5" s="2021" t="s">
        <v>591</v>
      </c>
      <c r="AC5" s="2021"/>
      <c r="AD5" s="2021" t="s">
        <v>1755</v>
      </c>
      <c r="AE5" s="2021"/>
      <c r="AF5" s="2021" t="s">
        <v>592</v>
      </c>
      <c r="AG5" s="2021"/>
      <c r="AH5" s="2021" t="s">
        <v>593</v>
      </c>
      <c r="AI5" s="2021"/>
    </row>
    <row r="6" spans="1:37">
      <c r="A6" s="675"/>
      <c r="B6" s="675"/>
      <c r="C6" s="672" t="s">
        <v>594</v>
      </c>
      <c r="D6" s="676">
        <v>1</v>
      </c>
      <c r="E6" s="677" t="s">
        <v>496</v>
      </c>
      <c r="F6" s="678">
        <v>1.1559999999999999</v>
      </c>
      <c r="G6" s="677" t="s">
        <v>496</v>
      </c>
      <c r="H6" s="676">
        <v>1.292</v>
      </c>
      <c r="I6" s="677" t="s">
        <v>496</v>
      </c>
      <c r="J6" s="676">
        <v>1.5389999999999999</v>
      </c>
      <c r="K6" s="677" t="s">
        <v>496</v>
      </c>
      <c r="L6" s="676">
        <v>1.901</v>
      </c>
      <c r="M6" s="677" t="s">
        <v>496</v>
      </c>
      <c r="N6" s="676">
        <v>2.302</v>
      </c>
      <c r="O6" s="677" t="s">
        <v>496</v>
      </c>
      <c r="P6" s="676">
        <v>2.5659999999999998</v>
      </c>
      <c r="Q6" s="677" t="s">
        <v>496</v>
      </c>
      <c r="R6" s="676">
        <v>2.6819999999999999</v>
      </c>
      <c r="S6" s="677" t="s">
        <v>496</v>
      </c>
      <c r="T6" s="676">
        <v>2.78</v>
      </c>
      <c r="U6" s="677" t="s">
        <v>496</v>
      </c>
      <c r="V6" s="676">
        <v>2.3723331310973035</v>
      </c>
      <c r="W6" s="677" t="s">
        <v>496</v>
      </c>
      <c r="X6" s="676">
        <v>3.3</v>
      </c>
      <c r="Y6" s="677" t="s">
        <v>496</v>
      </c>
      <c r="Z6" s="676">
        <v>4</v>
      </c>
      <c r="AA6" s="677" t="s">
        <v>496</v>
      </c>
      <c r="AB6" s="676">
        <v>5.2949999999999999</v>
      </c>
      <c r="AC6" s="677" t="s">
        <v>496</v>
      </c>
      <c r="AD6" s="676">
        <v>5.4375999999999998</v>
      </c>
      <c r="AE6" s="677" t="s">
        <v>496</v>
      </c>
      <c r="AF6" s="676">
        <v>6.2</v>
      </c>
      <c r="AG6" s="677" t="s">
        <v>496</v>
      </c>
      <c r="AH6" s="676">
        <v>8.1999999999999993</v>
      </c>
      <c r="AI6" s="677" t="s">
        <v>496</v>
      </c>
    </row>
    <row r="7" spans="1:37">
      <c r="A7" s="679" t="s">
        <v>595</v>
      </c>
      <c r="B7" s="679"/>
      <c r="C7" s="679"/>
      <c r="D7" s="680" t="s">
        <v>506</v>
      </c>
      <c r="E7" s="681" t="s">
        <v>596</v>
      </c>
      <c r="F7" s="682" t="s">
        <v>506</v>
      </c>
      <c r="G7" s="681" t="s">
        <v>596</v>
      </c>
      <c r="H7" s="680" t="s">
        <v>506</v>
      </c>
      <c r="I7" s="681" t="s">
        <v>596</v>
      </c>
      <c r="J7" s="680" t="s">
        <v>506</v>
      </c>
      <c r="K7" s="681" t="s">
        <v>596</v>
      </c>
      <c r="L7" s="680" t="s">
        <v>506</v>
      </c>
      <c r="M7" s="681" t="s">
        <v>596</v>
      </c>
      <c r="N7" s="680" t="s">
        <v>506</v>
      </c>
      <c r="O7" s="681" t="s">
        <v>596</v>
      </c>
      <c r="P7" s="680" t="s">
        <v>506</v>
      </c>
      <c r="Q7" s="681" t="s">
        <v>596</v>
      </c>
      <c r="R7" s="680" t="s">
        <v>506</v>
      </c>
      <c r="S7" s="681" t="s">
        <v>596</v>
      </c>
      <c r="T7" s="680" t="s">
        <v>506</v>
      </c>
      <c r="U7" s="681" t="s">
        <v>596</v>
      </c>
      <c r="V7" s="680" t="s">
        <v>506</v>
      </c>
      <c r="W7" s="681" t="s">
        <v>596</v>
      </c>
      <c r="X7" s="680" t="s">
        <v>506</v>
      </c>
      <c r="Y7" s="681" t="s">
        <v>596</v>
      </c>
      <c r="Z7" s="680" t="s">
        <v>506</v>
      </c>
      <c r="AA7" s="681" t="s">
        <v>596</v>
      </c>
      <c r="AB7" s="680" t="s">
        <v>506</v>
      </c>
      <c r="AC7" s="681" t="s">
        <v>596</v>
      </c>
      <c r="AD7" s="680" t="s">
        <v>506</v>
      </c>
      <c r="AE7" s="681" t="s">
        <v>596</v>
      </c>
      <c r="AF7" s="680" t="s">
        <v>506</v>
      </c>
      <c r="AG7" s="681" t="s">
        <v>596</v>
      </c>
      <c r="AH7" s="680" t="s">
        <v>506</v>
      </c>
      <c r="AI7" s="681" t="s">
        <v>596</v>
      </c>
    </row>
    <row r="8" spans="1:37">
      <c r="A8" s="675"/>
      <c r="B8" s="673" t="s">
        <v>597</v>
      </c>
      <c r="C8" s="673"/>
      <c r="D8" s="683">
        <f>+C3</f>
        <v>1423500</v>
      </c>
      <c r="E8" s="684" t="s">
        <v>598</v>
      </c>
      <c r="F8" s="683">
        <f>ROUND($D$8*F6,-3)</f>
        <v>1646000</v>
      </c>
      <c r="G8" s="684" t="s">
        <v>598</v>
      </c>
      <c r="H8" s="683">
        <f>ROUND($D$8*H6,-3)</f>
        <v>1839000</v>
      </c>
      <c r="I8" s="684" t="s">
        <v>598</v>
      </c>
      <c r="J8" s="683">
        <f>ROUND($D$8*J6,-3)</f>
        <v>2191000</v>
      </c>
      <c r="K8" s="684" t="s">
        <v>598</v>
      </c>
      <c r="L8" s="683">
        <f>ROUND($D$8*L6,-3)</f>
        <v>2706000</v>
      </c>
      <c r="M8" s="684" t="s">
        <v>598</v>
      </c>
      <c r="N8" s="683">
        <f>ROUND($D$8*N6,-3)</f>
        <v>3277000</v>
      </c>
      <c r="O8" s="684" t="s">
        <v>598</v>
      </c>
      <c r="P8" s="683">
        <f>ROUND($D$8*P6,-3)</f>
        <v>3653000</v>
      </c>
      <c r="Q8" s="684" t="s">
        <v>598</v>
      </c>
      <c r="R8" s="683">
        <f>ROUND($D$8*R6,-3)</f>
        <v>3818000</v>
      </c>
      <c r="S8" s="684" t="s">
        <v>598</v>
      </c>
      <c r="T8" s="683">
        <f>ROUND($D$8*T6,-3)</f>
        <v>3957000</v>
      </c>
      <c r="U8" s="684" t="s">
        <v>598</v>
      </c>
      <c r="V8" s="683">
        <f>ROUND($D$8*V6,-3)</f>
        <v>3377000</v>
      </c>
      <c r="W8" s="684" t="s">
        <v>598</v>
      </c>
      <c r="X8" s="683">
        <f>ROUND($D$8*X6,-3)</f>
        <v>4698000</v>
      </c>
      <c r="Y8" s="684" t="s">
        <v>598</v>
      </c>
      <c r="Z8" s="683">
        <f>ROUND($D$8*Z6,-3)</f>
        <v>5694000</v>
      </c>
      <c r="AA8" s="684" t="s">
        <v>598</v>
      </c>
      <c r="AB8" s="683">
        <f>ROUND($D$8*AB6,-3)</f>
        <v>7537000</v>
      </c>
      <c r="AC8" s="684" t="s">
        <v>598</v>
      </c>
      <c r="AD8" s="683">
        <f>ROUND($D$8*AD6,-3)</f>
        <v>7740000</v>
      </c>
      <c r="AE8" s="684" t="s">
        <v>598</v>
      </c>
      <c r="AF8" s="683">
        <f>ROUND($D$8*AF6,-3)</f>
        <v>8826000</v>
      </c>
      <c r="AG8" s="684" t="s">
        <v>598</v>
      </c>
      <c r="AH8" s="683">
        <f>ROUND($D$8*AH6,-3)</f>
        <v>11673000</v>
      </c>
      <c r="AI8" s="684" t="s">
        <v>598</v>
      </c>
    </row>
    <row r="9" spans="1:37">
      <c r="A9" s="675"/>
      <c r="B9" s="673" t="s">
        <v>599</v>
      </c>
      <c r="C9" s="685"/>
      <c r="D9" s="683">
        <f>+C4</f>
        <v>200000</v>
      </c>
      <c r="E9" s="684" t="s">
        <v>600</v>
      </c>
      <c r="F9" s="686">
        <f>$D$9</f>
        <v>200000</v>
      </c>
      <c r="G9" s="684" t="s">
        <v>600</v>
      </c>
      <c r="H9" s="683">
        <f>$D$9</f>
        <v>200000</v>
      </c>
      <c r="I9" s="684" t="s">
        <v>600</v>
      </c>
      <c r="J9" s="683">
        <f>$D$9</f>
        <v>200000</v>
      </c>
      <c r="K9" s="684" t="s">
        <v>600</v>
      </c>
      <c r="L9" s="683">
        <f>$D$9</f>
        <v>200000</v>
      </c>
      <c r="M9" s="684" t="s">
        <v>600</v>
      </c>
      <c r="N9" s="683">
        <v>0</v>
      </c>
      <c r="O9" s="684" t="s">
        <v>600</v>
      </c>
      <c r="P9" s="683">
        <v>0</v>
      </c>
      <c r="Q9" s="684" t="s">
        <v>600</v>
      </c>
      <c r="R9" s="683">
        <v>0</v>
      </c>
      <c r="S9" s="684" t="s">
        <v>600</v>
      </c>
      <c r="T9" s="683">
        <v>0</v>
      </c>
      <c r="U9" s="684" t="s">
        <v>600</v>
      </c>
      <c r="V9" s="683">
        <v>0</v>
      </c>
      <c r="W9" s="684" t="s">
        <v>600</v>
      </c>
      <c r="X9" s="683">
        <v>0</v>
      </c>
      <c r="Y9" s="684" t="s">
        <v>600</v>
      </c>
      <c r="Z9" s="683">
        <v>0</v>
      </c>
      <c r="AA9" s="684" t="s">
        <v>600</v>
      </c>
      <c r="AB9" s="683">
        <v>0</v>
      </c>
      <c r="AC9" s="684" t="s">
        <v>600</v>
      </c>
      <c r="AD9" s="683">
        <v>0</v>
      </c>
      <c r="AE9" s="684" t="s">
        <v>600</v>
      </c>
      <c r="AF9" s="683">
        <v>0</v>
      </c>
      <c r="AG9" s="684" t="s">
        <v>600</v>
      </c>
      <c r="AH9" s="683">
        <v>0</v>
      </c>
      <c r="AI9" s="684" t="s">
        <v>600</v>
      </c>
    </row>
    <row r="10" spans="1:37">
      <c r="A10" s="675"/>
      <c r="B10" s="673" t="s">
        <v>601</v>
      </c>
      <c r="C10" s="673"/>
      <c r="D10" s="687">
        <f>ROUNDDOWN(SUM(D8:D9),-3)</f>
        <v>1623000</v>
      </c>
      <c r="E10" s="684" t="s">
        <v>602</v>
      </c>
      <c r="F10" s="688">
        <f>ROUND(SUM(F8:F9),-3)</f>
        <v>1846000</v>
      </c>
      <c r="G10" s="684" t="s">
        <v>602</v>
      </c>
      <c r="H10" s="687">
        <f>ROUND(SUM(H8:H9),-3)</f>
        <v>2039000</v>
      </c>
      <c r="I10" s="684" t="s">
        <v>602</v>
      </c>
      <c r="J10" s="687">
        <f>ROUND(SUM(J8:J9),-3)</f>
        <v>2391000</v>
      </c>
      <c r="K10" s="684" t="s">
        <v>602</v>
      </c>
      <c r="L10" s="687">
        <f>ROUND(SUM(L8:L9),-3)</f>
        <v>2906000</v>
      </c>
      <c r="M10" s="684" t="s">
        <v>602</v>
      </c>
      <c r="N10" s="687">
        <f>ROUND(SUM(N8:N9),-3)</f>
        <v>3277000</v>
      </c>
      <c r="O10" s="684" t="s">
        <v>602</v>
      </c>
      <c r="P10" s="687">
        <f>ROUND(SUM(P8:P9),-3)</f>
        <v>3653000</v>
      </c>
      <c r="Q10" s="684" t="s">
        <v>602</v>
      </c>
      <c r="R10" s="687">
        <f>ROUND(SUM(R8:R9),-3)</f>
        <v>3818000</v>
      </c>
      <c r="S10" s="684" t="s">
        <v>602</v>
      </c>
      <c r="T10" s="687">
        <f>ROUND(SUM(T8:T9),-3)</f>
        <v>3957000</v>
      </c>
      <c r="U10" s="684" t="s">
        <v>602</v>
      </c>
      <c r="V10" s="687">
        <f>ROUND(SUM(V8:V9),-3)</f>
        <v>3377000</v>
      </c>
      <c r="W10" s="684" t="s">
        <v>602</v>
      </c>
      <c r="X10" s="687">
        <f>ROUND(SUM(X8:X9),-3)</f>
        <v>4698000</v>
      </c>
      <c r="Y10" s="684" t="s">
        <v>602</v>
      </c>
      <c r="Z10" s="687">
        <f>ROUND(SUM(Z8:Z9),-3)</f>
        <v>5694000</v>
      </c>
      <c r="AA10" s="684" t="s">
        <v>602</v>
      </c>
      <c r="AB10" s="687">
        <f>ROUND(SUM(AB8:AB9),-3)</f>
        <v>7537000</v>
      </c>
      <c r="AC10" s="684" t="s">
        <v>602</v>
      </c>
      <c r="AD10" s="687">
        <f>ROUND(SUM(AD8:AD9),-3)</f>
        <v>7740000</v>
      </c>
      <c r="AE10" s="684" t="s">
        <v>602</v>
      </c>
      <c r="AF10" s="687">
        <f>ROUND(SUM(AF8:AF9),-3)</f>
        <v>8826000</v>
      </c>
      <c r="AG10" s="684" t="s">
        <v>602</v>
      </c>
      <c r="AH10" s="687">
        <f>ROUND(SUM(AH8:AH9),-3)</f>
        <v>11673000</v>
      </c>
      <c r="AI10" s="684" t="s">
        <v>602</v>
      </c>
    </row>
    <row r="11" spans="1:37">
      <c r="A11" s="675"/>
      <c r="B11" s="673" t="s">
        <v>603</v>
      </c>
      <c r="C11" s="673"/>
      <c r="D11" s="687">
        <f>+(D8/30)*360</f>
        <v>17082000</v>
      </c>
      <c r="E11" s="684" t="s">
        <v>604</v>
      </c>
      <c r="F11" s="688">
        <f>+(F8/30)*360</f>
        <v>19752000</v>
      </c>
      <c r="G11" s="684" t="s">
        <v>604</v>
      </c>
      <c r="H11" s="687">
        <f>+(H8/30)*360</f>
        <v>22068000</v>
      </c>
      <c r="I11" s="684" t="s">
        <v>604</v>
      </c>
      <c r="J11" s="687">
        <f>+(J8/30)*360</f>
        <v>26292000</v>
      </c>
      <c r="K11" s="684" t="s">
        <v>604</v>
      </c>
      <c r="L11" s="687">
        <f>+(L8/30)*360</f>
        <v>32472000</v>
      </c>
      <c r="M11" s="684" t="s">
        <v>604</v>
      </c>
      <c r="N11" s="687">
        <f>+(N8/30)*360</f>
        <v>39324000</v>
      </c>
      <c r="O11" s="684" t="s">
        <v>604</v>
      </c>
      <c r="P11" s="687">
        <f>+(P8/30)*360</f>
        <v>43836000</v>
      </c>
      <c r="Q11" s="684" t="s">
        <v>604</v>
      </c>
      <c r="R11" s="687">
        <f>+(R8/30)*360</f>
        <v>45816000</v>
      </c>
      <c r="S11" s="684" t="s">
        <v>604</v>
      </c>
      <c r="T11" s="687">
        <f>+(T8/30)*360</f>
        <v>47484000</v>
      </c>
      <c r="U11" s="684" t="s">
        <v>604</v>
      </c>
      <c r="V11" s="687">
        <f>+(V8/30)*360</f>
        <v>40524000</v>
      </c>
      <c r="W11" s="684" t="s">
        <v>604</v>
      </c>
      <c r="X11" s="687">
        <f>+(X8/30)*360</f>
        <v>56376000</v>
      </c>
      <c r="Y11" s="684" t="s">
        <v>604</v>
      </c>
      <c r="Z11" s="687">
        <f>+(Z8/30)*360</f>
        <v>68328000</v>
      </c>
      <c r="AA11" s="684" t="s">
        <v>604</v>
      </c>
      <c r="AB11" s="687">
        <f>+(AB8/30)*360</f>
        <v>90444000</v>
      </c>
      <c r="AC11" s="684" t="s">
        <v>604</v>
      </c>
      <c r="AD11" s="687">
        <f>+(AD8/30)*360</f>
        <v>92880000</v>
      </c>
      <c r="AE11" s="684" t="s">
        <v>604</v>
      </c>
      <c r="AF11" s="687">
        <f>+(AF8/30)*360</f>
        <v>105912000</v>
      </c>
      <c r="AG11" s="684" t="s">
        <v>604</v>
      </c>
      <c r="AH11" s="687">
        <f>+(AH8/30)*360</f>
        <v>140076000</v>
      </c>
      <c r="AI11" s="684" t="s">
        <v>604</v>
      </c>
    </row>
    <row r="12" spans="1:37">
      <c r="A12" s="675"/>
      <c r="B12" s="673" t="s">
        <v>605</v>
      </c>
      <c r="C12" s="673"/>
      <c r="D12" s="687">
        <f>+D9*12</f>
        <v>2400000</v>
      </c>
      <c r="E12" s="684">
        <v>1</v>
      </c>
      <c r="F12" s="688">
        <f>+F9*12</f>
        <v>2400000</v>
      </c>
      <c r="G12" s="684">
        <v>1</v>
      </c>
      <c r="H12" s="687">
        <f>+H9*12</f>
        <v>2400000</v>
      </c>
      <c r="I12" s="684">
        <v>1</v>
      </c>
      <c r="J12" s="687">
        <f>+J9*12</f>
        <v>2400000</v>
      </c>
      <c r="K12" s="684">
        <v>1</v>
      </c>
      <c r="L12" s="687">
        <f>+L9*12</f>
        <v>2400000</v>
      </c>
      <c r="M12" s="684">
        <v>1</v>
      </c>
      <c r="N12" s="687">
        <f>+N9*12</f>
        <v>0</v>
      </c>
      <c r="O12" s="684">
        <v>1</v>
      </c>
      <c r="P12" s="687">
        <f>+P9*12</f>
        <v>0</v>
      </c>
      <c r="Q12" s="684">
        <v>1</v>
      </c>
      <c r="R12" s="687">
        <f>+R9*12</f>
        <v>0</v>
      </c>
      <c r="S12" s="684">
        <v>1</v>
      </c>
      <c r="T12" s="687">
        <f>+T9*12</f>
        <v>0</v>
      </c>
      <c r="U12" s="684">
        <v>1</v>
      </c>
      <c r="V12" s="687">
        <f>+V9*12</f>
        <v>0</v>
      </c>
      <c r="W12" s="684">
        <v>1</v>
      </c>
      <c r="X12" s="687">
        <f>+X9*12</f>
        <v>0</v>
      </c>
      <c r="Y12" s="684">
        <v>1</v>
      </c>
      <c r="Z12" s="687">
        <f>+Z9*12</f>
        <v>0</v>
      </c>
      <c r="AA12" s="684">
        <v>1</v>
      </c>
      <c r="AB12" s="687">
        <f>+AB9*12</f>
        <v>0</v>
      </c>
      <c r="AC12" s="684">
        <v>1</v>
      </c>
      <c r="AD12" s="687">
        <f>+AD9*12</f>
        <v>0</v>
      </c>
      <c r="AE12" s="684">
        <v>1</v>
      </c>
      <c r="AF12" s="687">
        <f>+AF9*12</f>
        <v>0</v>
      </c>
      <c r="AG12" s="684">
        <v>1</v>
      </c>
      <c r="AH12" s="687">
        <f>+AH9*12</f>
        <v>0</v>
      </c>
      <c r="AI12" s="684">
        <v>1</v>
      </c>
    </row>
    <row r="13" spans="1:37">
      <c r="A13" s="675"/>
      <c r="B13" s="673" t="s">
        <v>606</v>
      </c>
      <c r="C13" s="673"/>
      <c r="D13" s="687">
        <f>D9*11.5</f>
        <v>2300000</v>
      </c>
      <c r="E13" s="684"/>
      <c r="F13" s="688">
        <f>F9*11.5</f>
        <v>2300000</v>
      </c>
      <c r="G13" s="684"/>
      <c r="H13" s="687">
        <f>H9*11.5</f>
        <v>2300000</v>
      </c>
      <c r="I13" s="684"/>
      <c r="J13" s="687">
        <f>J9*11.5</f>
        <v>2300000</v>
      </c>
      <c r="K13" s="684"/>
      <c r="L13" s="687">
        <f>L9*11.5</f>
        <v>2300000</v>
      </c>
      <c r="M13" s="684"/>
      <c r="N13" s="687">
        <f>N9*11.5</f>
        <v>0</v>
      </c>
      <c r="O13" s="684"/>
      <c r="P13" s="687">
        <f>P9*11.5</f>
        <v>0</v>
      </c>
      <c r="Q13" s="684"/>
      <c r="R13" s="687">
        <f>R9*11.5</f>
        <v>0</v>
      </c>
      <c r="S13" s="684"/>
      <c r="T13" s="687">
        <f>T9*11.5</f>
        <v>0</v>
      </c>
      <c r="U13" s="684"/>
      <c r="V13" s="687">
        <f>V9*11.5</f>
        <v>0</v>
      </c>
      <c r="W13" s="684"/>
      <c r="X13" s="687">
        <f>X9*11.5</f>
        <v>0</v>
      </c>
      <c r="Y13" s="684"/>
      <c r="Z13" s="687">
        <f>Z9*11.5</f>
        <v>0</v>
      </c>
      <c r="AA13" s="684"/>
      <c r="AB13" s="687">
        <f>AB9*11.5</f>
        <v>0</v>
      </c>
      <c r="AC13" s="684"/>
      <c r="AD13" s="687">
        <f>AD9*11.5</f>
        <v>0</v>
      </c>
      <c r="AE13" s="684"/>
      <c r="AF13" s="687">
        <f>AF9*11.5</f>
        <v>0</v>
      </c>
      <c r="AG13" s="684"/>
      <c r="AH13" s="687">
        <f>AH9*11.5</f>
        <v>0</v>
      </c>
      <c r="AI13" s="684"/>
    </row>
    <row r="14" spans="1:37">
      <c r="A14" s="675"/>
      <c r="B14" s="673" t="s">
        <v>607</v>
      </c>
      <c r="C14" s="673"/>
      <c r="D14" s="687">
        <f>+D11+D12</f>
        <v>19482000</v>
      </c>
      <c r="E14" s="684" t="s">
        <v>608</v>
      </c>
      <c r="F14" s="688">
        <f>+F11+F12</f>
        <v>22152000</v>
      </c>
      <c r="G14" s="684" t="s">
        <v>608</v>
      </c>
      <c r="H14" s="687">
        <f>+H11+H12</f>
        <v>24468000</v>
      </c>
      <c r="I14" s="684" t="s">
        <v>608</v>
      </c>
      <c r="J14" s="687">
        <f>+J11+J12</f>
        <v>28692000</v>
      </c>
      <c r="K14" s="684" t="s">
        <v>608</v>
      </c>
      <c r="L14" s="687">
        <f>+L11+L12</f>
        <v>34872000</v>
      </c>
      <c r="M14" s="684" t="s">
        <v>608</v>
      </c>
      <c r="N14" s="687">
        <f>+N11+N12</f>
        <v>39324000</v>
      </c>
      <c r="O14" s="684" t="s">
        <v>608</v>
      </c>
      <c r="P14" s="687">
        <f>+P11+P12</f>
        <v>43836000</v>
      </c>
      <c r="Q14" s="684" t="s">
        <v>608</v>
      </c>
      <c r="R14" s="687">
        <f>+R11+R12</f>
        <v>45816000</v>
      </c>
      <c r="S14" s="684" t="s">
        <v>608</v>
      </c>
      <c r="T14" s="687">
        <f>+T11+T12</f>
        <v>47484000</v>
      </c>
      <c r="U14" s="684" t="s">
        <v>608</v>
      </c>
      <c r="V14" s="687">
        <f>+V11+V12</f>
        <v>40524000</v>
      </c>
      <c r="W14" s="684" t="s">
        <v>608</v>
      </c>
      <c r="X14" s="687">
        <f>+X11+X12</f>
        <v>56376000</v>
      </c>
      <c r="Y14" s="684" t="s">
        <v>608</v>
      </c>
      <c r="Z14" s="687">
        <f>+Z11+Z12</f>
        <v>68328000</v>
      </c>
      <c r="AA14" s="684" t="s">
        <v>608</v>
      </c>
      <c r="AB14" s="687">
        <f>+AB11+AB12</f>
        <v>90444000</v>
      </c>
      <c r="AC14" s="684" t="s">
        <v>608</v>
      </c>
      <c r="AD14" s="687">
        <f>+AD11+AD12</f>
        <v>92880000</v>
      </c>
      <c r="AE14" s="684" t="s">
        <v>608</v>
      </c>
      <c r="AF14" s="687">
        <f>+AF11+AF12</f>
        <v>105912000</v>
      </c>
      <c r="AG14" s="684" t="s">
        <v>608</v>
      </c>
      <c r="AH14" s="687">
        <f>+AH11+AH12</f>
        <v>140076000</v>
      </c>
      <c r="AI14" s="684" t="s">
        <v>608</v>
      </c>
    </row>
    <row r="15" spans="1:37">
      <c r="A15" s="689" t="s">
        <v>505</v>
      </c>
      <c r="B15" s="690"/>
      <c r="C15" s="691"/>
      <c r="D15" s="692" t="s">
        <v>609</v>
      </c>
      <c r="E15" s="691" t="s">
        <v>487</v>
      </c>
      <c r="F15" s="693" t="s">
        <v>609</v>
      </c>
      <c r="G15" s="691" t="s">
        <v>487</v>
      </c>
      <c r="H15" s="692" t="s">
        <v>609</v>
      </c>
      <c r="I15" s="691" t="s">
        <v>487</v>
      </c>
      <c r="J15" s="692" t="s">
        <v>609</v>
      </c>
      <c r="K15" s="691" t="s">
        <v>487</v>
      </c>
      <c r="L15" s="692" t="s">
        <v>609</v>
      </c>
      <c r="M15" s="691" t="s">
        <v>487</v>
      </c>
      <c r="N15" s="692" t="s">
        <v>609</v>
      </c>
      <c r="O15" s="691" t="s">
        <v>487</v>
      </c>
      <c r="P15" s="692" t="s">
        <v>609</v>
      </c>
      <c r="Q15" s="691" t="s">
        <v>487</v>
      </c>
      <c r="R15" s="692" t="s">
        <v>609</v>
      </c>
      <c r="S15" s="691" t="s">
        <v>487</v>
      </c>
      <c r="T15" s="692" t="s">
        <v>609</v>
      </c>
      <c r="U15" s="691" t="s">
        <v>487</v>
      </c>
      <c r="V15" s="692" t="s">
        <v>609</v>
      </c>
      <c r="W15" s="691" t="s">
        <v>487</v>
      </c>
      <c r="X15" s="692" t="s">
        <v>609</v>
      </c>
      <c r="Y15" s="691" t="s">
        <v>487</v>
      </c>
      <c r="Z15" s="692" t="s">
        <v>609</v>
      </c>
      <c r="AA15" s="691" t="s">
        <v>487</v>
      </c>
      <c r="AB15" s="692" t="s">
        <v>609</v>
      </c>
      <c r="AC15" s="691" t="s">
        <v>487</v>
      </c>
      <c r="AD15" s="692" t="s">
        <v>609</v>
      </c>
      <c r="AE15" s="691" t="s">
        <v>487</v>
      </c>
      <c r="AF15" s="692" t="s">
        <v>609</v>
      </c>
      <c r="AG15" s="691" t="s">
        <v>487</v>
      </c>
      <c r="AH15" s="692" t="s">
        <v>609</v>
      </c>
      <c r="AI15" s="691" t="s">
        <v>487</v>
      </c>
    </row>
    <row r="16" spans="1:37">
      <c r="A16" s="679" t="s">
        <v>610</v>
      </c>
      <c r="B16" s="694"/>
      <c r="C16" s="694"/>
      <c r="D16" s="695"/>
      <c r="E16" s="696">
        <f>SUM(E18:E32)</f>
        <v>0.58252357932769949</v>
      </c>
      <c r="F16" s="697"/>
      <c r="G16" s="698"/>
      <c r="H16" s="697"/>
      <c r="I16" s="698"/>
      <c r="J16" s="697"/>
      <c r="K16" s="698"/>
      <c r="L16" s="697"/>
      <c r="M16" s="698"/>
      <c r="N16" s="697"/>
      <c r="O16" s="698"/>
      <c r="P16" s="697"/>
      <c r="Q16" s="698"/>
      <c r="R16" s="697"/>
      <c r="S16" s="698"/>
      <c r="T16" s="697"/>
      <c r="U16" s="698"/>
      <c r="V16" s="697"/>
      <c r="W16" s="698"/>
      <c r="X16" s="697"/>
      <c r="Y16" s="698"/>
      <c r="Z16" s="697"/>
      <c r="AA16" s="698"/>
      <c r="AB16" s="697"/>
      <c r="AC16" s="698"/>
      <c r="AD16" s="697"/>
      <c r="AE16" s="698"/>
      <c r="AF16" s="697"/>
      <c r="AG16" s="698"/>
      <c r="AH16" s="697"/>
      <c r="AI16" s="699"/>
    </row>
    <row r="17" spans="1:35">
      <c r="A17" s="675"/>
      <c r="B17" s="673" t="s">
        <v>611</v>
      </c>
      <c r="C17" s="673"/>
      <c r="D17" s="687">
        <f>D11</f>
        <v>17082000</v>
      </c>
      <c r="E17" s="700">
        <v>1</v>
      </c>
      <c r="F17" s="688">
        <f>F11</f>
        <v>19752000</v>
      </c>
      <c r="G17" s="700">
        <v>1</v>
      </c>
      <c r="H17" s="687">
        <f>H11</f>
        <v>22068000</v>
      </c>
      <c r="I17" s="700">
        <v>1</v>
      </c>
      <c r="J17" s="687">
        <f>J11</f>
        <v>26292000</v>
      </c>
      <c r="K17" s="700">
        <v>1</v>
      </c>
      <c r="L17" s="687">
        <f>L11</f>
        <v>32472000</v>
      </c>
      <c r="M17" s="700">
        <v>1</v>
      </c>
      <c r="N17" s="687">
        <f>N11</f>
        <v>39324000</v>
      </c>
      <c r="O17" s="700">
        <v>1</v>
      </c>
      <c r="P17" s="687">
        <f>P11</f>
        <v>43836000</v>
      </c>
      <c r="Q17" s="700">
        <v>1</v>
      </c>
      <c r="R17" s="687">
        <f>R11</f>
        <v>45816000</v>
      </c>
      <c r="S17" s="700">
        <v>1</v>
      </c>
      <c r="T17" s="687">
        <f>T11</f>
        <v>47484000</v>
      </c>
      <c r="U17" s="700">
        <v>1</v>
      </c>
      <c r="V17" s="687">
        <f>V11</f>
        <v>40524000</v>
      </c>
      <c r="W17" s="700">
        <v>1</v>
      </c>
      <c r="X17" s="687">
        <f>X11</f>
        <v>56376000</v>
      </c>
      <c r="Y17" s="700">
        <v>1</v>
      </c>
      <c r="Z17" s="687">
        <f>Z11</f>
        <v>68328000</v>
      </c>
      <c r="AA17" s="700">
        <v>1</v>
      </c>
      <c r="AB17" s="687">
        <f>AB11</f>
        <v>90444000</v>
      </c>
      <c r="AC17" s="700">
        <v>1</v>
      </c>
      <c r="AD17" s="687">
        <f>AD11</f>
        <v>92880000</v>
      </c>
      <c r="AE17" s="700">
        <v>1</v>
      </c>
      <c r="AF17" s="687">
        <f>AF11</f>
        <v>105912000</v>
      </c>
      <c r="AG17" s="700">
        <v>1</v>
      </c>
      <c r="AH17" s="687">
        <f>AH11</f>
        <v>140076000</v>
      </c>
      <c r="AI17" s="700">
        <v>1</v>
      </c>
    </row>
    <row r="18" spans="1:35">
      <c r="A18" s="675"/>
      <c r="B18" s="673" t="s">
        <v>612</v>
      </c>
      <c r="C18" s="673"/>
      <c r="D18" s="687">
        <f>D13</f>
        <v>2300000</v>
      </c>
      <c r="E18" s="701">
        <f>+D13/$D$11</f>
        <v>0.13464465519260041</v>
      </c>
      <c r="F18" s="688">
        <f>F13</f>
        <v>2300000</v>
      </c>
      <c r="G18" s="701">
        <f>+F13/$D$11</f>
        <v>0.13464465519260041</v>
      </c>
      <c r="H18" s="687">
        <f>H13</f>
        <v>2300000</v>
      </c>
      <c r="I18" s="701">
        <f>+H13/$D$11</f>
        <v>0.13464465519260041</v>
      </c>
      <c r="J18" s="687">
        <f>J13</f>
        <v>2300000</v>
      </c>
      <c r="K18" s="701">
        <f>+J13/$D$11</f>
        <v>0.13464465519260041</v>
      </c>
      <c r="L18" s="687">
        <f>L13</f>
        <v>2300000</v>
      </c>
      <c r="M18" s="701">
        <f>+L13/$D$11</f>
        <v>0.13464465519260041</v>
      </c>
      <c r="N18" s="687">
        <f>N13</f>
        <v>0</v>
      </c>
      <c r="O18" s="701">
        <f>+N13/$D$11</f>
        <v>0</v>
      </c>
      <c r="P18" s="687">
        <f>P13</f>
        <v>0</v>
      </c>
      <c r="Q18" s="701">
        <f>+P13/$D$11</f>
        <v>0</v>
      </c>
      <c r="R18" s="687">
        <f>R13</f>
        <v>0</v>
      </c>
      <c r="S18" s="701">
        <f>+R13/$D$11</f>
        <v>0</v>
      </c>
      <c r="T18" s="687">
        <f>T13</f>
        <v>0</v>
      </c>
      <c r="U18" s="701">
        <f>+T13/$D$11</f>
        <v>0</v>
      </c>
      <c r="V18" s="687">
        <f>V13</f>
        <v>0</v>
      </c>
      <c r="W18" s="701">
        <f>+V13/$D$11</f>
        <v>0</v>
      </c>
      <c r="X18" s="687">
        <f>X13</f>
        <v>0</v>
      </c>
      <c r="Y18" s="701">
        <f>+X13/$D$11</f>
        <v>0</v>
      </c>
      <c r="Z18" s="687">
        <f>Z13</f>
        <v>0</v>
      </c>
      <c r="AA18" s="701">
        <f>+Z13/$D$11</f>
        <v>0</v>
      </c>
      <c r="AB18" s="687">
        <f>AB13</f>
        <v>0</v>
      </c>
      <c r="AC18" s="701">
        <f>+AB13/$D$11</f>
        <v>0</v>
      </c>
      <c r="AD18" s="687">
        <f>AD13</f>
        <v>0</v>
      </c>
      <c r="AE18" s="701">
        <f>+AD13/$D$11</f>
        <v>0</v>
      </c>
      <c r="AF18" s="687">
        <f>AF13</f>
        <v>0</v>
      </c>
      <c r="AG18" s="701">
        <f>+AF13/$D$11</f>
        <v>0</v>
      </c>
      <c r="AH18" s="687">
        <f>AH13</f>
        <v>0</v>
      </c>
      <c r="AI18" s="701">
        <f>+AH13/$D$11</f>
        <v>0</v>
      </c>
    </row>
    <row r="19" spans="1:35">
      <c r="A19" s="702" t="s">
        <v>613</v>
      </c>
      <c r="B19" s="703"/>
      <c r="C19" s="704"/>
      <c r="D19" s="705"/>
      <c r="E19" s="706"/>
      <c r="F19" s="707"/>
      <c r="G19" s="708"/>
      <c r="H19" s="707"/>
      <c r="I19" s="708"/>
      <c r="J19" s="707"/>
      <c r="K19" s="708"/>
      <c r="L19" s="707"/>
      <c r="M19" s="708"/>
      <c r="N19" s="707"/>
      <c r="O19" s="708"/>
      <c r="P19" s="707"/>
      <c r="Q19" s="708"/>
      <c r="R19" s="707"/>
      <c r="S19" s="708"/>
      <c r="T19" s="707"/>
      <c r="U19" s="708"/>
      <c r="V19" s="707"/>
      <c r="W19" s="708"/>
      <c r="X19" s="707"/>
      <c r="Y19" s="708"/>
      <c r="Z19" s="707"/>
      <c r="AA19" s="708"/>
      <c r="AB19" s="707"/>
      <c r="AC19" s="708"/>
      <c r="AD19" s="707"/>
      <c r="AE19" s="708"/>
      <c r="AF19" s="707"/>
      <c r="AG19" s="708"/>
      <c r="AH19" s="707"/>
      <c r="AI19" s="709"/>
    </row>
    <row r="20" spans="1:35">
      <c r="A20" s="675"/>
      <c r="B20" s="673" t="s">
        <v>614</v>
      </c>
      <c r="C20" s="701"/>
      <c r="D20" s="687">
        <f>+D10*12*30/360</f>
        <v>1623000</v>
      </c>
      <c r="E20" s="701">
        <f>D20/D14</f>
        <v>8.3307668617185096E-2</v>
      </c>
      <c r="F20" s="688">
        <f>+F10*12*30/360</f>
        <v>1846000</v>
      </c>
      <c r="G20" s="700">
        <f>F20/F14</f>
        <v>8.3333333333333329E-2</v>
      </c>
      <c r="H20" s="687">
        <f>+H10*12*30/360</f>
        <v>2039000</v>
      </c>
      <c r="I20" s="700">
        <f>H20/H14</f>
        <v>8.3333333333333329E-2</v>
      </c>
      <c r="J20" s="687">
        <f>+J10*12*30/360</f>
        <v>2391000</v>
      </c>
      <c r="K20" s="700">
        <f>J20/J14</f>
        <v>8.3333333333333329E-2</v>
      </c>
      <c r="L20" s="687">
        <f>+L10*12*30/360</f>
        <v>2906000</v>
      </c>
      <c r="M20" s="700">
        <f>L20/L14</f>
        <v>8.3333333333333329E-2</v>
      </c>
      <c r="N20" s="687">
        <f>+N10*12*30/360</f>
        <v>3277000</v>
      </c>
      <c r="O20" s="700">
        <f>N20/N14</f>
        <v>8.3333333333333329E-2</v>
      </c>
      <c r="P20" s="687">
        <f>+P10*12*30/360</f>
        <v>3653000</v>
      </c>
      <c r="Q20" s="700">
        <f>P20/P14</f>
        <v>8.3333333333333329E-2</v>
      </c>
      <c r="R20" s="687">
        <f>+R10*12*30/360</f>
        <v>3818000</v>
      </c>
      <c r="S20" s="700">
        <f>R20/R14</f>
        <v>8.3333333333333329E-2</v>
      </c>
      <c r="T20" s="687">
        <f>+T10*12*30/360</f>
        <v>3957000</v>
      </c>
      <c r="U20" s="700">
        <f>T20/T14</f>
        <v>8.3333333333333329E-2</v>
      </c>
      <c r="V20" s="687">
        <f>+V10*12*30/360</f>
        <v>3377000</v>
      </c>
      <c r="W20" s="700">
        <f>V20/V14</f>
        <v>8.3333333333333329E-2</v>
      </c>
      <c r="X20" s="687">
        <f>+X10*12*30/360</f>
        <v>4698000</v>
      </c>
      <c r="Y20" s="700">
        <f>X20/X14</f>
        <v>8.3333333333333329E-2</v>
      </c>
      <c r="Z20" s="687">
        <f>+Z10*12*30/360</f>
        <v>5694000</v>
      </c>
      <c r="AA20" s="700">
        <f>Z20/Z14</f>
        <v>8.3333333333333329E-2</v>
      </c>
      <c r="AB20" s="687">
        <f>+AB10*12*30/360</f>
        <v>7537000</v>
      </c>
      <c r="AC20" s="700">
        <f>AB20/AB14</f>
        <v>8.3333333333333329E-2</v>
      </c>
      <c r="AD20" s="687">
        <f>+AD10*12*30/360</f>
        <v>7740000</v>
      </c>
      <c r="AE20" s="700">
        <f>AD20/AD14</f>
        <v>8.3333333333333329E-2</v>
      </c>
      <c r="AF20" s="687">
        <f>+AF10*12*30/360</f>
        <v>8826000</v>
      </c>
      <c r="AG20" s="700">
        <f>AF20/AF14</f>
        <v>8.3333333333333329E-2</v>
      </c>
      <c r="AH20" s="687">
        <f>+AH10*12*30/360</f>
        <v>11673000</v>
      </c>
      <c r="AI20" s="700">
        <f>AH20/AH14</f>
        <v>8.3333333333333329E-2</v>
      </c>
    </row>
    <row r="21" spans="1:35">
      <c r="A21" s="675"/>
      <c r="B21" s="673" t="s">
        <v>615</v>
      </c>
      <c r="C21" s="700"/>
      <c r="D21" s="687">
        <f>+D20*0.12</f>
        <v>194760</v>
      </c>
      <c r="E21" s="701">
        <f>D21/D14</f>
        <v>9.9969202340622117E-3</v>
      </c>
      <c r="F21" s="688">
        <f>+F20*0.12</f>
        <v>221520</v>
      </c>
      <c r="G21" s="701">
        <f>F21/F14</f>
        <v>0.01</v>
      </c>
      <c r="H21" s="687">
        <f>+H20*0.12</f>
        <v>244680</v>
      </c>
      <c r="I21" s="701">
        <f>H21/H14</f>
        <v>0.01</v>
      </c>
      <c r="J21" s="687">
        <f>+J20*0.12</f>
        <v>286920</v>
      </c>
      <c r="K21" s="701">
        <f>J21/J14</f>
        <v>0.01</v>
      </c>
      <c r="L21" s="687">
        <f>+L20*0.12</f>
        <v>348720</v>
      </c>
      <c r="M21" s="701">
        <f>L21/L14</f>
        <v>0.01</v>
      </c>
      <c r="N21" s="687">
        <f>+N20*0.12</f>
        <v>393240</v>
      </c>
      <c r="O21" s="701">
        <f>N21/N14</f>
        <v>0.01</v>
      </c>
      <c r="P21" s="687">
        <f>+P20*0.12</f>
        <v>438360</v>
      </c>
      <c r="Q21" s="701">
        <f>P21/P14</f>
        <v>0.01</v>
      </c>
      <c r="R21" s="687">
        <f>+R20*0.12</f>
        <v>458160</v>
      </c>
      <c r="S21" s="701">
        <f>R21/R14</f>
        <v>0.01</v>
      </c>
      <c r="T21" s="687">
        <f>+T20*0.12</f>
        <v>474840</v>
      </c>
      <c r="U21" s="701">
        <f>T21/T14</f>
        <v>0.01</v>
      </c>
      <c r="V21" s="687">
        <f>+V20*0.12</f>
        <v>405240</v>
      </c>
      <c r="W21" s="701">
        <f>V21/V14</f>
        <v>0.01</v>
      </c>
      <c r="X21" s="687">
        <f>+X20*0.12</f>
        <v>563760</v>
      </c>
      <c r="Y21" s="701">
        <f>X21/X14</f>
        <v>0.01</v>
      </c>
      <c r="Z21" s="687">
        <f>+Z20*0.12</f>
        <v>683280</v>
      </c>
      <c r="AA21" s="701">
        <f>Z21/Z14</f>
        <v>0.01</v>
      </c>
      <c r="AB21" s="687">
        <f>+AB20*0.12</f>
        <v>904440</v>
      </c>
      <c r="AC21" s="701">
        <f>AB21/AB14</f>
        <v>0.01</v>
      </c>
      <c r="AD21" s="687">
        <f>+AD20*0.12</f>
        <v>928800</v>
      </c>
      <c r="AE21" s="701">
        <f>AD21/AD14</f>
        <v>0.01</v>
      </c>
      <c r="AF21" s="687">
        <f>+AF20*0.12</f>
        <v>1059120</v>
      </c>
      <c r="AG21" s="701">
        <f>AF21/AF14</f>
        <v>0.01</v>
      </c>
      <c r="AH21" s="687">
        <f>+AH20*0.12</f>
        <v>1400760</v>
      </c>
      <c r="AI21" s="701">
        <f>AH21/AH14</f>
        <v>0.01</v>
      </c>
    </row>
    <row r="22" spans="1:35">
      <c r="A22" s="675"/>
      <c r="B22" s="673" t="s">
        <v>616</v>
      </c>
      <c r="C22" s="700"/>
      <c r="D22" s="687">
        <f>D10</f>
        <v>1623000</v>
      </c>
      <c r="E22" s="701">
        <f>D22/D14</f>
        <v>8.3307668617185096E-2</v>
      </c>
      <c r="F22" s="688">
        <f>F10</f>
        <v>1846000</v>
      </c>
      <c r="G22" s="701">
        <f>F22/F14</f>
        <v>8.3333333333333329E-2</v>
      </c>
      <c r="H22" s="687">
        <f>H10</f>
        <v>2039000</v>
      </c>
      <c r="I22" s="701">
        <f>H22/H14</f>
        <v>8.3333333333333329E-2</v>
      </c>
      <c r="J22" s="687">
        <f>J10</f>
        <v>2391000</v>
      </c>
      <c r="K22" s="701">
        <f>J22/J14</f>
        <v>8.3333333333333329E-2</v>
      </c>
      <c r="L22" s="687">
        <f>L10</f>
        <v>2906000</v>
      </c>
      <c r="M22" s="701">
        <f>L22/L14</f>
        <v>8.3333333333333329E-2</v>
      </c>
      <c r="N22" s="687">
        <f>N10</f>
        <v>3277000</v>
      </c>
      <c r="O22" s="701">
        <f>N22/N14</f>
        <v>8.3333333333333329E-2</v>
      </c>
      <c r="P22" s="687">
        <f>P10</f>
        <v>3653000</v>
      </c>
      <c r="Q22" s="701">
        <f>P22/P14</f>
        <v>8.3333333333333329E-2</v>
      </c>
      <c r="R22" s="687">
        <f>R10</f>
        <v>3818000</v>
      </c>
      <c r="S22" s="701">
        <f>R22/R14</f>
        <v>8.3333333333333329E-2</v>
      </c>
      <c r="T22" s="687">
        <f>T10</f>
        <v>3957000</v>
      </c>
      <c r="U22" s="701">
        <f>T22/T14</f>
        <v>8.3333333333333329E-2</v>
      </c>
      <c r="V22" s="687">
        <f>V10</f>
        <v>3377000</v>
      </c>
      <c r="W22" s="701">
        <f>V22/V14</f>
        <v>8.3333333333333329E-2</v>
      </c>
      <c r="X22" s="687">
        <f>X10</f>
        <v>4698000</v>
      </c>
      <c r="Y22" s="701">
        <f>X22/X14</f>
        <v>8.3333333333333329E-2</v>
      </c>
      <c r="Z22" s="687">
        <f>Z10</f>
        <v>5694000</v>
      </c>
      <c r="AA22" s="701">
        <f>Z22/Z14</f>
        <v>8.3333333333333329E-2</v>
      </c>
      <c r="AB22" s="687">
        <f>AB10</f>
        <v>7537000</v>
      </c>
      <c r="AC22" s="701">
        <f>AB22/AB14</f>
        <v>8.3333333333333329E-2</v>
      </c>
      <c r="AD22" s="687">
        <f>AD10</f>
        <v>7740000</v>
      </c>
      <c r="AE22" s="701">
        <f>AD22/AD14</f>
        <v>8.3333333333333329E-2</v>
      </c>
      <c r="AF22" s="687">
        <f>AF10</f>
        <v>8826000</v>
      </c>
      <c r="AG22" s="701">
        <f>AF22/AF14</f>
        <v>8.3333333333333329E-2</v>
      </c>
      <c r="AH22" s="687">
        <f>AH10</f>
        <v>11673000</v>
      </c>
      <c r="AI22" s="701">
        <f>AH22/AH14</f>
        <v>8.3333333333333329E-2</v>
      </c>
    </row>
    <row r="23" spans="1:35">
      <c r="A23" s="675"/>
      <c r="B23" s="673" t="s">
        <v>617</v>
      </c>
      <c r="C23" s="700"/>
      <c r="D23" s="687">
        <f>D8/2</f>
        <v>711750</v>
      </c>
      <c r="E23" s="701">
        <f>D23/D11</f>
        <v>4.1666666666666664E-2</v>
      </c>
      <c r="F23" s="688">
        <f>F8/2</f>
        <v>823000</v>
      </c>
      <c r="G23" s="701">
        <f>F23/F11</f>
        <v>4.1666666666666664E-2</v>
      </c>
      <c r="H23" s="687">
        <f>H8/2</f>
        <v>919500</v>
      </c>
      <c r="I23" s="701">
        <f>H23/H11</f>
        <v>4.1666666666666664E-2</v>
      </c>
      <c r="J23" s="687">
        <f>J8/2</f>
        <v>1095500</v>
      </c>
      <c r="K23" s="701">
        <f>J23/J11</f>
        <v>4.1666666666666664E-2</v>
      </c>
      <c r="L23" s="687">
        <f>L8/2</f>
        <v>1353000</v>
      </c>
      <c r="M23" s="701">
        <f>L23/L11</f>
        <v>4.1666666666666664E-2</v>
      </c>
      <c r="N23" s="687">
        <f>N8/2</f>
        <v>1638500</v>
      </c>
      <c r="O23" s="701">
        <f>N23/N11</f>
        <v>4.1666666666666664E-2</v>
      </c>
      <c r="P23" s="687">
        <f>P8/2</f>
        <v>1826500</v>
      </c>
      <c r="Q23" s="701">
        <f>P23/P11</f>
        <v>4.1666666666666664E-2</v>
      </c>
      <c r="R23" s="687">
        <f>R8/2</f>
        <v>1909000</v>
      </c>
      <c r="S23" s="701">
        <f>R23/R11</f>
        <v>4.1666666666666664E-2</v>
      </c>
      <c r="T23" s="687">
        <f>T8/2</f>
        <v>1978500</v>
      </c>
      <c r="U23" s="701">
        <f>T23/T11</f>
        <v>4.1666666666666664E-2</v>
      </c>
      <c r="V23" s="687">
        <f>V8/2</f>
        <v>1688500</v>
      </c>
      <c r="W23" s="701">
        <f>V23/V11</f>
        <v>4.1666666666666664E-2</v>
      </c>
      <c r="X23" s="687">
        <f>X8/2</f>
        <v>2349000</v>
      </c>
      <c r="Y23" s="701">
        <f>X23/X11</f>
        <v>4.1666666666666664E-2</v>
      </c>
      <c r="Z23" s="687">
        <f>Z8/2</f>
        <v>2847000</v>
      </c>
      <c r="AA23" s="701">
        <f>Z23/Z11</f>
        <v>4.1666666666666664E-2</v>
      </c>
      <c r="AB23" s="687">
        <f>AB8/2</f>
        <v>3768500</v>
      </c>
      <c r="AC23" s="701">
        <f>AB23/AB11</f>
        <v>4.1666666666666664E-2</v>
      </c>
      <c r="AD23" s="687">
        <f>AD8/2</f>
        <v>3870000</v>
      </c>
      <c r="AE23" s="701">
        <f>AD23/AD11</f>
        <v>4.1666666666666664E-2</v>
      </c>
      <c r="AF23" s="687">
        <f>AF8/2</f>
        <v>4413000</v>
      </c>
      <c r="AG23" s="701">
        <f>AF23/AF11</f>
        <v>4.1666666666666664E-2</v>
      </c>
      <c r="AH23" s="687">
        <f>AH8/2</f>
        <v>5836500</v>
      </c>
      <c r="AI23" s="701">
        <f>AH23/AH11</f>
        <v>4.1666666666666664E-2</v>
      </c>
    </row>
    <row r="24" spans="1:35">
      <c r="A24" s="710" t="s">
        <v>618</v>
      </c>
      <c r="B24" s="711"/>
      <c r="C24" s="712"/>
      <c r="D24" s="713"/>
      <c r="E24" s="714"/>
      <c r="F24" s="715"/>
      <c r="G24" s="716"/>
      <c r="H24" s="715"/>
      <c r="I24" s="716"/>
      <c r="J24" s="715"/>
      <c r="K24" s="716"/>
      <c r="L24" s="715"/>
      <c r="M24" s="716"/>
      <c r="N24" s="715"/>
      <c r="O24" s="716"/>
      <c r="P24" s="715"/>
      <c r="Q24" s="716"/>
      <c r="R24" s="715"/>
      <c r="S24" s="716"/>
      <c r="T24" s="715"/>
      <c r="U24" s="716"/>
      <c r="V24" s="715"/>
      <c r="W24" s="716"/>
      <c r="X24" s="715"/>
      <c r="Y24" s="716"/>
      <c r="Z24" s="715"/>
      <c r="AA24" s="716"/>
      <c r="AB24" s="715"/>
      <c r="AC24" s="716"/>
      <c r="AD24" s="715"/>
      <c r="AE24" s="716"/>
      <c r="AF24" s="715"/>
      <c r="AG24" s="716"/>
      <c r="AH24" s="715"/>
      <c r="AI24" s="717"/>
    </row>
    <row r="25" spans="1:35">
      <c r="A25" s="675"/>
      <c r="B25" s="673" t="s">
        <v>619</v>
      </c>
      <c r="C25" s="700"/>
      <c r="D25" s="687">
        <f>D11*0.12</f>
        <v>2049840</v>
      </c>
      <c r="E25" s="701">
        <f>D25/D11</f>
        <v>0.12</v>
      </c>
      <c r="F25" s="688">
        <f>F11*0.12</f>
        <v>2370240</v>
      </c>
      <c r="G25" s="701">
        <f>F25/F11</f>
        <v>0.12</v>
      </c>
      <c r="H25" s="687">
        <f>H11*0.12</f>
        <v>2648160</v>
      </c>
      <c r="I25" s="701">
        <f>H25/H11</f>
        <v>0.12</v>
      </c>
      <c r="J25" s="687">
        <f>J11*0.12</f>
        <v>3155040</v>
      </c>
      <c r="K25" s="701">
        <f>J25/J11</f>
        <v>0.12</v>
      </c>
      <c r="L25" s="687">
        <f>L11*0.12</f>
        <v>3896640</v>
      </c>
      <c r="M25" s="701">
        <f>L25/L11</f>
        <v>0.12</v>
      </c>
      <c r="N25" s="687">
        <f>N11*0.12</f>
        <v>4718880</v>
      </c>
      <c r="O25" s="701">
        <f>N25/N11</f>
        <v>0.12</v>
      </c>
      <c r="P25" s="687">
        <f>P11*0.12</f>
        <v>5260320</v>
      </c>
      <c r="Q25" s="701">
        <f>P25/P11</f>
        <v>0.12</v>
      </c>
      <c r="R25" s="687">
        <f>R11*0.12</f>
        <v>5497920</v>
      </c>
      <c r="S25" s="701">
        <f>R25/R11</f>
        <v>0.12</v>
      </c>
      <c r="T25" s="687">
        <f>T11*0.12</f>
        <v>5698080</v>
      </c>
      <c r="U25" s="701">
        <f>T25/T11</f>
        <v>0.12</v>
      </c>
      <c r="V25" s="687">
        <f>V11*0.12</f>
        <v>4862880</v>
      </c>
      <c r="W25" s="701">
        <f>V25/V11</f>
        <v>0.12</v>
      </c>
      <c r="X25" s="687">
        <f>X11*0.12</f>
        <v>6765120</v>
      </c>
      <c r="Y25" s="701">
        <f>X25/X11</f>
        <v>0.12</v>
      </c>
      <c r="Z25" s="687">
        <f>Z11*0.12</f>
        <v>8199360</v>
      </c>
      <c r="AA25" s="701">
        <f>Z25/Z11</f>
        <v>0.12</v>
      </c>
      <c r="AB25" s="687">
        <f>AB11*0.12</f>
        <v>10853280</v>
      </c>
      <c r="AC25" s="701">
        <f>AB25/AB11</f>
        <v>0.12</v>
      </c>
      <c r="AD25" s="687">
        <f>AD11*0.12</f>
        <v>11145600</v>
      </c>
      <c r="AE25" s="701">
        <f>AD25/AD11</f>
        <v>0.12</v>
      </c>
      <c r="AF25" s="687">
        <f>AF11*0.12</f>
        <v>12709440</v>
      </c>
      <c r="AG25" s="701">
        <f>AF25/AF11</f>
        <v>0.12</v>
      </c>
      <c r="AH25" s="687">
        <f>AH11*0.12</f>
        <v>16809120</v>
      </c>
      <c r="AI25" s="701">
        <f>AH25/AH11</f>
        <v>0.12</v>
      </c>
    </row>
    <row r="26" spans="1:35">
      <c r="A26" s="675"/>
      <c r="B26" s="673" t="s">
        <v>620</v>
      </c>
      <c r="C26" s="700"/>
      <c r="D26" s="687">
        <f>+$D$10*12*E26</f>
        <v>0</v>
      </c>
      <c r="E26" s="718"/>
      <c r="F26" s="688">
        <v>0</v>
      </c>
      <c r="G26" s="701">
        <v>0</v>
      </c>
      <c r="H26" s="687">
        <v>0</v>
      </c>
      <c r="I26" s="701">
        <v>0</v>
      </c>
      <c r="J26" s="687">
        <v>0</v>
      </c>
      <c r="K26" s="701">
        <v>0</v>
      </c>
      <c r="L26" s="687">
        <v>0</v>
      </c>
      <c r="M26" s="701">
        <v>0</v>
      </c>
      <c r="N26" s="687">
        <v>0</v>
      </c>
      <c r="O26" s="701">
        <v>0</v>
      </c>
      <c r="P26" s="687">
        <v>0</v>
      </c>
      <c r="Q26" s="701">
        <v>0</v>
      </c>
      <c r="R26" s="687">
        <v>0</v>
      </c>
      <c r="S26" s="701">
        <v>0</v>
      </c>
      <c r="T26" s="687">
        <v>0</v>
      </c>
      <c r="U26" s="701">
        <v>0</v>
      </c>
      <c r="V26" s="687">
        <v>0</v>
      </c>
      <c r="W26" s="701">
        <v>0</v>
      </c>
      <c r="X26" s="687">
        <v>0</v>
      </c>
      <c r="Y26" s="701">
        <v>0</v>
      </c>
      <c r="Z26" s="687">
        <v>0</v>
      </c>
      <c r="AA26" s="701">
        <v>0</v>
      </c>
      <c r="AB26" s="687">
        <v>0</v>
      </c>
      <c r="AC26" s="701">
        <v>0</v>
      </c>
      <c r="AD26" s="687">
        <v>0</v>
      </c>
      <c r="AE26" s="701">
        <v>0</v>
      </c>
      <c r="AF26" s="687">
        <v>0</v>
      </c>
      <c r="AG26" s="701">
        <v>0</v>
      </c>
      <c r="AH26" s="687">
        <v>0</v>
      </c>
      <c r="AI26" s="701">
        <v>0</v>
      </c>
    </row>
    <row r="27" spans="1:35">
      <c r="A27" s="675"/>
      <c r="B27" s="673" t="s">
        <v>621</v>
      </c>
      <c r="C27" s="701"/>
      <c r="D27" s="687">
        <f>D11*0.0696</f>
        <v>1188907.2</v>
      </c>
      <c r="E27" s="701">
        <f>D27/D11</f>
        <v>6.9599999999999995E-2</v>
      </c>
      <c r="F27" s="688">
        <f>F11*0.0696</f>
        <v>1374739.2</v>
      </c>
      <c r="G27" s="701">
        <f>F27/F11</f>
        <v>6.9599999999999995E-2</v>
      </c>
      <c r="H27" s="687">
        <f>H11*0.0696</f>
        <v>1535932.7999999998</v>
      </c>
      <c r="I27" s="701">
        <f>H27/H11</f>
        <v>6.9599999999999995E-2</v>
      </c>
      <c r="J27" s="687">
        <f>J11*0.0696</f>
        <v>1829923.2</v>
      </c>
      <c r="K27" s="701">
        <f>J27/J11</f>
        <v>6.9599999999999995E-2</v>
      </c>
      <c r="L27" s="687">
        <f>L11*0.0696</f>
        <v>2260051.1999999997</v>
      </c>
      <c r="M27" s="701">
        <f>L27/L11</f>
        <v>6.9599999999999995E-2</v>
      </c>
      <c r="N27" s="687">
        <f>N11*0.0696</f>
        <v>2736950.4</v>
      </c>
      <c r="O27" s="701">
        <f>N27/N11</f>
        <v>6.9599999999999995E-2</v>
      </c>
      <c r="P27" s="687">
        <f>P11*0.0696</f>
        <v>3050985.5999999996</v>
      </c>
      <c r="Q27" s="701">
        <f>P27/P11</f>
        <v>6.9599999999999995E-2</v>
      </c>
      <c r="R27" s="687">
        <f>R11*0.0696</f>
        <v>3188793.5999999996</v>
      </c>
      <c r="S27" s="701">
        <f>R27/R11</f>
        <v>6.9599999999999995E-2</v>
      </c>
      <c r="T27" s="687">
        <f>T11*0.0696</f>
        <v>3304886.4</v>
      </c>
      <c r="U27" s="701">
        <f>T27/T11</f>
        <v>6.9599999999999995E-2</v>
      </c>
      <c r="V27" s="687">
        <f>V11*0.0696</f>
        <v>2820470.4</v>
      </c>
      <c r="W27" s="701">
        <f>V27/V11</f>
        <v>6.9599999999999995E-2</v>
      </c>
      <c r="X27" s="687">
        <f>X11*0.0696</f>
        <v>3923769.5999999996</v>
      </c>
      <c r="Y27" s="701">
        <f>X27/X11</f>
        <v>6.9599999999999995E-2</v>
      </c>
      <c r="Z27" s="687">
        <f>Z11*0.0696</f>
        <v>4755628.8</v>
      </c>
      <c r="AA27" s="701">
        <f>Z27/Z11</f>
        <v>6.9599999999999995E-2</v>
      </c>
      <c r="AB27" s="687">
        <f>AB11*0.0696</f>
        <v>6294902.3999999994</v>
      </c>
      <c r="AC27" s="701">
        <f>AB27/AB11</f>
        <v>6.9599999999999995E-2</v>
      </c>
      <c r="AD27" s="687">
        <f>AD11*0.0696</f>
        <v>6464448</v>
      </c>
      <c r="AE27" s="701">
        <f>AD27/AD11</f>
        <v>6.9599999999999995E-2</v>
      </c>
      <c r="AF27" s="687">
        <f>AF11*0.0696</f>
        <v>7371475.1999999993</v>
      </c>
      <c r="AG27" s="701">
        <f>AF27/AF11</f>
        <v>6.9599999999999995E-2</v>
      </c>
      <c r="AH27" s="687">
        <f>AH11*0.0696</f>
        <v>9749289.5999999996</v>
      </c>
      <c r="AI27" s="701">
        <f>AH27/AH11</f>
        <v>6.9599999999999995E-2</v>
      </c>
    </row>
    <row r="28" spans="1:35">
      <c r="A28" s="719" t="s">
        <v>622</v>
      </c>
      <c r="B28" s="720"/>
      <c r="C28" s="721"/>
      <c r="D28" s="722"/>
      <c r="E28" s="723"/>
      <c r="F28" s="724"/>
      <c r="G28" s="725"/>
      <c r="H28" s="724"/>
      <c r="I28" s="725"/>
      <c r="J28" s="724"/>
      <c r="K28" s="725"/>
      <c r="L28" s="724"/>
      <c r="M28" s="725"/>
      <c r="N28" s="724"/>
      <c r="O28" s="725"/>
      <c r="P28" s="724"/>
      <c r="Q28" s="725"/>
      <c r="R28" s="724"/>
      <c r="S28" s="725"/>
      <c r="T28" s="724"/>
      <c r="U28" s="725"/>
      <c r="V28" s="724"/>
      <c r="W28" s="725"/>
      <c r="X28" s="724"/>
      <c r="Y28" s="725"/>
      <c r="Z28" s="724"/>
      <c r="AA28" s="725"/>
      <c r="AB28" s="724"/>
      <c r="AC28" s="725"/>
      <c r="AD28" s="724"/>
      <c r="AE28" s="725"/>
      <c r="AF28" s="724"/>
      <c r="AG28" s="725"/>
      <c r="AH28" s="724"/>
      <c r="AI28" s="726"/>
    </row>
    <row r="29" spans="1:35">
      <c r="A29" s="675"/>
      <c r="B29" s="673" t="s">
        <v>623</v>
      </c>
      <c r="C29" s="700"/>
      <c r="D29" s="687">
        <f>+$D$10*12*E29</f>
        <v>0</v>
      </c>
      <c r="E29" s="727"/>
      <c r="F29" s="688">
        <v>0</v>
      </c>
      <c r="G29" s="701">
        <v>0</v>
      </c>
      <c r="H29" s="687">
        <v>0</v>
      </c>
      <c r="I29" s="701">
        <v>0</v>
      </c>
      <c r="J29" s="687">
        <v>0</v>
      </c>
      <c r="K29" s="701">
        <v>0</v>
      </c>
      <c r="L29" s="687">
        <v>0</v>
      </c>
      <c r="M29" s="701">
        <v>0</v>
      </c>
      <c r="N29" s="687">
        <v>0</v>
      </c>
      <c r="O29" s="701">
        <v>0</v>
      </c>
      <c r="P29" s="687">
        <v>0</v>
      </c>
      <c r="Q29" s="701">
        <v>0</v>
      </c>
      <c r="R29" s="687">
        <v>0</v>
      </c>
      <c r="S29" s="701">
        <v>0</v>
      </c>
      <c r="T29" s="687">
        <v>0</v>
      </c>
      <c r="U29" s="701">
        <v>0</v>
      </c>
      <c r="V29" s="687">
        <v>0</v>
      </c>
      <c r="W29" s="701">
        <v>0</v>
      </c>
      <c r="X29" s="687">
        <v>0</v>
      </c>
      <c r="Y29" s="701">
        <v>0</v>
      </c>
      <c r="Z29" s="687">
        <v>0</v>
      </c>
      <c r="AA29" s="701">
        <v>0</v>
      </c>
      <c r="AB29" s="687">
        <v>0</v>
      </c>
      <c r="AC29" s="701">
        <v>0</v>
      </c>
      <c r="AD29" s="687">
        <v>0</v>
      </c>
      <c r="AE29" s="701">
        <v>0</v>
      </c>
      <c r="AF29" s="687">
        <v>0</v>
      </c>
      <c r="AG29" s="701">
        <v>0</v>
      </c>
      <c r="AH29" s="687">
        <v>0</v>
      </c>
      <c r="AI29" s="701">
        <v>0</v>
      </c>
    </row>
    <row r="30" spans="1:35">
      <c r="A30" s="675"/>
      <c r="B30" s="673" t="s">
        <v>624</v>
      </c>
      <c r="C30" s="700"/>
      <c r="D30" s="687">
        <f>+$D$10*12*E30</f>
        <v>0</v>
      </c>
      <c r="E30" s="727"/>
      <c r="F30" s="688">
        <v>0</v>
      </c>
      <c r="G30" s="701">
        <v>0</v>
      </c>
      <c r="H30" s="687">
        <v>0</v>
      </c>
      <c r="I30" s="701">
        <v>0</v>
      </c>
      <c r="J30" s="687">
        <v>0</v>
      </c>
      <c r="K30" s="701">
        <v>0</v>
      </c>
      <c r="L30" s="687">
        <v>0</v>
      </c>
      <c r="M30" s="701">
        <v>0</v>
      </c>
      <c r="N30" s="687">
        <v>0</v>
      </c>
      <c r="O30" s="701">
        <v>0</v>
      </c>
      <c r="P30" s="687">
        <v>0</v>
      </c>
      <c r="Q30" s="701">
        <v>0</v>
      </c>
      <c r="R30" s="687">
        <v>0</v>
      </c>
      <c r="S30" s="701">
        <v>0</v>
      </c>
      <c r="T30" s="687">
        <v>0</v>
      </c>
      <c r="U30" s="701">
        <v>0</v>
      </c>
      <c r="V30" s="687">
        <v>0</v>
      </c>
      <c r="W30" s="701">
        <v>0</v>
      </c>
      <c r="X30" s="687">
        <v>0</v>
      </c>
      <c r="Y30" s="701">
        <v>0</v>
      </c>
      <c r="Z30" s="687">
        <v>0</v>
      </c>
      <c r="AA30" s="701">
        <v>0</v>
      </c>
      <c r="AB30" s="687">
        <v>0</v>
      </c>
      <c r="AC30" s="701">
        <v>0</v>
      </c>
      <c r="AD30" s="687">
        <v>0</v>
      </c>
      <c r="AE30" s="701">
        <v>0</v>
      </c>
      <c r="AF30" s="687">
        <v>0</v>
      </c>
      <c r="AG30" s="701">
        <v>0</v>
      </c>
      <c r="AH30" s="687">
        <v>0</v>
      </c>
      <c r="AI30" s="701">
        <v>0</v>
      </c>
    </row>
    <row r="31" spans="1:35">
      <c r="A31" s="675"/>
      <c r="B31" s="673" t="s">
        <v>625</v>
      </c>
      <c r="C31" s="700"/>
      <c r="D31" s="687">
        <f>D11*0.04</f>
        <v>683280</v>
      </c>
      <c r="E31" s="701">
        <f>D31/D11</f>
        <v>0.04</v>
      </c>
      <c r="F31" s="688">
        <f>F11*0.04</f>
        <v>790080</v>
      </c>
      <c r="G31" s="701">
        <f>F31/F11</f>
        <v>0.04</v>
      </c>
      <c r="H31" s="687">
        <f>H11*0.04</f>
        <v>882720</v>
      </c>
      <c r="I31" s="701">
        <f>H31/H11</f>
        <v>0.04</v>
      </c>
      <c r="J31" s="687">
        <f>J11*0.04</f>
        <v>1051680</v>
      </c>
      <c r="K31" s="701">
        <f>J31/J11</f>
        <v>0.04</v>
      </c>
      <c r="L31" s="687">
        <f>L11*0.04</f>
        <v>1298880</v>
      </c>
      <c r="M31" s="701">
        <f>L31/L11</f>
        <v>0.04</v>
      </c>
      <c r="N31" s="687">
        <f>N11*0.04</f>
        <v>1572960</v>
      </c>
      <c r="O31" s="701">
        <f>N31/N11</f>
        <v>0.04</v>
      </c>
      <c r="P31" s="687">
        <f>P11*0.04</f>
        <v>1753440</v>
      </c>
      <c r="Q31" s="701">
        <f>P31/P11</f>
        <v>0.04</v>
      </c>
      <c r="R31" s="687">
        <f>R11*0.04</f>
        <v>1832640</v>
      </c>
      <c r="S31" s="701">
        <f>R31/R11</f>
        <v>0.04</v>
      </c>
      <c r="T31" s="687">
        <f>T11*0.04</f>
        <v>1899360</v>
      </c>
      <c r="U31" s="701">
        <f>T31/T11</f>
        <v>0.04</v>
      </c>
      <c r="V31" s="687">
        <f>V11*0.04</f>
        <v>1620960</v>
      </c>
      <c r="W31" s="701">
        <f>V31/V11</f>
        <v>0.04</v>
      </c>
      <c r="X31" s="687">
        <f>X11*0.04</f>
        <v>2255040</v>
      </c>
      <c r="Y31" s="701">
        <f>X31/X11</f>
        <v>0.04</v>
      </c>
      <c r="Z31" s="687">
        <f>Z11*0.04</f>
        <v>2733120</v>
      </c>
      <c r="AA31" s="701">
        <f>Z31/Z11</f>
        <v>0.04</v>
      </c>
      <c r="AB31" s="687">
        <f>AB11*0.04</f>
        <v>3617760</v>
      </c>
      <c r="AC31" s="701">
        <f>AB31/AB11</f>
        <v>0.04</v>
      </c>
      <c r="AD31" s="687">
        <f>AD11*0.04</f>
        <v>3715200</v>
      </c>
      <c r="AE31" s="701">
        <f>AD31/AD11</f>
        <v>0.04</v>
      </c>
      <c r="AF31" s="687">
        <f>AF11*0.04</f>
        <v>4236480</v>
      </c>
      <c r="AG31" s="701">
        <f>AF31/AF11</f>
        <v>0.04</v>
      </c>
      <c r="AH31" s="687">
        <f>AH11*0.04</f>
        <v>5603040</v>
      </c>
      <c r="AI31" s="701">
        <f>AH31/AH11</f>
        <v>0.04</v>
      </c>
    </row>
    <row r="32" spans="1:35">
      <c r="A32" s="675"/>
      <c r="B32" s="673" t="s">
        <v>626</v>
      </c>
      <c r="C32" s="700"/>
      <c r="D32" s="687">
        <f>D11*C32</f>
        <v>0</v>
      </c>
      <c r="E32" s="701">
        <f>D32/D11</f>
        <v>0</v>
      </c>
      <c r="F32" s="688">
        <f>F11*E32</f>
        <v>0</v>
      </c>
      <c r="G32" s="701">
        <f>F32/F11</f>
        <v>0</v>
      </c>
      <c r="H32" s="687">
        <f>H11*G32</f>
        <v>0</v>
      </c>
      <c r="I32" s="701">
        <f>H32/H11</f>
        <v>0</v>
      </c>
      <c r="J32" s="687">
        <f>J11*I32</f>
        <v>0</v>
      </c>
      <c r="K32" s="701">
        <f>J32/J11</f>
        <v>0</v>
      </c>
      <c r="L32" s="687">
        <f>L11*K32</f>
        <v>0</v>
      </c>
      <c r="M32" s="701">
        <f>L32/L11</f>
        <v>0</v>
      </c>
      <c r="N32" s="687">
        <f>N11*M32</f>
        <v>0</v>
      </c>
      <c r="O32" s="701">
        <f>N32/N11</f>
        <v>0</v>
      </c>
      <c r="P32" s="687">
        <f>P11*O32</f>
        <v>0</v>
      </c>
      <c r="Q32" s="701">
        <f>P32/P11</f>
        <v>0</v>
      </c>
      <c r="R32" s="687">
        <f>R11*Q32</f>
        <v>0</v>
      </c>
      <c r="S32" s="701">
        <f>R32/R11</f>
        <v>0</v>
      </c>
      <c r="T32" s="687">
        <f>T11*S32</f>
        <v>0</v>
      </c>
      <c r="U32" s="701">
        <f>T32/T11</f>
        <v>0</v>
      </c>
      <c r="V32" s="687">
        <f>V11*U32</f>
        <v>0</v>
      </c>
      <c r="W32" s="701">
        <f>V32/V11</f>
        <v>0</v>
      </c>
      <c r="X32" s="687">
        <f>X11*W32</f>
        <v>0</v>
      </c>
      <c r="Y32" s="701">
        <f>X32/X11</f>
        <v>0</v>
      </c>
      <c r="Z32" s="687">
        <f>Z11*Y32</f>
        <v>0</v>
      </c>
      <c r="AA32" s="701">
        <f>Z32/Z11</f>
        <v>0</v>
      </c>
      <c r="AB32" s="687">
        <f>AB11*AA32</f>
        <v>0</v>
      </c>
      <c r="AC32" s="701">
        <f>AB32/AB11</f>
        <v>0</v>
      </c>
      <c r="AD32" s="687">
        <f>AD11*AC32</f>
        <v>0</v>
      </c>
      <c r="AE32" s="701">
        <f>AD32/AD11</f>
        <v>0</v>
      </c>
      <c r="AF32" s="687">
        <f>AF11*AE32</f>
        <v>0</v>
      </c>
      <c r="AG32" s="701">
        <f>AF32/AF11</f>
        <v>0</v>
      </c>
      <c r="AH32" s="687">
        <f>AH11*AG32</f>
        <v>0</v>
      </c>
      <c r="AI32" s="701">
        <f>AH32/AH11</f>
        <v>0</v>
      </c>
    </row>
    <row r="33" spans="1:35">
      <c r="A33" s="728" t="s">
        <v>627</v>
      </c>
      <c r="B33" s="729"/>
      <c r="C33" s="730"/>
      <c r="D33" s="731"/>
      <c r="E33" s="732"/>
      <c r="F33" s="733"/>
      <c r="G33" s="734"/>
      <c r="H33" s="733"/>
      <c r="I33" s="734"/>
      <c r="J33" s="733"/>
      <c r="K33" s="734"/>
      <c r="L33" s="733"/>
      <c r="M33" s="734"/>
      <c r="N33" s="733"/>
      <c r="O33" s="734"/>
      <c r="P33" s="733"/>
      <c r="Q33" s="734"/>
      <c r="R33" s="733"/>
      <c r="S33" s="734"/>
      <c r="T33" s="733"/>
      <c r="U33" s="734"/>
      <c r="V33" s="733"/>
      <c r="W33" s="734"/>
      <c r="X33" s="733"/>
      <c r="Y33" s="734"/>
      <c r="Z33" s="733"/>
      <c r="AA33" s="734"/>
      <c r="AB33" s="733"/>
      <c r="AC33" s="734"/>
      <c r="AD33" s="733"/>
      <c r="AE33" s="734"/>
      <c r="AF33" s="733"/>
      <c r="AG33" s="734"/>
      <c r="AH33" s="733"/>
      <c r="AI33" s="734"/>
    </row>
    <row r="34" spans="1:35">
      <c r="A34" s="675"/>
      <c r="B34" s="673" t="s">
        <v>628</v>
      </c>
      <c r="C34" s="700"/>
      <c r="D34" s="687">
        <f>$E$52</f>
        <v>471204.7536</v>
      </c>
      <c r="E34" s="701">
        <f>D34/D11</f>
        <v>2.7584870249385319E-2</v>
      </c>
      <c r="F34" s="688">
        <f>$E$52</f>
        <v>471204.7536</v>
      </c>
      <c r="G34" s="701">
        <f>F34/F11</f>
        <v>2.3856052733900363E-2</v>
      </c>
      <c r="H34" s="687">
        <f>$E$52</f>
        <v>471204.7536</v>
      </c>
      <c r="I34" s="701">
        <f>H34/H11</f>
        <v>2.1352399564980969E-2</v>
      </c>
      <c r="J34" s="687">
        <f>$E$52</f>
        <v>471204.7536</v>
      </c>
      <c r="K34" s="701">
        <f>J34/J11</f>
        <v>1.7921982108626198E-2</v>
      </c>
      <c r="L34" s="687">
        <f>$E$52</f>
        <v>471204.7536</v>
      </c>
      <c r="M34" s="701">
        <f>L34/L11</f>
        <v>1.4511109682187731E-2</v>
      </c>
      <c r="N34" s="687">
        <f>$E$52</f>
        <v>471204.7536</v>
      </c>
      <c r="O34" s="701">
        <f>N34/N11</f>
        <v>1.198262520598108E-2</v>
      </c>
      <c r="P34" s="687">
        <v>0</v>
      </c>
      <c r="Q34" s="701">
        <f>P34/P11</f>
        <v>0</v>
      </c>
      <c r="R34" s="687">
        <v>0</v>
      </c>
      <c r="S34" s="701">
        <f>R34/R11</f>
        <v>0</v>
      </c>
      <c r="T34" s="687">
        <v>0</v>
      </c>
      <c r="U34" s="701">
        <f>T34/T11</f>
        <v>0</v>
      </c>
      <c r="V34" s="687">
        <v>0</v>
      </c>
      <c r="W34" s="701">
        <f>V34/V11</f>
        <v>0</v>
      </c>
      <c r="X34" s="687">
        <v>0</v>
      </c>
      <c r="Y34" s="701">
        <f>X34/X11</f>
        <v>0</v>
      </c>
      <c r="Z34" s="687">
        <v>0</v>
      </c>
      <c r="AA34" s="701">
        <f>Z34/Z11</f>
        <v>0</v>
      </c>
      <c r="AB34" s="687">
        <v>0</v>
      </c>
      <c r="AC34" s="701">
        <f>AB34/AB11</f>
        <v>0</v>
      </c>
      <c r="AD34" s="687">
        <v>0</v>
      </c>
      <c r="AE34" s="701">
        <f>AD34/AD11</f>
        <v>0</v>
      </c>
      <c r="AF34" s="687">
        <v>0</v>
      </c>
      <c r="AG34" s="701">
        <f>AF34/AF11</f>
        <v>0</v>
      </c>
      <c r="AH34" s="687">
        <v>0</v>
      </c>
      <c r="AI34" s="701">
        <f>AH34/AH11</f>
        <v>0</v>
      </c>
    </row>
    <row r="35" spans="1:35">
      <c r="A35" s="675"/>
      <c r="B35" s="673" t="s">
        <v>629</v>
      </c>
      <c r="C35" s="700"/>
      <c r="D35" s="687">
        <f>$L$65</f>
        <v>685049.10559999989</v>
      </c>
      <c r="E35" s="701">
        <f>D35/D11</f>
        <v>4.0103565484135344E-2</v>
      </c>
      <c r="F35" s="688">
        <f>$L$65</f>
        <v>685049.10559999989</v>
      </c>
      <c r="G35" s="701">
        <f>F35/F11</f>
        <v>3.4682518509518021E-2</v>
      </c>
      <c r="H35" s="687">
        <f>$L$65</f>
        <v>685049.10559999989</v>
      </c>
      <c r="I35" s="701">
        <f>H35/H11</f>
        <v>3.1042645713249949E-2</v>
      </c>
      <c r="J35" s="687">
        <f>$L$65</f>
        <v>685049.10559999989</v>
      </c>
      <c r="K35" s="701">
        <f>J35/J11</f>
        <v>2.605542011258177E-2</v>
      </c>
      <c r="L35" s="687">
        <f>$L$65</f>
        <v>685049.10559999989</v>
      </c>
      <c r="M35" s="701">
        <f>L35/L11</f>
        <v>2.1096609559004678E-2</v>
      </c>
      <c r="N35" s="687">
        <f>$L$65</f>
        <v>685049.10559999989</v>
      </c>
      <c r="O35" s="701">
        <f>N35/N11</f>
        <v>1.7420636395076794E-2</v>
      </c>
      <c r="P35" s="687">
        <f>$L$65</f>
        <v>685049.10559999989</v>
      </c>
      <c r="Q35" s="701">
        <f>P35/P11</f>
        <v>1.5627545980472668E-2</v>
      </c>
      <c r="R35" s="687">
        <f>$L$65</f>
        <v>685049.10559999989</v>
      </c>
      <c r="S35" s="701">
        <f>R35/R11</f>
        <v>1.4952180583202372E-2</v>
      </c>
      <c r="T35" s="687">
        <f>$L$65</f>
        <v>685049.10559999989</v>
      </c>
      <c r="U35" s="701">
        <f>T35/T11</f>
        <v>1.4426946036559682E-2</v>
      </c>
      <c r="V35" s="687">
        <f>$L$65</f>
        <v>685049.10559999989</v>
      </c>
      <c r="W35" s="701">
        <f>V35/V11</f>
        <v>1.6904775086368569E-2</v>
      </c>
      <c r="X35" s="687">
        <f>$L$65</f>
        <v>685049.10559999989</v>
      </c>
      <c r="Y35" s="701">
        <f>X35/X11</f>
        <v>1.2151431559528875E-2</v>
      </c>
      <c r="Z35" s="687">
        <f>$L$65</f>
        <v>685049.10559999989</v>
      </c>
      <c r="AA35" s="701">
        <f>Z35/Z11</f>
        <v>1.0025891371033836E-2</v>
      </c>
      <c r="AB35" s="687">
        <f>$L$65</f>
        <v>685049.10559999989</v>
      </c>
      <c r="AC35" s="701">
        <f>AB35/AB11</f>
        <v>7.5742902304188212E-3</v>
      </c>
      <c r="AD35" s="687">
        <f>$L$65</f>
        <v>685049.10559999989</v>
      </c>
      <c r="AE35" s="701">
        <f>AD35/AD11</f>
        <v>7.3756363652024105E-3</v>
      </c>
      <c r="AF35" s="687">
        <f>$L$65</f>
        <v>685049.10559999989</v>
      </c>
      <c r="AG35" s="701">
        <f>AF35/AF11</f>
        <v>6.4680971523528958E-3</v>
      </c>
      <c r="AH35" s="687">
        <f>$L$65</f>
        <v>685049.10559999989</v>
      </c>
      <c r="AI35" s="701">
        <f>AH35/AH11</f>
        <v>4.8905530255004418E-3</v>
      </c>
    </row>
    <row r="36" spans="1:35">
      <c r="A36" s="735" t="s">
        <v>630</v>
      </c>
      <c r="B36" s="735"/>
      <c r="C36" s="736"/>
      <c r="D36" s="737"/>
      <c r="E36" s="738"/>
      <c r="F36" s="739"/>
      <c r="G36" s="740"/>
      <c r="H36" s="739"/>
      <c r="I36" s="740"/>
      <c r="J36" s="739"/>
      <c r="K36" s="740"/>
      <c r="L36" s="739"/>
      <c r="M36" s="740"/>
      <c r="N36" s="739"/>
      <c r="O36" s="740"/>
      <c r="P36" s="739"/>
      <c r="Q36" s="740"/>
      <c r="R36" s="739"/>
      <c r="S36" s="740"/>
      <c r="T36" s="739"/>
      <c r="U36" s="740"/>
      <c r="V36" s="739"/>
      <c r="W36" s="740"/>
      <c r="X36" s="739"/>
      <c r="Y36" s="740"/>
      <c r="Z36" s="739"/>
      <c r="AA36" s="740"/>
      <c r="AB36" s="739"/>
      <c r="AC36" s="740"/>
      <c r="AD36" s="739"/>
      <c r="AE36" s="740"/>
      <c r="AF36" s="739"/>
      <c r="AG36" s="740"/>
      <c r="AH36" s="739"/>
      <c r="AI36" s="740"/>
    </row>
    <row r="37" spans="1:35">
      <c r="A37" s="675"/>
      <c r="B37" s="673" t="s">
        <v>631</v>
      </c>
      <c r="C37" s="673"/>
      <c r="D37" s="687">
        <f>SUM(D20:D35)+D11+D12</f>
        <v>28712791.0592</v>
      </c>
      <c r="E37" s="741">
        <f>D37/(D11+D12)</f>
        <v>1.4738112647161483</v>
      </c>
      <c r="F37" s="688">
        <f>SUM(F20:F35)+F11+F12</f>
        <v>32579833.059199996</v>
      </c>
      <c r="G37" s="741">
        <f>F37/(F11+F12)</f>
        <v>1.4707400261466232</v>
      </c>
      <c r="H37" s="687">
        <f>SUM(H20:H35)+H11+H12</f>
        <v>35933246.659199998</v>
      </c>
      <c r="I37" s="741">
        <f>H37/(H11+H12)</f>
        <v>1.4685812759195682</v>
      </c>
      <c r="J37" s="687">
        <f>SUM(J20:J35)+J11+J12</f>
        <v>42049317.059199996</v>
      </c>
      <c r="K37" s="741">
        <f>J37/(J11+J12)</f>
        <v>1.4655415118918165</v>
      </c>
      <c r="L37" s="687">
        <f>SUM(L20:L35)+L11+L12</f>
        <v>50997545.059199996</v>
      </c>
      <c r="M37" s="741">
        <f>L37/(L11+L12)</f>
        <v>1.4624209984858911</v>
      </c>
      <c r="N37" s="687">
        <f>SUM(N20:N35)+N11+N12</f>
        <v>58094784.259199999</v>
      </c>
      <c r="O37" s="741">
        <f>N37/(N11+N12)</f>
        <v>1.4773365949343913</v>
      </c>
      <c r="P37" s="687">
        <f>SUM(P20:P35)+P11+P12</f>
        <v>64156654.705600001</v>
      </c>
      <c r="Q37" s="741">
        <f>P37/(P11+P12)</f>
        <v>1.463560879313806</v>
      </c>
      <c r="R37" s="687">
        <f>SUM(R20:R35)+R11+R12</f>
        <v>67023562.705600001</v>
      </c>
      <c r="S37" s="741">
        <f>R37/(R11+R12)</f>
        <v>1.4628855139165358</v>
      </c>
      <c r="T37" s="687">
        <f>SUM(T20:T35)+T11+T12</f>
        <v>69438715.505600005</v>
      </c>
      <c r="U37" s="741">
        <f>T37/(T11+T12)</f>
        <v>1.4623602793698931</v>
      </c>
      <c r="V37" s="687">
        <f>SUM(V20:V35)+V11+V12</f>
        <v>59361099.505599998</v>
      </c>
      <c r="W37" s="741">
        <f>V37/(V11+V12)</f>
        <v>1.4648381084197017</v>
      </c>
      <c r="X37" s="687">
        <f>SUM(X20:X35)+X11+X12</f>
        <v>82313738.705599993</v>
      </c>
      <c r="Y37" s="741">
        <f>X37/(X11+X12)</f>
        <v>1.4600847648928621</v>
      </c>
      <c r="Z37" s="687">
        <f>SUM(Z20:Z35)+Z11+Z12</f>
        <v>99619437.905599996</v>
      </c>
      <c r="AA37" s="741">
        <f>Z37/(Z11+Z12)</f>
        <v>1.4579592247043671</v>
      </c>
      <c r="AB37" s="687">
        <f>SUM(AB20:AB35)+AB11+AB12</f>
        <v>131641931.50560001</v>
      </c>
      <c r="AC37" s="741">
        <f>AB37/(AB11+AB12)</f>
        <v>1.4555076235637523</v>
      </c>
      <c r="AD37" s="687">
        <f>SUM(AD20:AD35)+AD11+AD12</f>
        <v>135169097.1056</v>
      </c>
      <c r="AE37" s="741">
        <f>AD37/(AD11+AD12)</f>
        <v>1.4553089696985357</v>
      </c>
      <c r="AF37" s="687">
        <f>SUM(AF20:AF35)+AF11+AF12</f>
        <v>154038564.30559999</v>
      </c>
      <c r="AG37" s="741">
        <f>AF37/(AF11+AF12)</f>
        <v>1.454401430485686</v>
      </c>
      <c r="AH37" s="687">
        <f>SUM(AH20:AH35)+AH11+AH12</f>
        <v>203505758.70559999</v>
      </c>
      <c r="AI37" s="741">
        <f>AH37/(AH11+AH12)</f>
        <v>1.4528238863588336</v>
      </c>
    </row>
    <row r="38" spans="1:35">
      <c r="A38" s="675"/>
      <c r="B38" s="673" t="s">
        <v>632</v>
      </c>
      <c r="C38" s="673"/>
      <c r="D38" s="687">
        <f>(SUM(D20:D35)+D11+D13)*(1+$T$56)</f>
        <v>30572571.268734246</v>
      </c>
      <c r="E38" s="741">
        <f>D38/(D11+D12)</f>
        <v>1.5692727270677675</v>
      </c>
      <c r="F38" s="688">
        <f>(SUM(F20:F35)+F11+F13)*(1+$T$56)</f>
        <v>34704479.159145206</v>
      </c>
      <c r="G38" s="741">
        <f>F38/(F11+F12)</f>
        <v>1.566652183060004</v>
      </c>
      <c r="H38" s="687">
        <f>(SUM(H20:H35)+H11+H13)*(1+$T$56)</f>
        <v>38287578.6221589</v>
      </c>
      <c r="I38" s="741">
        <f>H38/(H11+H12)</f>
        <v>1.5648021343043526</v>
      </c>
      <c r="J38" s="687">
        <f>(SUM(J20:J35)+J11+J13)*(1+$T$56)</f>
        <v>44822557.953665748</v>
      </c>
      <c r="K38" s="741">
        <f>J38/(J11+J12)</f>
        <v>1.562197056798611</v>
      </c>
      <c r="L38" s="687">
        <f>(SUM(L20:L35)+L11+L13)*(1+$T$56)</f>
        <v>54383678.282432877</v>
      </c>
      <c r="M38" s="741">
        <f>L38/(L11+L12)</f>
        <v>1.5595227770828424</v>
      </c>
      <c r="N38" s="687">
        <f>(SUM(N20:N35)+N11+N13)*(1+$T$56)</f>
        <v>62073879.071473978</v>
      </c>
      <c r="O38" s="741">
        <f>N38/(N11+N12)</f>
        <v>1.5785240329435963</v>
      </c>
      <c r="P38" s="687">
        <f>(SUM(P20:P35)+P11+P13)*(1+$T$56)</f>
        <v>68550946.123791784</v>
      </c>
      <c r="Q38" s="741">
        <f>P38/(P11+P12)</f>
        <v>1.5638047751572175</v>
      </c>
      <c r="R38" s="687">
        <f>(SUM(R20:R35)+R11+R13)*(1+$T$56)</f>
        <v>71614217.685435623</v>
      </c>
      <c r="S38" s="741">
        <f>R38/(R11+R12)</f>
        <v>1.5630831518560246</v>
      </c>
      <c r="T38" s="687">
        <f>(SUM(T20:T35)+T11+T13)*(1+$T$56)</f>
        <v>74194791.910093158</v>
      </c>
      <c r="U38" s="741">
        <f>T38/(T11+T12)</f>
        <v>1.5625219423404337</v>
      </c>
      <c r="V38" s="687">
        <f>(SUM(V20:V35)+V11+V13)*(1+$T$56)</f>
        <v>63426928.238860272</v>
      </c>
      <c r="W38" s="741">
        <f>V38/(V11+V12)</f>
        <v>1.5651694857087226</v>
      </c>
      <c r="X38" s="687">
        <f>(SUM(X20:X35)+X11+X13)*(1+$T$56)</f>
        <v>87951666.014202744</v>
      </c>
      <c r="Y38" s="741">
        <f>X38/(X11+X12)</f>
        <v>1.5600905707074419</v>
      </c>
      <c r="Z38" s="687">
        <f>(SUM(Z20:Z35)+Z11+Z13)*(1+$T$56)</f>
        <v>106442687.07721645</v>
      </c>
      <c r="AA38" s="741">
        <f>Z38/(Z11+Z12)</f>
        <v>1.5578194455745293</v>
      </c>
      <c r="AB38" s="687">
        <f>(SUM(AB20:AB35)+AB11+AB13)*(1+$T$56)</f>
        <v>140658502.15666851</v>
      </c>
      <c r="AC38" s="741">
        <f>AB38/(AB11+AB12)</f>
        <v>1.5551999265475711</v>
      </c>
      <c r="AD38" s="687">
        <f>(SUM(AD20:AD35)+AD11+AD13)*(1+$T$56)</f>
        <v>144427254.44159999</v>
      </c>
      <c r="AE38" s="741">
        <f>AD38/(AD11+AD12)</f>
        <v>1.5549876662532298</v>
      </c>
      <c r="AF38" s="687">
        <f>(SUM(AF20:AF35)+AF11+AF13)*(1+$T$56)</f>
        <v>164589150.90187398</v>
      </c>
      <c r="AG38" s="741">
        <f>AF38/(AF11+AF12)</f>
        <v>1.5540179668203222</v>
      </c>
      <c r="AH38" s="687">
        <f>(SUM(AH20:AH35)+AH11+AH13)*(1+$T$56)</f>
        <v>217444509.30187398</v>
      </c>
      <c r="AI38" s="741">
        <f>AH38/(AH11+AH12)</f>
        <v>1.5523323717258772</v>
      </c>
    </row>
    <row r="39" spans="1:35">
      <c r="A39" s="675"/>
      <c r="B39" s="673" t="s">
        <v>633</v>
      </c>
      <c r="C39" s="673"/>
      <c r="D39" s="687">
        <f>(SUM(D20:D35)+D11+D13)*(1+$S$56)</f>
        <v>35276043.771616437</v>
      </c>
      <c r="E39" s="741">
        <f>D39/(D11+D12)</f>
        <v>1.8106993004628085</v>
      </c>
      <c r="F39" s="688">
        <f>(SUM(F20:F35)+F11+F13)*(1+$S$56)</f>
        <v>40043629.799013697</v>
      </c>
      <c r="G39" s="742">
        <f>F39/(F11+F12)</f>
        <v>1.8076755958384658</v>
      </c>
      <c r="H39" s="687">
        <f>(SUM(H20:H35)+H11+H13)*(1+$S$56)</f>
        <v>44177975.333260275</v>
      </c>
      <c r="I39" s="742">
        <f>H39/(H11+H12)</f>
        <v>1.8055409241973301</v>
      </c>
      <c r="J39" s="687">
        <f>(SUM(J20:J35)+J11+J13)*(1+$S$56)</f>
        <v>51718336.100383557</v>
      </c>
      <c r="K39" s="742">
        <f>J39/(J11+J12)</f>
        <v>1.802535065536859</v>
      </c>
      <c r="L39" s="687">
        <f>(SUM(L20:L35)+L11+L13)*(1+$S$56)</f>
        <v>62750398.018191777</v>
      </c>
      <c r="M39" s="742">
        <f>L39/(L11+L12)</f>
        <v>1.7994493581725102</v>
      </c>
      <c r="N39" s="687">
        <f>(SUM(N20:N35)+N11+N13)*(1+$S$56)</f>
        <v>71623706.620931506</v>
      </c>
      <c r="O39" s="742">
        <f>N39/(N11+N12)</f>
        <v>1.8213738841656877</v>
      </c>
      <c r="P39" s="687">
        <f>(SUM(P20:P35)+P11+P13)*(1+$S$56)</f>
        <v>79097245.527452052</v>
      </c>
      <c r="Q39" s="742">
        <f>P39/(P11+P12)</f>
        <v>1.8043901251814045</v>
      </c>
      <c r="R39" s="687">
        <f>(SUM(R20:R35)+R11+R13)*(1+$S$56)</f>
        <v>82631789.637041107</v>
      </c>
      <c r="S39" s="742">
        <f>R39/(R11+R12)</f>
        <v>1.8035574829107976</v>
      </c>
      <c r="T39" s="687">
        <f>(SUM(T20:T35)+T11+T13)*(1+$S$56)</f>
        <v>85609375.280876726</v>
      </c>
      <c r="U39" s="742">
        <f>T39/(T11+T12)</f>
        <v>1.8029099334697314</v>
      </c>
      <c r="V39" s="687">
        <f>(SUM(V20:V35)+V11+V13)*(1+$S$56)</f>
        <v>73184917.198684931</v>
      </c>
      <c r="W39" s="742">
        <f>V39/(V11+V12)</f>
        <v>1.8059647912023722</v>
      </c>
      <c r="X39" s="687">
        <f>(SUM(X20:X35)+X11+X13)*(1+$S$56)</f>
        <v>101482691.55484931</v>
      </c>
      <c r="Y39" s="742">
        <f>X39/(X11+X12)</f>
        <v>1.8001045046624329</v>
      </c>
      <c r="Z39" s="687">
        <f>(SUM(Z20:Z35)+Z11+Z13)*(1+$S$56)</f>
        <v>122818485.08909589</v>
      </c>
      <c r="AA39" s="742">
        <f>Z39/(Z11+Z12)</f>
        <v>1.7974839756629184</v>
      </c>
      <c r="AB39" s="687">
        <f>(SUM(AB20:AB35)+AB11+AB13)*(1+$S$56)</f>
        <v>162298271.71923289</v>
      </c>
      <c r="AC39" s="742">
        <f>AB39/(AB11+AB12)</f>
        <v>1.7944614537087356</v>
      </c>
      <c r="AD39" s="687">
        <f>(SUM(AD20:AD35)+AD11+AD13)*(1+$S$56)</f>
        <v>166646832.04800001</v>
      </c>
      <c r="AE39" s="742">
        <f>AD39/(AD11+AD12)</f>
        <v>1.7942165379844963</v>
      </c>
      <c r="AF39" s="687">
        <f>(SUM(AF20:AF35)+AF11+AF13)*(1+$S$56)</f>
        <v>189910558.73293149</v>
      </c>
      <c r="AG39" s="742">
        <f>AF39/(AF11+AF12)</f>
        <v>1.7930976540234487</v>
      </c>
      <c r="AH39" s="687">
        <f>(SUM(AH20:AH35)+AH11+AH13)*(1+$S$56)</f>
        <v>250897510.73293149</v>
      </c>
      <c r="AI39" s="742">
        <f>AH39/(AH11+AH12)</f>
        <v>1.7911527366067812</v>
      </c>
    </row>
    <row r="40" spans="1:35" ht="14.5">
      <c r="A40" s="675"/>
      <c r="B40" s="673"/>
      <c r="C40" s="673"/>
      <c r="D40" s="743">
        <f>+ROUND(E39,2)</f>
        <v>1.81</v>
      </c>
      <c r="E40" s="741"/>
      <c r="F40" s="743">
        <f>+ROUND(G37,2)</f>
        <v>1.47</v>
      </c>
      <c r="G40" s="741"/>
      <c r="H40" s="743">
        <f>+ROUND(I39,2)</f>
        <v>1.81</v>
      </c>
      <c r="I40" s="741"/>
      <c r="J40" s="743">
        <f>+ROUND(K39,2)</f>
        <v>1.8</v>
      </c>
      <c r="K40" s="741"/>
      <c r="L40" s="743">
        <f>+ROUND(M37,2)</f>
        <v>1.46</v>
      </c>
      <c r="M40" s="741"/>
      <c r="N40" s="743">
        <f>+ROUND(O39,2)</f>
        <v>1.82</v>
      </c>
      <c r="O40" s="741"/>
      <c r="P40" s="743">
        <f>+ROUND(Q39,2)</f>
        <v>1.8</v>
      </c>
      <c r="Q40" s="741"/>
      <c r="R40" s="743">
        <f>+ROUND(S37,2)</f>
        <v>1.46</v>
      </c>
      <c r="S40" s="741"/>
      <c r="T40" s="743">
        <f>+ROUND(U37,2)</f>
        <v>1.46</v>
      </c>
      <c r="U40" s="741"/>
      <c r="V40" s="743">
        <f>+ROUND(W37,2)</f>
        <v>1.46</v>
      </c>
      <c r="W40" s="743"/>
      <c r="X40" s="743">
        <f>+ROUND(Y37,2)</f>
        <v>1.46</v>
      </c>
      <c r="Y40" s="741"/>
      <c r="Z40" s="743">
        <f>+ROUND(AA37,2)</f>
        <v>1.46</v>
      </c>
      <c r="AA40" s="741"/>
      <c r="AB40" s="743">
        <f>+ROUND(AC37,2)</f>
        <v>1.46</v>
      </c>
      <c r="AC40" s="741"/>
      <c r="AD40" s="743">
        <f>+ROUND(AE37,2)</f>
        <v>1.46</v>
      </c>
      <c r="AE40" s="741"/>
      <c r="AF40" s="743">
        <f>+ROUND(AG37,2)</f>
        <v>1.45</v>
      </c>
      <c r="AG40" s="741"/>
      <c r="AH40" s="743">
        <f>+ROUND(AI37,2)</f>
        <v>1.45</v>
      </c>
      <c r="AI40" s="741"/>
    </row>
    <row r="41" spans="1:35">
      <c r="A41" s="744" t="s">
        <v>634</v>
      </c>
      <c r="B41" s="745"/>
      <c r="C41" s="745"/>
      <c r="D41" s="746"/>
      <c r="E41" s="747"/>
      <c r="F41" s="748"/>
      <c r="G41" s="748"/>
      <c r="H41" s="748"/>
      <c r="I41" s="748"/>
      <c r="J41" s="748"/>
      <c r="K41" s="748"/>
      <c r="L41" s="748"/>
      <c r="M41" s="748"/>
      <c r="N41" s="748"/>
      <c r="O41" s="748"/>
      <c r="P41" s="748"/>
      <c r="Q41" s="748"/>
      <c r="R41" s="748"/>
      <c r="S41" s="748"/>
      <c r="T41" s="748"/>
      <c r="U41" s="748"/>
      <c r="V41" s="748"/>
      <c r="W41" s="748"/>
      <c r="X41" s="748"/>
      <c r="Y41" s="748"/>
      <c r="Z41" s="748"/>
      <c r="AA41" s="748"/>
      <c r="AB41" s="748"/>
      <c r="AC41" s="748"/>
      <c r="AD41" s="748"/>
      <c r="AE41" s="748"/>
      <c r="AF41" s="748"/>
      <c r="AG41" s="748"/>
      <c r="AH41" s="748"/>
      <c r="AI41" s="749"/>
    </row>
    <row r="42" spans="1:35">
      <c r="A42" s="750"/>
      <c r="B42" s="751" t="s">
        <v>635</v>
      </c>
      <c r="C42" s="750"/>
      <c r="D42" s="752">
        <f>D14</f>
        <v>19482000</v>
      </c>
      <c r="E42" s="753"/>
      <c r="F42" s="688">
        <f>F14</f>
        <v>22152000</v>
      </c>
      <c r="H42" s="687">
        <f>H14</f>
        <v>24468000</v>
      </c>
      <c r="J42" s="687">
        <f>J14</f>
        <v>28692000</v>
      </c>
      <c r="L42" s="687">
        <f>L14</f>
        <v>34872000</v>
      </c>
      <c r="N42" s="687">
        <f>N14</f>
        <v>39324000</v>
      </c>
      <c r="P42" s="687">
        <f>P14</f>
        <v>43836000</v>
      </c>
      <c r="R42" s="687">
        <f>R14</f>
        <v>45816000</v>
      </c>
      <c r="T42" s="687">
        <f>T14</f>
        <v>47484000</v>
      </c>
      <c r="V42" s="687">
        <f>V14</f>
        <v>40524000</v>
      </c>
      <c r="X42" s="687">
        <f>X14</f>
        <v>56376000</v>
      </c>
      <c r="Z42" s="687">
        <f>Z14</f>
        <v>68328000</v>
      </c>
      <c r="AB42" s="754">
        <f>AB14</f>
        <v>90444000</v>
      </c>
      <c r="AD42" s="687">
        <f>AD14</f>
        <v>92880000</v>
      </c>
      <c r="AF42" s="687">
        <f>AF14</f>
        <v>105912000</v>
      </c>
      <c r="AH42" s="687">
        <f>AH14</f>
        <v>140076000</v>
      </c>
    </row>
    <row r="43" spans="1:35">
      <c r="A43" s="750"/>
      <c r="B43" s="755" t="s">
        <v>636</v>
      </c>
      <c r="C43" s="750"/>
      <c r="D43" s="756">
        <f>D10</f>
        <v>1623000</v>
      </c>
      <c r="E43" s="753"/>
      <c r="F43" s="688">
        <f>F10</f>
        <v>1846000</v>
      </c>
      <c r="H43" s="687">
        <f>H10</f>
        <v>2039000</v>
      </c>
      <c r="J43" s="687">
        <f>J10</f>
        <v>2391000</v>
      </c>
      <c r="L43" s="687">
        <f>L10</f>
        <v>2906000</v>
      </c>
      <c r="N43" s="687">
        <f>N10</f>
        <v>3277000</v>
      </c>
      <c r="P43" s="687">
        <f>P10</f>
        <v>3653000</v>
      </c>
      <c r="R43" s="687">
        <f>R10</f>
        <v>3818000</v>
      </c>
      <c r="T43" s="687">
        <f>T10</f>
        <v>3957000</v>
      </c>
      <c r="V43" s="687">
        <f>V10</f>
        <v>3377000</v>
      </c>
      <c r="X43" s="687">
        <f>X10</f>
        <v>4698000</v>
      </c>
      <c r="Z43" s="687">
        <f>Z10</f>
        <v>5694000</v>
      </c>
      <c r="AB43" s="754">
        <f>AB10</f>
        <v>7537000</v>
      </c>
      <c r="AD43" s="687">
        <f>AD10</f>
        <v>7740000</v>
      </c>
      <c r="AF43" s="687">
        <f>AF10</f>
        <v>8826000</v>
      </c>
      <c r="AH43" s="687">
        <f>AH10</f>
        <v>11673000</v>
      </c>
    </row>
    <row r="44" spans="1:35" ht="14.5" thickBot="1">
      <c r="A44" s="750"/>
      <c r="B44" s="757" t="s">
        <v>637</v>
      </c>
      <c r="C44" s="750"/>
      <c r="D44" s="758">
        <f>+ROUND(D43/30,0)</f>
        <v>54100</v>
      </c>
      <c r="E44" s="753"/>
      <c r="F44" s="695">
        <f>+ROUND(F43/30,0)</f>
        <v>61533</v>
      </c>
      <c r="H44" s="695">
        <f>+ROUND(H43/30,0)</f>
        <v>67967</v>
      </c>
      <c r="J44" s="695">
        <f>+J43/30</f>
        <v>79700</v>
      </c>
      <c r="L44" s="695">
        <f>+ROUND(L43/30,0)</f>
        <v>96867</v>
      </c>
      <c r="N44" s="695">
        <f>+ROUND(N43/30,0)</f>
        <v>109233</v>
      </c>
      <c r="P44" s="695">
        <f>+P43/30</f>
        <v>121766.66666666667</v>
      </c>
      <c r="R44" s="758">
        <f>+ROUND(R43/30,0)</f>
        <v>127267</v>
      </c>
      <c r="S44" s="753"/>
      <c r="T44" s="695">
        <f>+ROUND(T43/30,0)</f>
        <v>131900</v>
      </c>
      <c r="V44" s="695">
        <f>+ROUND(V43/30,0)</f>
        <v>112567</v>
      </c>
      <c r="X44" s="695">
        <f>+X43/30</f>
        <v>156600</v>
      </c>
      <c r="Z44" s="695">
        <f>+ROUND(Z43/30,0)</f>
        <v>189800</v>
      </c>
      <c r="AB44" s="695">
        <f>+ROUND(AB43/30,0)</f>
        <v>251233</v>
      </c>
      <c r="AD44" s="695">
        <f>+AD43/30</f>
        <v>258000</v>
      </c>
      <c r="AF44" s="695">
        <f>+ROUND(AF43/30,0)</f>
        <v>294200</v>
      </c>
      <c r="AH44" s="695">
        <f>+AH43/30</f>
        <v>389100</v>
      </c>
    </row>
    <row r="45" spans="1:35">
      <c r="A45" s="750"/>
      <c r="B45" s="750"/>
      <c r="C45" s="750"/>
      <c r="D45" s="759"/>
      <c r="E45" s="753"/>
    </row>
    <row r="46" spans="1:35">
      <c r="C46" s="750"/>
      <c r="D46" s="762"/>
      <c r="E46" s="762"/>
      <c r="F46" s="762"/>
      <c r="G46" s="762"/>
      <c r="H46" s="762"/>
      <c r="M46" s="750"/>
      <c r="N46" s="762">
        <f>+N44*2</f>
        <v>218466</v>
      </c>
      <c r="O46" s="750"/>
      <c r="P46" s="750"/>
      <c r="Q46" s="750"/>
      <c r="R46" s="750"/>
      <c r="S46" s="750"/>
      <c r="T46" s="750"/>
      <c r="U46" s="750"/>
      <c r="V46" s="750"/>
    </row>
    <row r="47" spans="1:35" ht="14.5" hidden="1" thickBot="1">
      <c r="C47" s="2023" t="s">
        <v>638</v>
      </c>
      <c r="D47" s="2023"/>
      <c r="E47" s="2023"/>
      <c r="F47" s="762"/>
      <c r="G47" s="2024" t="s">
        <v>639</v>
      </c>
      <c r="H47" s="2025"/>
      <c r="I47" s="2025"/>
      <c r="J47" s="2025"/>
      <c r="K47" s="2025"/>
      <c r="L47" s="2026"/>
      <c r="M47" s="750"/>
      <c r="N47" s="2027" t="s">
        <v>640</v>
      </c>
      <c r="O47" s="2028"/>
      <c r="P47" s="2028"/>
      <c r="Q47" s="2028"/>
      <c r="R47" s="2028"/>
      <c r="S47" s="2028"/>
      <c r="T47" s="2029"/>
      <c r="U47" s="750"/>
    </row>
    <row r="48" spans="1:35" hidden="1">
      <c r="C48" s="763" t="s">
        <v>641</v>
      </c>
      <c r="D48" s="764"/>
      <c r="E48" s="765">
        <f>75900*(1+D54)</f>
        <v>85858.08</v>
      </c>
      <c r="G48" s="766"/>
      <c r="H48" s="766"/>
      <c r="I48" s="766"/>
      <c r="J48" s="766" t="s">
        <v>642</v>
      </c>
      <c r="K48" s="766"/>
      <c r="L48" s="766" t="s">
        <v>643</v>
      </c>
      <c r="M48" s="750"/>
      <c r="N48" s="767" t="s">
        <v>644</v>
      </c>
      <c r="O48" s="768" t="s">
        <v>645</v>
      </c>
      <c r="P48" s="769"/>
      <c r="Q48" s="770"/>
      <c r="R48" s="771">
        <f>D37</f>
        <v>28712791.0592</v>
      </c>
      <c r="S48" s="750"/>
      <c r="T48" s="750"/>
      <c r="U48" s="750"/>
    </row>
    <row r="49" spans="3:23" hidden="1">
      <c r="C49" s="763" t="s">
        <v>646</v>
      </c>
      <c r="D49" s="764"/>
      <c r="E49" s="765">
        <f>62951*(1+D54)</f>
        <v>71210.171199999997</v>
      </c>
      <c r="G49" s="763" t="s">
        <v>647</v>
      </c>
      <c r="H49" s="772"/>
      <c r="I49" s="773"/>
      <c r="J49" s="774">
        <v>1</v>
      </c>
      <c r="K49" s="775">
        <f>17438*(1+$D$54)</f>
        <v>19725.865600000001</v>
      </c>
      <c r="L49" s="775">
        <f>K49*J49</f>
        <v>19725.865600000001</v>
      </c>
      <c r="M49" s="750"/>
      <c r="N49" s="776" t="s">
        <v>648</v>
      </c>
      <c r="O49" s="777" t="s">
        <v>649</v>
      </c>
      <c r="P49" s="778"/>
      <c r="Q49" s="779"/>
      <c r="R49" s="780">
        <f>360*8</f>
        <v>2880</v>
      </c>
      <c r="S49" s="750"/>
      <c r="T49" s="750"/>
      <c r="U49" s="750"/>
    </row>
    <row r="50" spans="3:23" hidden="1">
      <c r="C50" s="763"/>
      <c r="D50" s="781" t="s">
        <v>650</v>
      </c>
      <c r="E50" s="782">
        <f>SUM(E48:E49)</f>
        <v>157068.2512</v>
      </c>
      <c r="G50" s="763" t="s">
        <v>651</v>
      </c>
      <c r="H50" s="772"/>
      <c r="I50" s="773"/>
      <c r="J50" s="774">
        <v>2</v>
      </c>
      <c r="K50" s="775">
        <f>11483*(1+$D$54)</f>
        <v>12989.569599999999</v>
      </c>
      <c r="L50" s="775">
        <f t="shared" ref="L50:L57" si="0">K50*J50</f>
        <v>25979.139199999998</v>
      </c>
      <c r="M50" s="750"/>
      <c r="N50" s="776" t="s">
        <v>652</v>
      </c>
      <c r="O50" s="777" t="s">
        <v>653</v>
      </c>
      <c r="P50" s="778"/>
      <c r="Q50" s="779"/>
      <c r="R50" s="780">
        <f>52*48</f>
        <v>2496</v>
      </c>
      <c r="S50" s="750"/>
      <c r="T50" s="750"/>
      <c r="U50" s="750"/>
    </row>
    <row r="51" spans="3:23" hidden="1">
      <c r="C51" s="763" t="s">
        <v>654</v>
      </c>
      <c r="D51" s="764"/>
      <c r="E51" s="783">
        <f>+E50/4</f>
        <v>39267.0628</v>
      </c>
      <c r="G51" s="763" t="s">
        <v>655</v>
      </c>
      <c r="H51" s="772"/>
      <c r="I51" s="784"/>
      <c r="J51" s="774">
        <v>12</v>
      </c>
      <c r="K51" s="775">
        <f>9949*(1+$D$54)</f>
        <v>11254.308800000001</v>
      </c>
      <c r="L51" s="775">
        <f t="shared" si="0"/>
        <v>135051.70560000002</v>
      </c>
      <c r="M51" s="750"/>
      <c r="N51" s="776"/>
      <c r="O51" s="785" t="s">
        <v>656</v>
      </c>
      <c r="P51" s="785"/>
      <c r="Q51" s="786">
        <f>365*8</f>
        <v>2920</v>
      </c>
      <c r="R51" s="787"/>
      <c r="S51" s="750"/>
      <c r="T51" s="750"/>
      <c r="U51" s="750"/>
      <c r="V51" s="754"/>
    </row>
    <row r="52" spans="3:23" ht="14.5" hidden="1" thickBot="1">
      <c r="C52" s="763" t="s">
        <v>657</v>
      </c>
      <c r="D52" s="764"/>
      <c r="E52" s="788">
        <f>+E51*12</f>
        <v>471204.7536</v>
      </c>
      <c r="G52" s="763" t="s">
        <v>658</v>
      </c>
      <c r="H52" s="772"/>
      <c r="I52" s="784"/>
      <c r="J52" s="774">
        <v>10.4</v>
      </c>
      <c r="K52" s="775">
        <f>5695*(1+$D$54)</f>
        <v>6442.1840000000002</v>
      </c>
      <c r="L52" s="775">
        <f t="shared" si="0"/>
        <v>66998.713600000003</v>
      </c>
      <c r="M52" s="750"/>
      <c r="N52" s="776" t="s">
        <v>659</v>
      </c>
      <c r="O52" s="777" t="s">
        <v>660</v>
      </c>
      <c r="P52" s="778"/>
      <c r="Q52" s="779"/>
      <c r="R52" s="787">
        <f>+Q51-(53+17+3)*8</f>
        <v>2336</v>
      </c>
      <c r="S52" s="750"/>
      <c r="T52" s="750"/>
      <c r="U52" s="750"/>
      <c r="V52" s="754"/>
    </row>
    <row r="53" spans="3:23" ht="14.5" hidden="1" thickBot="1">
      <c r="D53" s="671"/>
      <c r="E53" s="754"/>
      <c r="G53" s="763" t="s">
        <v>661</v>
      </c>
      <c r="H53" s="772"/>
      <c r="I53" s="784"/>
      <c r="J53" s="774">
        <v>4</v>
      </c>
      <c r="K53" s="775">
        <f>15612*(1+$D$54)</f>
        <v>17660.294399999999</v>
      </c>
      <c r="L53" s="775">
        <f t="shared" si="0"/>
        <v>70641.177599999995</v>
      </c>
      <c r="M53" s="750"/>
      <c r="N53" s="776" t="s">
        <v>662</v>
      </c>
      <c r="O53" s="777" t="s">
        <v>663</v>
      </c>
      <c r="P53" s="778"/>
      <c r="Q53" s="779"/>
      <c r="R53" s="789">
        <f>+R48/R49</f>
        <v>9969.7191177777786</v>
      </c>
      <c r="S53" s="790">
        <v>1</v>
      </c>
      <c r="U53" s="750"/>
      <c r="V53" s="791"/>
      <c r="W53" s="754"/>
    </row>
    <row r="54" spans="3:23" ht="14.5" hidden="1" thickBot="1">
      <c r="C54" s="792" t="s">
        <v>664</v>
      </c>
      <c r="D54" s="793">
        <v>0.13120000000000001</v>
      </c>
      <c r="E54" s="754"/>
      <c r="G54" s="763" t="s">
        <v>665</v>
      </c>
      <c r="H54" s="772"/>
      <c r="I54" s="784"/>
      <c r="J54" s="774">
        <v>1</v>
      </c>
      <c r="K54" s="775">
        <f>46900*(1+$D$54)</f>
        <v>53053.279999999999</v>
      </c>
      <c r="L54" s="775">
        <f t="shared" si="0"/>
        <v>53053.279999999999</v>
      </c>
      <c r="M54" s="750"/>
      <c r="N54" s="776" t="s">
        <v>666</v>
      </c>
      <c r="O54" s="777" t="s">
        <v>667</v>
      </c>
      <c r="P54" s="778"/>
      <c r="Q54" s="779"/>
      <c r="R54" s="789">
        <f>R48/R50</f>
        <v>11503.522058974359</v>
      </c>
      <c r="S54" s="794">
        <f>+R54/R53</f>
        <v>1.1538461538461537</v>
      </c>
      <c r="T54" s="795">
        <v>1</v>
      </c>
      <c r="U54" s="750"/>
    </row>
    <row r="55" spans="3:23" ht="14.5" hidden="1" thickBot="1">
      <c r="G55" s="763" t="s">
        <v>668</v>
      </c>
      <c r="H55" s="772"/>
      <c r="I55" s="784"/>
      <c r="J55" s="774">
        <v>1</v>
      </c>
      <c r="K55" s="775">
        <f>17359*(1+$D$54)</f>
        <v>19636.500799999998</v>
      </c>
      <c r="L55" s="775">
        <f t="shared" si="0"/>
        <v>19636.500799999998</v>
      </c>
      <c r="M55" s="750"/>
      <c r="N55" s="796" t="s">
        <v>669</v>
      </c>
      <c r="O55" s="797" t="s">
        <v>670</v>
      </c>
      <c r="P55" s="798"/>
      <c r="Q55" s="799"/>
      <c r="R55" s="800">
        <f>R48/R52</f>
        <v>12291.434528767124</v>
      </c>
      <c r="S55" s="801">
        <f>+R55/R53</f>
        <v>1.2328767123287672</v>
      </c>
      <c r="T55" s="802">
        <f>R55/R54</f>
        <v>1.0684931506849316</v>
      </c>
      <c r="U55" s="803"/>
      <c r="V55" s="754"/>
    </row>
    <row r="56" spans="3:23" ht="14.5" hidden="1" thickBot="1">
      <c r="G56" s="763" t="s">
        <v>671</v>
      </c>
      <c r="H56" s="772"/>
      <c r="I56" s="784"/>
      <c r="J56" s="774">
        <v>52</v>
      </c>
      <c r="K56" s="775">
        <f>1428*(1+$D$54)</f>
        <v>1615.3535999999999</v>
      </c>
      <c r="L56" s="775">
        <f t="shared" si="0"/>
        <v>83998.387199999997</v>
      </c>
      <c r="M56" s="750"/>
      <c r="N56" s="804"/>
      <c r="O56" s="805" t="s">
        <v>672</v>
      </c>
      <c r="P56" s="806"/>
      <c r="Q56" s="807"/>
      <c r="R56" s="808"/>
      <c r="S56" s="809">
        <f>S55-S53</f>
        <v>0.23287671232876717</v>
      </c>
      <c r="T56" s="810">
        <f>+T55-T54</f>
        <v>6.8493150684931559E-2</v>
      </c>
      <c r="U56" s="750"/>
    </row>
    <row r="57" spans="3:23" hidden="1">
      <c r="G57" s="763" t="s">
        <v>673</v>
      </c>
      <c r="H57" s="772"/>
      <c r="I57" s="784"/>
      <c r="J57" s="774">
        <v>0.1</v>
      </c>
      <c r="K57" s="775">
        <f>202300*(1+$D$54)</f>
        <v>228841.76</v>
      </c>
      <c r="L57" s="775">
        <f t="shared" si="0"/>
        <v>22884.176000000003</v>
      </c>
      <c r="M57" s="750"/>
      <c r="N57" s="811"/>
      <c r="O57" s="750"/>
      <c r="P57" s="750"/>
      <c r="Q57" s="750"/>
      <c r="R57" s="750"/>
      <c r="U57" s="750"/>
      <c r="V57" s="812"/>
    </row>
    <row r="58" spans="3:23" hidden="1">
      <c r="G58" s="813" t="s">
        <v>674</v>
      </c>
      <c r="H58" s="814"/>
      <c r="I58" s="815"/>
      <c r="J58" s="815"/>
      <c r="K58" s="816"/>
      <c r="L58" s="817">
        <f>13700*(1+$D$54)</f>
        <v>15497.44</v>
      </c>
      <c r="M58" s="750"/>
      <c r="N58" s="811"/>
      <c r="O58" s="750"/>
      <c r="P58" s="750"/>
      <c r="Q58" s="750"/>
      <c r="R58" s="750"/>
      <c r="S58" s="750"/>
      <c r="T58" s="750"/>
      <c r="U58" s="750"/>
    </row>
    <row r="59" spans="3:23" hidden="1">
      <c r="G59" s="813" t="s">
        <v>675</v>
      </c>
      <c r="H59" s="814"/>
      <c r="I59" s="815"/>
      <c r="J59" s="815"/>
      <c r="K59" s="816"/>
      <c r="L59" s="817">
        <f>12100*(1+$D$54)</f>
        <v>13687.52</v>
      </c>
      <c r="M59" s="750"/>
      <c r="N59" s="811"/>
      <c r="O59" s="750"/>
      <c r="P59" s="750"/>
      <c r="Q59" s="803"/>
      <c r="R59" s="759"/>
      <c r="S59" s="750"/>
      <c r="T59" s="750"/>
      <c r="U59" s="750"/>
    </row>
    <row r="60" spans="3:23" hidden="1">
      <c r="G60" s="813" t="s">
        <v>676</v>
      </c>
      <c r="H60" s="814"/>
      <c r="I60" s="815"/>
      <c r="J60" s="815"/>
      <c r="K60" s="816"/>
      <c r="L60" s="817">
        <f>12000*(1+$D$54)</f>
        <v>13574.4</v>
      </c>
      <c r="M60" s="750"/>
      <c r="N60" s="811"/>
      <c r="O60" s="750"/>
      <c r="P60" s="750"/>
      <c r="Q60" s="803"/>
      <c r="R60" s="750"/>
      <c r="S60" s="750"/>
      <c r="T60" s="750"/>
      <c r="U60" s="750"/>
    </row>
    <row r="61" spans="3:23" hidden="1">
      <c r="G61" s="818" t="s">
        <v>677</v>
      </c>
      <c r="H61" s="818"/>
      <c r="I61" s="819"/>
      <c r="J61" s="819"/>
      <c r="K61" s="819"/>
      <c r="L61" s="817">
        <f>3500*(1+$D$54)</f>
        <v>3959.2</v>
      </c>
      <c r="N61" s="761"/>
      <c r="R61" s="754"/>
    </row>
    <row r="62" spans="3:23" hidden="1">
      <c r="G62" s="813" t="s">
        <v>678</v>
      </c>
      <c r="H62" s="814"/>
      <c r="I62" s="815"/>
      <c r="J62" s="815"/>
      <c r="K62" s="816"/>
      <c r="L62" s="817">
        <f>18000*(1+$D$54)</f>
        <v>20361.599999999999</v>
      </c>
      <c r="N62" s="761"/>
    </row>
    <row r="63" spans="3:23" hidden="1">
      <c r="G63" s="763"/>
      <c r="H63" s="772"/>
      <c r="I63" s="820" t="s">
        <v>679</v>
      </c>
      <c r="J63" s="820"/>
      <c r="K63" s="821"/>
      <c r="L63" s="822">
        <f>SUM(L49:L62)</f>
        <v>565049.10559999989</v>
      </c>
      <c r="N63" s="761"/>
    </row>
    <row r="64" spans="3:23" hidden="1">
      <c r="G64" s="763" t="s">
        <v>680</v>
      </c>
      <c r="H64" s="772"/>
      <c r="I64" s="773"/>
      <c r="J64" s="773"/>
      <c r="K64" s="784"/>
      <c r="L64" s="775">
        <f>+L63/12</f>
        <v>47087.42546666666</v>
      </c>
      <c r="N64" s="761"/>
    </row>
    <row r="65" spans="7:13" hidden="1">
      <c r="G65" s="763" t="s">
        <v>681</v>
      </c>
      <c r="H65" s="772"/>
      <c r="I65" s="773"/>
      <c r="J65" s="773"/>
      <c r="K65" s="784"/>
      <c r="L65" s="775">
        <f>+L64*12+L66</f>
        <v>685049.10559999989</v>
      </c>
      <c r="M65" s="761"/>
    </row>
    <row r="66" spans="7:13" hidden="1">
      <c r="G66" s="823" t="s">
        <v>682</v>
      </c>
      <c r="H66" s="823"/>
      <c r="I66" s="824"/>
      <c r="J66" s="823"/>
      <c r="K66" s="823"/>
      <c r="L66" s="825">
        <v>120000</v>
      </c>
      <c r="M66" s="761"/>
    </row>
    <row r="67" spans="7:13" hidden="1"/>
  </sheetData>
  <mergeCells count="23">
    <mergeCell ref="Z5:AA5"/>
    <mergeCell ref="C47:E47"/>
    <mergeCell ref="G47:L47"/>
    <mergeCell ref="N47:T47"/>
    <mergeCell ref="P5:Q5"/>
    <mergeCell ref="R5:S5"/>
    <mergeCell ref="T5:U5"/>
    <mergeCell ref="A1:E1"/>
    <mergeCell ref="C2:E2"/>
    <mergeCell ref="D3:AI3"/>
    <mergeCell ref="D4:AI4"/>
    <mergeCell ref="D5:E5"/>
    <mergeCell ref="F5:G5"/>
    <mergeCell ref="H5:I5"/>
    <mergeCell ref="J5:K5"/>
    <mergeCell ref="L5:M5"/>
    <mergeCell ref="N5:O5"/>
    <mergeCell ref="AB5:AC5"/>
    <mergeCell ref="AD5:AE5"/>
    <mergeCell ref="AF5:AG5"/>
    <mergeCell ref="AH5:AI5"/>
    <mergeCell ref="V5:W5"/>
    <mergeCell ref="X5:Y5"/>
  </mergeCells>
  <pageMargins left="0.7" right="0.7" top="0.75" bottom="0.75" header="0.3" footer="0.3"/>
  <legacy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DEC72C-91EF-4C1A-8C25-DC1544D2480F}">
  <sheetPr>
    <tabColor theme="7" tint="0.79998168889431442"/>
  </sheetPr>
  <dimension ref="B1:K55"/>
  <sheetViews>
    <sheetView topLeftCell="B1" zoomScale="70" zoomScaleNormal="70" workbookViewId="0">
      <selection activeCell="C46" sqref="C46"/>
    </sheetView>
  </sheetViews>
  <sheetFormatPr baseColWidth="10" defaultColWidth="11.453125" defaultRowHeight="14.5"/>
  <cols>
    <col min="1" max="1" width="2.6328125" customWidth="1"/>
    <col min="2" max="2" width="14.36328125" customWidth="1"/>
    <col min="3" max="3" width="74" customWidth="1"/>
    <col min="4" max="4" width="25.453125" customWidth="1"/>
    <col min="5" max="5" width="61.08984375" customWidth="1"/>
    <col min="7" max="7" width="18.36328125" customWidth="1"/>
    <col min="8" max="8" width="19.453125" customWidth="1"/>
    <col min="9" max="9" width="23.453125" customWidth="1"/>
  </cols>
  <sheetData>
    <row r="1" spans="2:11" ht="15" thickBot="1"/>
    <row r="2" spans="2:11" ht="15" customHeight="1">
      <c r="B2" s="1901" t="str">
        <f>+'ENSAYOS DE LABORATORIO'!A2</f>
        <v>OBJETO: MEJORAMIENTO Y ADECUACIÓN DE LAS VIAS URBANAS DEL MUNICIPIO DE SANTA FE DE ANTIOQUIA</v>
      </c>
      <c r="C2" s="1902"/>
      <c r="D2" s="1902"/>
      <c r="E2" s="1902"/>
      <c r="F2" s="1902"/>
      <c r="G2" s="1902"/>
      <c r="H2" s="1902"/>
      <c r="I2" s="1902"/>
      <c r="J2" s="1903"/>
    </row>
    <row r="3" spans="2:11">
      <c r="B3" s="1904"/>
      <c r="C3" s="1905"/>
      <c r="D3" s="1905"/>
      <c r="E3" s="1905"/>
      <c r="F3" s="1905"/>
      <c r="G3" s="1905"/>
      <c r="H3" s="1905"/>
      <c r="I3" s="1905"/>
      <c r="J3" s="1906"/>
    </row>
    <row r="4" spans="2:11">
      <c r="B4" s="2030" t="s">
        <v>256</v>
      </c>
      <c r="C4" s="2031"/>
      <c r="D4" s="2031"/>
      <c r="E4" s="2031"/>
      <c r="F4" s="2031"/>
      <c r="G4" s="2031"/>
      <c r="H4" s="2031"/>
      <c r="I4" s="2031"/>
      <c r="J4" s="2032"/>
    </row>
    <row r="5" spans="2:11" ht="31">
      <c r="B5" s="629" t="s">
        <v>227</v>
      </c>
      <c r="C5" s="567" t="s">
        <v>228</v>
      </c>
      <c r="D5" s="576" t="s">
        <v>683</v>
      </c>
      <c r="J5" s="630"/>
    </row>
    <row r="6" spans="2:11" ht="15.5">
      <c r="B6" s="631">
        <v>2</v>
      </c>
      <c r="C6" s="568" t="s">
        <v>684</v>
      </c>
      <c r="D6" s="568"/>
      <c r="E6" s="577"/>
      <c r="J6" s="630"/>
    </row>
    <row r="7" spans="2:11" ht="15.5">
      <c r="B7" s="569">
        <v>2.4</v>
      </c>
      <c r="C7" s="570" t="s">
        <v>685</v>
      </c>
      <c r="D7" s="579"/>
      <c r="E7" s="577"/>
      <c r="F7" s="577"/>
      <c r="G7" s="577"/>
      <c r="H7" s="577"/>
      <c r="I7" s="577"/>
      <c r="J7" s="632"/>
      <c r="K7" s="577"/>
    </row>
    <row r="8" spans="2:11" ht="15.5">
      <c r="B8" s="569" t="s">
        <v>686</v>
      </c>
      <c r="C8" s="571" t="s">
        <v>687</v>
      </c>
      <c r="D8" s="579">
        <f t="shared" ref="D8:D15" si="0">+$H$13</f>
        <v>1340000</v>
      </c>
      <c r="E8" s="2033" t="s">
        <v>688</v>
      </c>
      <c r="F8" s="577"/>
      <c r="G8" s="633"/>
      <c r="H8" s="633"/>
      <c r="I8" s="634"/>
      <c r="J8" s="635"/>
      <c r="K8" s="577"/>
    </row>
    <row r="9" spans="2:11" ht="15.5">
      <c r="B9" s="569" t="s">
        <v>689</v>
      </c>
      <c r="C9" s="571" t="s">
        <v>690</v>
      </c>
      <c r="D9" s="579">
        <f t="shared" si="0"/>
        <v>1340000</v>
      </c>
      <c r="E9" s="2033"/>
      <c r="F9" s="577"/>
      <c r="G9" s="633"/>
      <c r="H9" s="633"/>
      <c r="I9" s="634"/>
      <c r="J9" s="635"/>
      <c r="K9" s="577"/>
    </row>
    <row r="10" spans="2:11" ht="15.5">
      <c r="B10" s="569" t="s">
        <v>691</v>
      </c>
      <c r="C10" s="571" t="s">
        <v>692</v>
      </c>
      <c r="D10" s="579">
        <f t="shared" si="0"/>
        <v>1340000</v>
      </c>
      <c r="E10" s="2033"/>
      <c r="F10" s="577"/>
      <c r="G10" s="633" t="s">
        <v>693</v>
      </c>
      <c r="H10" s="636">
        <f>30000*24</f>
        <v>720000</v>
      </c>
      <c r="I10" s="637">
        <v>1</v>
      </c>
      <c r="J10" s="635"/>
      <c r="K10" s="577"/>
    </row>
    <row r="11" spans="2:11" ht="15.5">
      <c r="B11" s="569" t="s">
        <v>694</v>
      </c>
      <c r="C11" s="571" t="s">
        <v>695</v>
      </c>
      <c r="D11" s="579">
        <f t="shared" si="0"/>
        <v>1340000</v>
      </c>
      <c r="E11" s="2033"/>
      <c r="F11" s="577"/>
      <c r="G11" s="633" t="s">
        <v>696</v>
      </c>
      <c r="H11" s="636">
        <f>500000</f>
        <v>500000</v>
      </c>
      <c r="I11" s="637">
        <v>1</v>
      </c>
      <c r="J11" s="635"/>
      <c r="K11" s="577"/>
    </row>
    <row r="12" spans="2:11" ht="15.5">
      <c r="B12" s="569" t="s">
        <v>697</v>
      </c>
      <c r="C12" s="571" t="s">
        <v>698</v>
      </c>
      <c r="D12" s="579">
        <f t="shared" si="0"/>
        <v>1340000</v>
      </c>
      <c r="E12" s="2033"/>
      <c r="F12" s="577"/>
      <c r="G12" s="633" t="s">
        <v>699</v>
      </c>
      <c r="H12" s="636">
        <f>120000</f>
        <v>120000</v>
      </c>
      <c r="I12" s="637">
        <v>1</v>
      </c>
      <c r="J12" s="635"/>
      <c r="K12" s="577"/>
    </row>
    <row r="13" spans="2:11" ht="15.5">
      <c r="B13" s="569" t="s">
        <v>700</v>
      </c>
      <c r="C13" s="571" t="s">
        <v>701</v>
      </c>
      <c r="D13" s="579">
        <f t="shared" si="0"/>
        <v>1340000</v>
      </c>
      <c r="E13" s="2033"/>
      <c r="F13" s="577"/>
      <c r="G13" s="633"/>
      <c r="H13" s="638">
        <f>ROUND(SUM(H10:H12),0)</f>
        <v>1340000</v>
      </c>
      <c r="I13" s="639"/>
      <c r="J13" s="635"/>
      <c r="K13" s="577"/>
    </row>
    <row r="14" spans="2:11" ht="15.5">
      <c r="B14" s="569" t="s">
        <v>702</v>
      </c>
      <c r="C14" s="571" t="s">
        <v>703</v>
      </c>
      <c r="D14" s="579">
        <f t="shared" si="0"/>
        <v>1340000</v>
      </c>
      <c r="E14" s="2033"/>
      <c r="F14" s="577"/>
      <c r="G14" s="633"/>
      <c r="H14" s="633"/>
      <c r="I14" s="634"/>
      <c r="J14" s="635"/>
      <c r="K14" s="577"/>
    </row>
    <row r="15" spans="2:11" ht="15.5">
      <c r="B15" s="569" t="s">
        <v>704</v>
      </c>
      <c r="C15" s="571" t="s">
        <v>705</v>
      </c>
      <c r="D15" s="579">
        <f t="shared" si="0"/>
        <v>1340000</v>
      </c>
      <c r="E15" s="2033"/>
      <c r="F15" s="577"/>
      <c r="G15" s="640"/>
      <c r="H15" s="640"/>
      <c r="I15" s="640"/>
      <c r="J15" s="635"/>
      <c r="K15" s="577"/>
    </row>
    <row r="16" spans="2:11" ht="15.5">
      <c r="B16" s="631">
        <v>3</v>
      </c>
      <c r="C16" s="572" t="s">
        <v>706</v>
      </c>
      <c r="D16" s="578"/>
      <c r="E16" s="641"/>
      <c r="F16" s="577"/>
      <c r="G16" s="640"/>
      <c r="H16" s="640"/>
      <c r="I16" s="640"/>
      <c r="J16" s="635"/>
      <c r="K16" s="577"/>
    </row>
    <row r="17" spans="2:11" ht="31">
      <c r="B17" s="569">
        <v>3.3</v>
      </c>
      <c r="C17" s="573" t="s">
        <v>707</v>
      </c>
      <c r="D17" s="579">
        <v>4040000</v>
      </c>
      <c r="E17" s="582" t="s">
        <v>708</v>
      </c>
      <c r="F17" s="577"/>
      <c r="G17" s="642"/>
      <c r="H17" s="643"/>
      <c r="I17" s="644" t="s">
        <v>322</v>
      </c>
      <c r="J17" s="645">
        <v>6</v>
      </c>
      <c r="K17" s="577"/>
    </row>
    <row r="18" spans="2:11" ht="15.5">
      <c r="B18" s="631">
        <v>4</v>
      </c>
      <c r="C18" s="572" t="s">
        <v>709</v>
      </c>
      <c r="D18" s="578"/>
      <c r="E18" s="581"/>
      <c r="F18" s="646"/>
      <c r="G18" s="643"/>
      <c r="H18" s="647"/>
      <c r="I18" s="643"/>
      <c r="J18" s="648"/>
      <c r="K18" s="581"/>
    </row>
    <row r="19" spans="2:11" ht="31">
      <c r="B19" s="569">
        <v>4.0999999999999996</v>
      </c>
      <c r="C19" s="571" t="s">
        <v>710</v>
      </c>
      <c r="D19" s="579">
        <f>+I32</f>
        <v>1263173</v>
      </c>
      <c r="E19" s="581"/>
      <c r="F19" s="646"/>
      <c r="G19" s="643" t="s">
        <v>711</v>
      </c>
      <c r="H19" s="647">
        <v>203616</v>
      </c>
      <c r="I19" s="643"/>
      <c r="J19" s="648"/>
      <c r="K19" s="581"/>
    </row>
    <row r="20" spans="2:11" ht="15.5">
      <c r="B20" s="631">
        <v>5</v>
      </c>
      <c r="C20" s="572" t="s">
        <v>712</v>
      </c>
      <c r="D20" s="578"/>
      <c r="E20" s="581"/>
      <c r="F20" s="646"/>
      <c r="G20" s="643" t="s">
        <v>713</v>
      </c>
      <c r="H20" s="647">
        <v>32679.111111111113</v>
      </c>
      <c r="I20" s="643"/>
      <c r="J20" s="648"/>
      <c r="K20" s="581"/>
    </row>
    <row r="21" spans="2:11" ht="46.5">
      <c r="B21" s="569" t="s">
        <v>714</v>
      </c>
      <c r="C21" s="571" t="s">
        <v>715</v>
      </c>
      <c r="D21" s="579">
        <f>+H23</f>
        <v>274002</v>
      </c>
      <c r="E21" s="582" t="s">
        <v>716</v>
      </c>
      <c r="F21" s="646"/>
      <c r="G21" s="643" t="s">
        <v>717</v>
      </c>
      <c r="H21" s="647">
        <v>37706.666666666672</v>
      </c>
      <c r="I21" s="643"/>
      <c r="J21" s="648"/>
      <c r="K21" s="581"/>
    </row>
    <row r="22" spans="2:11" ht="46.5">
      <c r="B22" s="569" t="s">
        <v>718</v>
      </c>
      <c r="C22" s="571" t="s">
        <v>719</v>
      </c>
      <c r="D22" s="579">
        <v>107464</v>
      </c>
      <c r="E22" s="582" t="s">
        <v>720</v>
      </c>
      <c r="F22" s="646"/>
      <c r="G22" s="643"/>
      <c r="H22" s="647"/>
      <c r="I22" s="643"/>
      <c r="J22" s="648"/>
      <c r="K22" s="581"/>
    </row>
    <row r="23" spans="2:11" ht="31">
      <c r="B23" s="569" t="s">
        <v>721</v>
      </c>
      <c r="C23" s="571" t="s">
        <v>722</v>
      </c>
      <c r="D23" s="579">
        <v>97283</v>
      </c>
      <c r="E23" s="582" t="s">
        <v>720</v>
      </c>
      <c r="F23" s="646"/>
      <c r="G23" s="642"/>
      <c r="H23" s="647">
        <f>ROUND(SUM(H19:H22),0)</f>
        <v>274002</v>
      </c>
      <c r="I23" s="643"/>
      <c r="J23" s="648"/>
      <c r="K23" s="581"/>
    </row>
    <row r="24" spans="2:11" ht="46.5">
      <c r="B24" s="569" t="s">
        <v>723</v>
      </c>
      <c r="C24" s="571" t="s">
        <v>724</v>
      </c>
      <c r="D24" s="579">
        <v>835957</v>
      </c>
      <c r="E24" s="582" t="s">
        <v>720</v>
      </c>
      <c r="F24" s="646"/>
      <c r="G24" s="642"/>
      <c r="H24" s="643"/>
      <c r="I24" s="643"/>
      <c r="J24" s="648"/>
      <c r="K24" s="581"/>
    </row>
    <row r="25" spans="2:11" ht="31">
      <c r="B25" s="569" t="s">
        <v>725</v>
      </c>
      <c r="C25" s="571" t="s">
        <v>726</v>
      </c>
      <c r="D25" s="579">
        <v>211000</v>
      </c>
      <c r="E25" s="582" t="s">
        <v>720</v>
      </c>
      <c r="F25" s="649"/>
      <c r="G25" s="642"/>
      <c r="H25" s="643"/>
      <c r="I25" s="643"/>
      <c r="J25" s="648"/>
      <c r="K25" s="527"/>
    </row>
    <row r="26" spans="2:11" ht="31">
      <c r="B26" s="569" t="s">
        <v>727</v>
      </c>
      <c r="C26" s="571" t="s">
        <v>728</v>
      </c>
      <c r="D26" s="579">
        <v>71831</v>
      </c>
      <c r="E26" s="582" t="s">
        <v>720</v>
      </c>
      <c r="F26" s="649"/>
      <c r="G26" s="527"/>
      <c r="H26" s="527"/>
      <c r="I26" s="527"/>
      <c r="J26" s="650"/>
      <c r="K26" s="527"/>
    </row>
    <row r="27" spans="2:11" ht="31">
      <c r="B27" s="569" t="s">
        <v>729</v>
      </c>
      <c r="C27" s="571" t="s">
        <v>730</v>
      </c>
      <c r="D27" s="579">
        <v>71266</v>
      </c>
      <c r="E27" s="582" t="s">
        <v>720</v>
      </c>
      <c r="F27" s="651"/>
      <c r="G27" s="652"/>
      <c r="H27" s="527"/>
      <c r="I27" s="527"/>
      <c r="J27" s="653"/>
      <c r="K27" s="584"/>
    </row>
    <row r="28" spans="2:11" ht="31">
      <c r="B28" s="569" t="s">
        <v>731</v>
      </c>
      <c r="C28" s="570" t="s">
        <v>732</v>
      </c>
      <c r="D28" s="579">
        <v>61085</v>
      </c>
      <c r="E28" s="582" t="s">
        <v>720</v>
      </c>
      <c r="F28" s="646"/>
      <c r="G28" s="584"/>
      <c r="H28" s="654" t="s">
        <v>733</v>
      </c>
      <c r="I28" s="655">
        <v>848400</v>
      </c>
      <c r="J28" s="653"/>
      <c r="K28" s="581"/>
    </row>
    <row r="29" spans="2:11" ht="31">
      <c r="B29" s="569" t="s">
        <v>734</v>
      </c>
      <c r="C29" s="570" t="s">
        <v>735</v>
      </c>
      <c r="D29" s="579">
        <v>178730</v>
      </c>
      <c r="E29" s="582" t="s">
        <v>720</v>
      </c>
      <c r="F29" s="646"/>
      <c r="G29" s="652"/>
      <c r="H29" s="654" t="s">
        <v>736</v>
      </c>
      <c r="I29" s="655">
        <v>75413.333333333343</v>
      </c>
      <c r="J29" s="653"/>
      <c r="K29" s="581"/>
    </row>
    <row r="30" spans="2:11" ht="15.5">
      <c r="B30" s="631">
        <v>6</v>
      </c>
      <c r="C30" s="572" t="s">
        <v>737</v>
      </c>
      <c r="D30" s="578"/>
      <c r="E30" s="582" t="s">
        <v>720</v>
      </c>
      <c r="F30" s="646"/>
      <c r="G30" s="652"/>
      <c r="H30" s="654" t="s">
        <v>738</v>
      </c>
      <c r="I30" s="655">
        <v>339360</v>
      </c>
      <c r="J30" s="653"/>
      <c r="K30" s="581"/>
    </row>
    <row r="31" spans="2:11" ht="62">
      <c r="B31" s="569" t="s">
        <v>739</v>
      </c>
      <c r="C31" s="571" t="s">
        <v>740</v>
      </c>
      <c r="D31" s="579">
        <v>6586978</v>
      </c>
      <c r="E31" s="582" t="s">
        <v>720</v>
      </c>
      <c r="F31" s="646"/>
      <c r="G31" s="652"/>
      <c r="H31" s="654" t="s">
        <v>741</v>
      </c>
      <c r="I31" s="655"/>
      <c r="J31" s="653"/>
      <c r="K31" s="581"/>
    </row>
    <row r="32" spans="2:11" ht="62">
      <c r="B32" s="569" t="s">
        <v>742</v>
      </c>
      <c r="C32" s="571" t="s">
        <v>743</v>
      </c>
      <c r="D32" s="579">
        <v>5874322</v>
      </c>
      <c r="E32" s="582" t="s">
        <v>720</v>
      </c>
      <c r="F32" s="646"/>
      <c r="G32" s="652"/>
      <c r="H32" s="654"/>
      <c r="I32" s="655">
        <f>ROUND(SUM(I28:I30),0)</f>
        <v>1263173</v>
      </c>
      <c r="J32" s="653"/>
      <c r="K32" s="581"/>
    </row>
    <row r="33" spans="2:11" ht="31">
      <c r="B33" s="569" t="s">
        <v>744</v>
      </c>
      <c r="C33" s="571" t="s">
        <v>745</v>
      </c>
      <c r="D33" s="579">
        <v>504515</v>
      </c>
      <c r="E33" s="582" t="s">
        <v>720</v>
      </c>
      <c r="F33" s="646"/>
      <c r="G33" s="652"/>
      <c r="H33" s="581"/>
      <c r="I33" s="581"/>
      <c r="J33" s="656"/>
      <c r="K33" s="581"/>
    </row>
    <row r="34" spans="2:11" ht="31">
      <c r="B34" s="569" t="s">
        <v>746</v>
      </c>
      <c r="C34" s="571" t="s">
        <v>747</v>
      </c>
      <c r="D34" s="579">
        <v>392526</v>
      </c>
      <c r="E34" s="582" t="s">
        <v>720</v>
      </c>
      <c r="F34" s="646"/>
      <c r="G34" s="652"/>
      <c r="H34" s="581"/>
      <c r="I34" s="581"/>
      <c r="J34" s="656"/>
      <c r="K34" s="581"/>
    </row>
    <row r="35" spans="2:11" ht="15.5">
      <c r="B35" s="657">
        <v>7</v>
      </c>
      <c r="C35" s="574" t="s">
        <v>256</v>
      </c>
      <c r="D35" s="585"/>
      <c r="E35" s="586"/>
      <c r="F35" s="646"/>
      <c r="G35" s="652"/>
      <c r="H35" s="581"/>
      <c r="I35" s="581"/>
      <c r="J35" s="656"/>
      <c r="K35" s="581"/>
    </row>
    <row r="36" spans="2:11" ht="15.5">
      <c r="B36" s="658">
        <v>7.1</v>
      </c>
      <c r="C36" s="575" t="s">
        <v>748</v>
      </c>
      <c r="D36" s="579">
        <f>VLOOKUP(C36,'ENSAYOS DE LABORATORIO'!$A$12:$D$48,4,FALSE)</f>
        <v>79373</v>
      </c>
      <c r="E36" s="2034" t="s">
        <v>749</v>
      </c>
      <c r="F36" s="646"/>
      <c r="G36" s="652"/>
      <c r="H36" s="581"/>
      <c r="I36" s="581"/>
      <c r="J36" s="656"/>
      <c r="K36" s="581"/>
    </row>
    <row r="37" spans="2:11" ht="31">
      <c r="B37" s="658">
        <v>7.2</v>
      </c>
      <c r="C37" s="575" t="s">
        <v>750</v>
      </c>
      <c r="D37" s="579">
        <f>VLOOKUP(C37,'ENSAYOS DE LABORATORIO'!$A$12:$D$48,4,FALSE)</f>
        <v>161762</v>
      </c>
      <c r="E37" s="2034"/>
      <c r="F37" s="646"/>
      <c r="G37" s="652"/>
      <c r="H37" s="581"/>
      <c r="I37" s="581"/>
      <c r="J37" s="656"/>
      <c r="K37" s="581"/>
    </row>
    <row r="38" spans="2:11" ht="31">
      <c r="B38" s="658">
        <v>7.3</v>
      </c>
      <c r="C38" s="575" t="s">
        <v>751</v>
      </c>
      <c r="D38" s="579">
        <f>VLOOKUP(C38,'ENSAYOS DE LABORATORIO'!$A$12:$D$48,4,FALSE)</f>
        <v>88354</v>
      </c>
      <c r="E38" s="2034"/>
      <c r="F38" s="646"/>
      <c r="G38" s="652"/>
      <c r="H38" s="581"/>
      <c r="I38" s="581"/>
      <c r="J38" s="656"/>
      <c r="K38" s="581"/>
    </row>
    <row r="39" spans="2:11" ht="46.5">
      <c r="B39" s="658">
        <v>7.4</v>
      </c>
      <c r="C39" s="575" t="s">
        <v>752</v>
      </c>
      <c r="D39" s="579">
        <f>VLOOKUP(C39,'ENSAYOS DE LABORATORIO'!$A$12:$D$48,4,FALSE)</f>
        <v>196350</v>
      </c>
      <c r="E39" s="2034"/>
      <c r="F39" s="646"/>
      <c r="G39" s="652"/>
      <c r="H39" s="581"/>
      <c r="I39" s="581"/>
      <c r="J39" s="656"/>
      <c r="K39" s="581"/>
    </row>
    <row r="40" spans="2:11" ht="31">
      <c r="B40" s="658">
        <v>7.5</v>
      </c>
      <c r="C40" s="575" t="s">
        <v>753</v>
      </c>
      <c r="D40" s="579">
        <f>VLOOKUP(C40,'ENSAYOS DE LABORATORIO'!$A$12:$D$48,4,FALSE)</f>
        <v>481391</v>
      </c>
      <c r="E40" s="2034"/>
      <c r="F40" s="646"/>
      <c r="G40" s="652"/>
      <c r="H40" s="581"/>
      <c r="I40" s="581"/>
      <c r="J40" s="656"/>
      <c r="K40" s="581"/>
    </row>
    <row r="41" spans="2:11" ht="31">
      <c r="B41" s="658">
        <v>7.6</v>
      </c>
      <c r="C41" s="575" t="s">
        <v>260</v>
      </c>
      <c r="D41" s="579">
        <f>VLOOKUP(C41,'ENSAYOS DE LABORATORIO'!$A$12:$D$48,4,FALSE)</f>
        <v>993257</v>
      </c>
      <c r="E41" s="2034"/>
      <c r="F41" s="646"/>
      <c r="G41" s="652"/>
      <c r="H41" s="581"/>
      <c r="I41" s="581"/>
      <c r="J41" s="656"/>
      <c r="K41" s="581"/>
    </row>
    <row r="42" spans="2:11" ht="15.5">
      <c r="B42" s="658">
        <v>7.7</v>
      </c>
      <c r="C42" s="575" t="s">
        <v>262</v>
      </c>
      <c r="D42" s="579">
        <f>VLOOKUP(C42,'ENSAYOS DE LABORATORIO'!$A$12:$D$48,4,FALSE)</f>
        <v>7854</v>
      </c>
      <c r="E42" s="2034"/>
      <c r="F42" s="646"/>
      <c r="G42" s="652"/>
      <c r="H42" s="581"/>
      <c r="I42" s="581"/>
      <c r="J42" s="656"/>
      <c r="K42" s="581"/>
    </row>
    <row r="43" spans="2:11" ht="31">
      <c r="B43" s="658">
        <v>7.8</v>
      </c>
      <c r="C43" s="575" t="s">
        <v>754</v>
      </c>
      <c r="D43" s="579">
        <f>VLOOKUP(C43,'ENSAYOS DE LABORATORIO'!$A$12:$D$48,4,FALSE)</f>
        <v>119833</v>
      </c>
      <c r="E43" s="2034"/>
      <c r="F43" s="646"/>
      <c r="G43" s="652"/>
      <c r="H43" s="581"/>
      <c r="I43" s="581"/>
      <c r="J43" s="656"/>
      <c r="K43" s="581"/>
    </row>
    <row r="44" spans="2:11" ht="15.5">
      <c r="B44" s="658">
        <v>7.9</v>
      </c>
      <c r="C44" s="575" t="s">
        <v>261</v>
      </c>
      <c r="D44" s="579">
        <f>VLOOKUP(C44,'ENSAYOS DE LABORATORIO'!$A$12:$D$48,4,FALSE)</f>
        <v>98532</v>
      </c>
      <c r="E44" s="2034"/>
      <c r="F44" s="646"/>
      <c r="G44" s="652"/>
      <c r="H44" s="581"/>
      <c r="I44" s="581"/>
      <c r="J44" s="656"/>
      <c r="K44" s="581"/>
    </row>
    <row r="45" spans="2:11" ht="15.5">
      <c r="B45" s="631">
        <v>8</v>
      </c>
      <c r="C45" s="568" t="s">
        <v>755</v>
      </c>
      <c r="D45" s="578"/>
      <c r="E45" s="586"/>
      <c r="F45" s="646"/>
      <c r="G45" s="652"/>
      <c r="H45" s="581"/>
      <c r="I45" s="581"/>
      <c r="J45" s="656"/>
      <c r="K45" s="581"/>
    </row>
    <row r="46" spans="2:11" ht="15.5">
      <c r="B46" s="569">
        <v>8.1</v>
      </c>
      <c r="C46" s="571" t="s">
        <v>756</v>
      </c>
      <c r="D46" s="579">
        <v>8450122</v>
      </c>
      <c r="E46" s="2034" t="s">
        <v>757</v>
      </c>
      <c r="F46" s="646"/>
      <c r="G46" s="652"/>
      <c r="H46" s="581"/>
      <c r="I46" s="581"/>
      <c r="J46" s="656"/>
      <c r="K46" s="581"/>
    </row>
    <row r="47" spans="2:11" ht="15.5">
      <c r="B47" s="569">
        <v>8.1999999999999993</v>
      </c>
      <c r="C47" s="571" t="s">
        <v>758</v>
      </c>
      <c r="D47" s="579">
        <v>4814445</v>
      </c>
      <c r="E47" s="2034"/>
      <c r="F47" s="646"/>
      <c r="G47" s="652"/>
      <c r="H47" s="581"/>
      <c r="I47" s="581"/>
      <c r="J47" s="656"/>
      <c r="K47" s="581"/>
    </row>
    <row r="48" spans="2:11" ht="31">
      <c r="B48" s="569">
        <v>8.3000000000000007</v>
      </c>
      <c r="C48" s="571" t="s">
        <v>759</v>
      </c>
      <c r="D48" s="579">
        <v>1782790</v>
      </c>
      <c r="E48" s="2034"/>
      <c r="F48" s="646"/>
      <c r="G48" s="652"/>
      <c r="H48" s="581"/>
      <c r="I48" s="581"/>
      <c r="J48" s="656"/>
      <c r="K48" s="581"/>
    </row>
    <row r="49" spans="2:11" ht="31">
      <c r="B49" s="569">
        <v>8.4</v>
      </c>
      <c r="C49" s="571" t="s">
        <v>760</v>
      </c>
      <c r="D49" s="579">
        <v>805202</v>
      </c>
      <c r="E49" s="2034"/>
      <c r="F49" s="581"/>
      <c r="G49" s="581"/>
      <c r="H49" s="581"/>
      <c r="I49" s="581"/>
      <c r="J49" s="656"/>
      <c r="K49" s="581"/>
    </row>
    <row r="50" spans="2:11" ht="31">
      <c r="B50" s="569">
        <v>8.5</v>
      </c>
      <c r="C50" s="571" t="s">
        <v>761</v>
      </c>
      <c r="D50" s="579">
        <v>148642</v>
      </c>
      <c r="E50" s="2034"/>
      <c r="F50" s="581"/>
      <c r="G50" s="581"/>
      <c r="H50" s="581"/>
      <c r="I50" s="581"/>
      <c r="J50" s="656"/>
      <c r="K50" s="581"/>
    </row>
    <row r="51" spans="2:11" ht="15.5">
      <c r="B51" s="631">
        <v>9</v>
      </c>
      <c r="C51" s="568" t="s">
        <v>762</v>
      </c>
      <c r="D51" s="578"/>
      <c r="E51" s="581"/>
      <c r="F51" s="581"/>
      <c r="G51" s="581"/>
      <c r="H51" s="581"/>
      <c r="I51" s="581"/>
      <c r="J51" s="656"/>
      <c r="K51" s="581"/>
    </row>
    <row r="52" spans="2:11" ht="15.5">
      <c r="B52" s="569">
        <v>9.1</v>
      </c>
      <c r="C52" s="571" t="s">
        <v>763</v>
      </c>
      <c r="D52" s="579">
        <v>471145</v>
      </c>
      <c r="E52" s="581"/>
      <c r="F52" s="581"/>
      <c r="G52" s="581"/>
      <c r="H52" s="581"/>
      <c r="I52" s="581"/>
      <c r="J52" s="656"/>
      <c r="K52" s="581"/>
    </row>
    <row r="53" spans="2:11" ht="15.5">
      <c r="B53" s="569">
        <v>9.1999999999999993</v>
      </c>
      <c r="C53" s="571" t="s">
        <v>764</v>
      </c>
      <c r="D53" s="579">
        <v>2019192</v>
      </c>
      <c r="E53" s="581"/>
      <c r="F53" s="581"/>
      <c r="G53" s="581"/>
      <c r="H53" s="581"/>
      <c r="I53" s="581"/>
      <c r="J53" s="656"/>
      <c r="K53" s="581"/>
    </row>
    <row r="54" spans="2:11" ht="15.5">
      <c r="B54" s="631">
        <v>10</v>
      </c>
      <c r="C54" s="568" t="s">
        <v>765</v>
      </c>
      <c r="D54" s="578"/>
      <c r="E54" s="581"/>
      <c r="F54" s="581"/>
      <c r="G54" s="581"/>
      <c r="H54" s="581"/>
      <c r="I54" s="581"/>
      <c r="J54" s="656"/>
      <c r="K54" s="581"/>
    </row>
    <row r="55" spans="2:11" ht="31.5" thickBot="1">
      <c r="B55" s="659">
        <v>9.1</v>
      </c>
      <c r="C55" s="660" t="s">
        <v>766</v>
      </c>
      <c r="D55" s="661">
        <v>11058562.800000001</v>
      </c>
      <c r="E55" s="662"/>
      <c r="F55" s="662"/>
      <c r="G55" s="662"/>
      <c r="H55" s="662"/>
      <c r="I55" s="662"/>
      <c r="J55" s="663"/>
      <c r="K55" s="581"/>
    </row>
  </sheetData>
  <protectedRanges>
    <protectedRange sqref="D35" name="Rango1_3_2_1_2_1_1_1_1"/>
  </protectedRanges>
  <mergeCells count="5">
    <mergeCell ref="B2:J3"/>
    <mergeCell ref="B4:J4"/>
    <mergeCell ref="E8:E15"/>
    <mergeCell ref="E36:E44"/>
    <mergeCell ref="E46:E50"/>
  </mergeCells>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270268-7FDF-4E7C-B13C-74795A15D38E}">
  <sheetPr>
    <tabColor theme="7" tint="0.79998168889431442"/>
  </sheetPr>
  <dimension ref="A1:E21"/>
  <sheetViews>
    <sheetView workbookViewId="0">
      <selection activeCell="E16" sqref="E16"/>
    </sheetView>
  </sheetViews>
  <sheetFormatPr baseColWidth="10" defaultColWidth="11.453125" defaultRowHeight="14"/>
  <cols>
    <col min="1" max="1" width="1.81640625" style="1350" customWidth="1"/>
    <col min="2" max="2" width="7.36328125" style="1361" customWidth="1"/>
    <col min="3" max="3" width="72.453125" style="1362" customWidth="1"/>
    <col min="4" max="4" width="13.453125" style="1361" customWidth="1"/>
    <col min="5" max="5" width="25.08984375" style="1350" customWidth="1"/>
    <col min="6" max="234" width="11.453125" style="1350"/>
    <col min="235" max="235" width="3.6328125" style="1350" customWidth="1"/>
    <col min="236" max="236" width="4.6328125" style="1350" customWidth="1"/>
    <col min="237" max="237" width="133.6328125" style="1350" customWidth="1"/>
    <col min="238" max="238" width="23.36328125" style="1350" customWidth="1"/>
    <col min="239" max="241" width="0" style="1350" hidden="1" customWidth="1"/>
    <col min="242" max="242" width="33" style="1350" customWidth="1"/>
    <col min="243" max="243" width="4.08984375" style="1350" customWidth="1"/>
    <col min="244" max="244" width="23.08984375" style="1350" customWidth="1"/>
    <col min="245" max="245" width="26.453125" style="1350" customWidth="1"/>
    <col min="246" max="246" width="23.6328125" style="1350" customWidth="1"/>
    <col min="247" max="247" width="20.453125" style="1350" customWidth="1"/>
    <col min="248" max="248" width="33.453125" style="1350" customWidth="1"/>
    <col min="249" max="249" width="23" style="1350" customWidth="1"/>
    <col min="250" max="490" width="11.453125" style="1350"/>
    <col min="491" max="491" width="3.6328125" style="1350" customWidth="1"/>
    <col min="492" max="492" width="4.6328125" style="1350" customWidth="1"/>
    <col min="493" max="493" width="133.6328125" style="1350" customWidth="1"/>
    <col min="494" max="494" width="23.36328125" style="1350" customWidth="1"/>
    <col min="495" max="497" width="0" style="1350" hidden="1" customWidth="1"/>
    <col min="498" max="498" width="33" style="1350" customWidth="1"/>
    <col min="499" max="499" width="4.08984375" style="1350" customWidth="1"/>
    <col min="500" max="500" width="23.08984375" style="1350" customWidth="1"/>
    <col min="501" max="501" width="26.453125" style="1350" customWidth="1"/>
    <col min="502" max="502" width="23.6328125" style="1350" customWidth="1"/>
    <col min="503" max="503" width="20.453125" style="1350" customWidth="1"/>
    <col min="504" max="504" width="33.453125" style="1350" customWidth="1"/>
    <col min="505" max="505" width="23" style="1350" customWidth="1"/>
    <col min="506" max="746" width="11.453125" style="1350"/>
    <col min="747" max="747" width="3.6328125" style="1350" customWidth="1"/>
    <col min="748" max="748" width="4.6328125" style="1350" customWidth="1"/>
    <col min="749" max="749" width="133.6328125" style="1350" customWidth="1"/>
    <col min="750" max="750" width="23.36328125" style="1350" customWidth="1"/>
    <col min="751" max="753" width="0" style="1350" hidden="1" customWidth="1"/>
    <col min="754" max="754" width="33" style="1350" customWidth="1"/>
    <col min="755" max="755" width="4.08984375" style="1350" customWidth="1"/>
    <col min="756" max="756" width="23.08984375" style="1350" customWidth="1"/>
    <col min="757" max="757" width="26.453125" style="1350" customWidth="1"/>
    <col min="758" max="758" width="23.6328125" style="1350" customWidth="1"/>
    <col min="759" max="759" width="20.453125" style="1350" customWidth="1"/>
    <col min="760" max="760" width="33.453125" style="1350" customWidth="1"/>
    <col min="761" max="761" width="23" style="1350" customWidth="1"/>
    <col min="762" max="1002" width="11.453125" style="1350"/>
    <col min="1003" max="1003" width="3.6328125" style="1350" customWidth="1"/>
    <col min="1004" max="1004" width="4.6328125" style="1350" customWidth="1"/>
    <col min="1005" max="1005" width="133.6328125" style="1350" customWidth="1"/>
    <col min="1006" max="1006" width="23.36328125" style="1350" customWidth="1"/>
    <col min="1007" max="1009" width="0" style="1350" hidden="1" customWidth="1"/>
    <col min="1010" max="1010" width="33" style="1350" customWidth="1"/>
    <col min="1011" max="1011" width="4.08984375" style="1350" customWidth="1"/>
    <col min="1012" max="1012" width="23.08984375" style="1350" customWidth="1"/>
    <col min="1013" max="1013" width="26.453125" style="1350" customWidth="1"/>
    <col min="1014" max="1014" width="23.6328125" style="1350" customWidth="1"/>
    <col min="1015" max="1015" width="20.453125" style="1350" customWidth="1"/>
    <col min="1016" max="1016" width="33.453125" style="1350" customWidth="1"/>
    <col min="1017" max="1017" width="23" style="1350" customWidth="1"/>
    <col min="1018" max="1258" width="11.453125" style="1350"/>
    <col min="1259" max="1259" width="3.6328125" style="1350" customWidth="1"/>
    <col min="1260" max="1260" width="4.6328125" style="1350" customWidth="1"/>
    <col min="1261" max="1261" width="133.6328125" style="1350" customWidth="1"/>
    <col min="1262" max="1262" width="23.36328125" style="1350" customWidth="1"/>
    <col min="1263" max="1265" width="0" style="1350" hidden="1" customWidth="1"/>
    <col min="1266" max="1266" width="33" style="1350" customWidth="1"/>
    <col min="1267" max="1267" width="4.08984375" style="1350" customWidth="1"/>
    <col min="1268" max="1268" width="23.08984375" style="1350" customWidth="1"/>
    <col min="1269" max="1269" width="26.453125" style="1350" customWidth="1"/>
    <col min="1270" max="1270" width="23.6328125" style="1350" customWidth="1"/>
    <col min="1271" max="1271" width="20.453125" style="1350" customWidth="1"/>
    <col min="1272" max="1272" width="33.453125" style="1350" customWidth="1"/>
    <col min="1273" max="1273" width="23" style="1350" customWidth="1"/>
    <col min="1274" max="1514" width="11.453125" style="1350"/>
    <col min="1515" max="1515" width="3.6328125" style="1350" customWidth="1"/>
    <col min="1516" max="1516" width="4.6328125" style="1350" customWidth="1"/>
    <col min="1517" max="1517" width="133.6328125" style="1350" customWidth="1"/>
    <col min="1518" max="1518" width="23.36328125" style="1350" customWidth="1"/>
    <col min="1519" max="1521" width="0" style="1350" hidden="1" customWidth="1"/>
    <col min="1522" max="1522" width="33" style="1350" customWidth="1"/>
    <col min="1523" max="1523" width="4.08984375" style="1350" customWidth="1"/>
    <col min="1524" max="1524" width="23.08984375" style="1350" customWidth="1"/>
    <col min="1525" max="1525" width="26.453125" style="1350" customWidth="1"/>
    <col min="1526" max="1526" width="23.6328125" style="1350" customWidth="1"/>
    <col min="1527" max="1527" width="20.453125" style="1350" customWidth="1"/>
    <col min="1528" max="1528" width="33.453125" style="1350" customWidth="1"/>
    <col min="1529" max="1529" width="23" style="1350" customWidth="1"/>
    <col min="1530" max="1770" width="11.453125" style="1350"/>
    <col min="1771" max="1771" width="3.6328125" style="1350" customWidth="1"/>
    <col min="1772" max="1772" width="4.6328125" style="1350" customWidth="1"/>
    <col min="1773" max="1773" width="133.6328125" style="1350" customWidth="1"/>
    <col min="1774" max="1774" width="23.36328125" style="1350" customWidth="1"/>
    <col min="1775" max="1777" width="0" style="1350" hidden="1" customWidth="1"/>
    <col min="1778" max="1778" width="33" style="1350" customWidth="1"/>
    <col min="1779" max="1779" width="4.08984375" style="1350" customWidth="1"/>
    <col min="1780" max="1780" width="23.08984375" style="1350" customWidth="1"/>
    <col min="1781" max="1781" width="26.453125" style="1350" customWidth="1"/>
    <col min="1782" max="1782" width="23.6328125" style="1350" customWidth="1"/>
    <col min="1783" max="1783" width="20.453125" style="1350" customWidth="1"/>
    <col min="1784" max="1784" width="33.453125" style="1350" customWidth="1"/>
    <col min="1785" max="1785" width="23" style="1350" customWidth="1"/>
    <col min="1786" max="2026" width="11.453125" style="1350"/>
    <col min="2027" max="2027" width="3.6328125" style="1350" customWidth="1"/>
    <col min="2028" max="2028" width="4.6328125" style="1350" customWidth="1"/>
    <col min="2029" max="2029" width="133.6328125" style="1350" customWidth="1"/>
    <col min="2030" max="2030" width="23.36328125" style="1350" customWidth="1"/>
    <col min="2031" max="2033" width="0" style="1350" hidden="1" customWidth="1"/>
    <col min="2034" max="2034" width="33" style="1350" customWidth="1"/>
    <col min="2035" max="2035" width="4.08984375" style="1350" customWidth="1"/>
    <col min="2036" max="2036" width="23.08984375" style="1350" customWidth="1"/>
    <col min="2037" max="2037" width="26.453125" style="1350" customWidth="1"/>
    <col min="2038" max="2038" width="23.6328125" style="1350" customWidth="1"/>
    <col min="2039" max="2039" width="20.453125" style="1350" customWidth="1"/>
    <col min="2040" max="2040" width="33.453125" style="1350" customWidth="1"/>
    <col min="2041" max="2041" width="23" style="1350" customWidth="1"/>
    <col min="2042" max="2282" width="11.453125" style="1350"/>
    <col min="2283" max="2283" width="3.6328125" style="1350" customWidth="1"/>
    <col min="2284" max="2284" width="4.6328125" style="1350" customWidth="1"/>
    <col min="2285" max="2285" width="133.6328125" style="1350" customWidth="1"/>
    <col min="2286" max="2286" width="23.36328125" style="1350" customWidth="1"/>
    <col min="2287" max="2289" width="0" style="1350" hidden="1" customWidth="1"/>
    <col min="2290" max="2290" width="33" style="1350" customWidth="1"/>
    <col min="2291" max="2291" width="4.08984375" style="1350" customWidth="1"/>
    <col min="2292" max="2292" width="23.08984375" style="1350" customWidth="1"/>
    <col min="2293" max="2293" width="26.453125" style="1350" customWidth="1"/>
    <col min="2294" max="2294" width="23.6328125" style="1350" customWidth="1"/>
    <col min="2295" max="2295" width="20.453125" style="1350" customWidth="1"/>
    <col min="2296" max="2296" width="33.453125" style="1350" customWidth="1"/>
    <col min="2297" max="2297" width="23" style="1350" customWidth="1"/>
    <col min="2298" max="2538" width="11.453125" style="1350"/>
    <col min="2539" max="2539" width="3.6328125" style="1350" customWidth="1"/>
    <col min="2540" max="2540" width="4.6328125" style="1350" customWidth="1"/>
    <col min="2541" max="2541" width="133.6328125" style="1350" customWidth="1"/>
    <col min="2542" max="2542" width="23.36328125" style="1350" customWidth="1"/>
    <col min="2543" max="2545" width="0" style="1350" hidden="1" customWidth="1"/>
    <col min="2546" max="2546" width="33" style="1350" customWidth="1"/>
    <col min="2547" max="2547" width="4.08984375" style="1350" customWidth="1"/>
    <col min="2548" max="2548" width="23.08984375" style="1350" customWidth="1"/>
    <col min="2549" max="2549" width="26.453125" style="1350" customWidth="1"/>
    <col min="2550" max="2550" width="23.6328125" style="1350" customWidth="1"/>
    <col min="2551" max="2551" width="20.453125" style="1350" customWidth="1"/>
    <col min="2552" max="2552" width="33.453125" style="1350" customWidth="1"/>
    <col min="2553" max="2553" width="23" style="1350" customWidth="1"/>
    <col min="2554" max="2794" width="11.453125" style="1350"/>
    <col min="2795" max="2795" width="3.6328125" style="1350" customWidth="1"/>
    <col min="2796" max="2796" width="4.6328125" style="1350" customWidth="1"/>
    <col min="2797" max="2797" width="133.6328125" style="1350" customWidth="1"/>
    <col min="2798" max="2798" width="23.36328125" style="1350" customWidth="1"/>
    <col min="2799" max="2801" width="0" style="1350" hidden="1" customWidth="1"/>
    <col min="2802" max="2802" width="33" style="1350" customWidth="1"/>
    <col min="2803" max="2803" width="4.08984375" style="1350" customWidth="1"/>
    <col min="2804" max="2804" width="23.08984375" style="1350" customWidth="1"/>
    <col min="2805" max="2805" width="26.453125" style="1350" customWidth="1"/>
    <col min="2806" max="2806" width="23.6328125" style="1350" customWidth="1"/>
    <col min="2807" max="2807" width="20.453125" style="1350" customWidth="1"/>
    <col min="2808" max="2808" width="33.453125" style="1350" customWidth="1"/>
    <col min="2809" max="2809" width="23" style="1350" customWidth="1"/>
    <col min="2810" max="3050" width="11.453125" style="1350"/>
    <col min="3051" max="3051" width="3.6328125" style="1350" customWidth="1"/>
    <col min="3052" max="3052" width="4.6328125" style="1350" customWidth="1"/>
    <col min="3053" max="3053" width="133.6328125" style="1350" customWidth="1"/>
    <col min="3054" max="3054" width="23.36328125" style="1350" customWidth="1"/>
    <col min="3055" max="3057" width="0" style="1350" hidden="1" customWidth="1"/>
    <col min="3058" max="3058" width="33" style="1350" customWidth="1"/>
    <col min="3059" max="3059" width="4.08984375" style="1350" customWidth="1"/>
    <col min="3060" max="3060" width="23.08984375" style="1350" customWidth="1"/>
    <col min="3061" max="3061" width="26.453125" style="1350" customWidth="1"/>
    <col min="3062" max="3062" width="23.6328125" style="1350" customWidth="1"/>
    <col min="3063" max="3063" width="20.453125" style="1350" customWidth="1"/>
    <col min="3064" max="3064" width="33.453125" style="1350" customWidth="1"/>
    <col min="3065" max="3065" width="23" style="1350" customWidth="1"/>
    <col min="3066" max="3306" width="11.453125" style="1350"/>
    <col min="3307" max="3307" width="3.6328125" style="1350" customWidth="1"/>
    <col min="3308" max="3308" width="4.6328125" style="1350" customWidth="1"/>
    <col min="3309" max="3309" width="133.6328125" style="1350" customWidth="1"/>
    <col min="3310" max="3310" width="23.36328125" style="1350" customWidth="1"/>
    <col min="3311" max="3313" width="0" style="1350" hidden="1" customWidth="1"/>
    <col min="3314" max="3314" width="33" style="1350" customWidth="1"/>
    <col min="3315" max="3315" width="4.08984375" style="1350" customWidth="1"/>
    <col min="3316" max="3316" width="23.08984375" style="1350" customWidth="1"/>
    <col min="3317" max="3317" width="26.453125" style="1350" customWidth="1"/>
    <col min="3318" max="3318" width="23.6328125" style="1350" customWidth="1"/>
    <col min="3319" max="3319" width="20.453125" style="1350" customWidth="1"/>
    <col min="3320" max="3320" width="33.453125" style="1350" customWidth="1"/>
    <col min="3321" max="3321" width="23" style="1350" customWidth="1"/>
    <col min="3322" max="3562" width="11.453125" style="1350"/>
    <col min="3563" max="3563" width="3.6328125" style="1350" customWidth="1"/>
    <col min="3564" max="3564" width="4.6328125" style="1350" customWidth="1"/>
    <col min="3565" max="3565" width="133.6328125" style="1350" customWidth="1"/>
    <col min="3566" max="3566" width="23.36328125" style="1350" customWidth="1"/>
    <col min="3567" max="3569" width="0" style="1350" hidden="1" customWidth="1"/>
    <col min="3570" max="3570" width="33" style="1350" customWidth="1"/>
    <col min="3571" max="3571" width="4.08984375" style="1350" customWidth="1"/>
    <col min="3572" max="3572" width="23.08984375" style="1350" customWidth="1"/>
    <col min="3573" max="3573" width="26.453125" style="1350" customWidth="1"/>
    <col min="3574" max="3574" width="23.6328125" style="1350" customWidth="1"/>
    <col min="3575" max="3575" width="20.453125" style="1350" customWidth="1"/>
    <col min="3576" max="3576" width="33.453125" style="1350" customWidth="1"/>
    <col min="3577" max="3577" width="23" style="1350" customWidth="1"/>
    <col min="3578" max="3818" width="11.453125" style="1350"/>
    <col min="3819" max="3819" width="3.6328125" style="1350" customWidth="1"/>
    <col min="3820" max="3820" width="4.6328125" style="1350" customWidth="1"/>
    <col min="3821" max="3821" width="133.6328125" style="1350" customWidth="1"/>
    <col min="3822" max="3822" width="23.36328125" style="1350" customWidth="1"/>
    <col min="3823" max="3825" width="0" style="1350" hidden="1" customWidth="1"/>
    <col min="3826" max="3826" width="33" style="1350" customWidth="1"/>
    <col min="3827" max="3827" width="4.08984375" style="1350" customWidth="1"/>
    <col min="3828" max="3828" width="23.08984375" style="1350" customWidth="1"/>
    <col min="3829" max="3829" width="26.453125" style="1350" customWidth="1"/>
    <col min="3830" max="3830" width="23.6328125" style="1350" customWidth="1"/>
    <col min="3831" max="3831" width="20.453125" style="1350" customWidth="1"/>
    <col min="3832" max="3832" width="33.453125" style="1350" customWidth="1"/>
    <col min="3833" max="3833" width="23" style="1350" customWidth="1"/>
    <col min="3834" max="4074" width="11.453125" style="1350"/>
    <col min="4075" max="4075" width="3.6328125" style="1350" customWidth="1"/>
    <col min="4076" max="4076" width="4.6328125" style="1350" customWidth="1"/>
    <col min="4077" max="4077" width="133.6328125" style="1350" customWidth="1"/>
    <col min="4078" max="4078" width="23.36328125" style="1350" customWidth="1"/>
    <col min="4079" max="4081" width="0" style="1350" hidden="1" customWidth="1"/>
    <col min="4082" max="4082" width="33" style="1350" customWidth="1"/>
    <col min="4083" max="4083" width="4.08984375" style="1350" customWidth="1"/>
    <col min="4084" max="4084" width="23.08984375" style="1350" customWidth="1"/>
    <col min="4085" max="4085" width="26.453125" style="1350" customWidth="1"/>
    <col min="4086" max="4086" width="23.6328125" style="1350" customWidth="1"/>
    <col min="4087" max="4087" width="20.453125" style="1350" customWidth="1"/>
    <col min="4088" max="4088" width="33.453125" style="1350" customWidth="1"/>
    <col min="4089" max="4089" width="23" style="1350" customWidth="1"/>
    <col min="4090" max="4330" width="11.453125" style="1350"/>
    <col min="4331" max="4331" width="3.6328125" style="1350" customWidth="1"/>
    <col min="4332" max="4332" width="4.6328125" style="1350" customWidth="1"/>
    <col min="4333" max="4333" width="133.6328125" style="1350" customWidth="1"/>
    <col min="4334" max="4334" width="23.36328125" style="1350" customWidth="1"/>
    <col min="4335" max="4337" width="0" style="1350" hidden="1" customWidth="1"/>
    <col min="4338" max="4338" width="33" style="1350" customWidth="1"/>
    <col min="4339" max="4339" width="4.08984375" style="1350" customWidth="1"/>
    <col min="4340" max="4340" width="23.08984375" style="1350" customWidth="1"/>
    <col min="4341" max="4341" width="26.453125" style="1350" customWidth="1"/>
    <col min="4342" max="4342" width="23.6328125" style="1350" customWidth="1"/>
    <col min="4343" max="4343" width="20.453125" style="1350" customWidth="1"/>
    <col min="4344" max="4344" width="33.453125" style="1350" customWidth="1"/>
    <col min="4345" max="4345" width="23" style="1350" customWidth="1"/>
    <col min="4346" max="4586" width="11.453125" style="1350"/>
    <col min="4587" max="4587" width="3.6328125" style="1350" customWidth="1"/>
    <col min="4588" max="4588" width="4.6328125" style="1350" customWidth="1"/>
    <col min="4589" max="4589" width="133.6328125" style="1350" customWidth="1"/>
    <col min="4590" max="4590" width="23.36328125" style="1350" customWidth="1"/>
    <col min="4591" max="4593" width="0" style="1350" hidden="1" customWidth="1"/>
    <col min="4594" max="4594" width="33" style="1350" customWidth="1"/>
    <col min="4595" max="4595" width="4.08984375" style="1350" customWidth="1"/>
    <col min="4596" max="4596" width="23.08984375" style="1350" customWidth="1"/>
    <col min="4597" max="4597" width="26.453125" style="1350" customWidth="1"/>
    <col min="4598" max="4598" width="23.6328125" style="1350" customWidth="1"/>
    <col min="4599" max="4599" width="20.453125" style="1350" customWidth="1"/>
    <col min="4600" max="4600" width="33.453125" style="1350" customWidth="1"/>
    <col min="4601" max="4601" width="23" style="1350" customWidth="1"/>
    <col min="4602" max="4842" width="11.453125" style="1350"/>
    <col min="4843" max="4843" width="3.6328125" style="1350" customWidth="1"/>
    <col min="4844" max="4844" width="4.6328125" style="1350" customWidth="1"/>
    <col min="4845" max="4845" width="133.6328125" style="1350" customWidth="1"/>
    <col min="4846" max="4846" width="23.36328125" style="1350" customWidth="1"/>
    <col min="4847" max="4849" width="0" style="1350" hidden="1" customWidth="1"/>
    <col min="4850" max="4850" width="33" style="1350" customWidth="1"/>
    <col min="4851" max="4851" width="4.08984375" style="1350" customWidth="1"/>
    <col min="4852" max="4852" width="23.08984375" style="1350" customWidth="1"/>
    <col min="4853" max="4853" width="26.453125" style="1350" customWidth="1"/>
    <col min="4854" max="4854" width="23.6328125" style="1350" customWidth="1"/>
    <col min="4855" max="4855" width="20.453125" style="1350" customWidth="1"/>
    <col min="4856" max="4856" width="33.453125" style="1350" customWidth="1"/>
    <col min="4857" max="4857" width="23" style="1350" customWidth="1"/>
    <col min="4858" max="5098" width="11.453125" style="1350"/>
    <col min="5099" max="5099" width="3.6328125" style="1350" customWidth="1"/>
    <col min="5100" max="5100" width="4.6328125" style="1350" customWidth="1"/>
    <col min="5101" max="5101" width="133.6328125" style="1350" customWidth="1"/>
    <col min="5102" max="5102" width="23.36328125" style="1350" customWidth="1"/>
    <col min="5103" max="5105" width="0" style="1350" hidden="1" customWidth="1"/>
    <col min="5106" max="5106" width="33" style="1350" customWidth="1"/>
    <col min="5107" max="5107" width="4.08984375" style="1350" customWidth="1"/>
    <col min="5108" max="5108" width="23.08984375" style="1350" customWidth="1"/>
    <col min="5109" max="5109" width="26.453125" style="1350" customWidth="1"/>
    <col min="5110" max="5110" width="23.6328125" style="1350" customWidth="1"/>
    <col min="5111" max="5111" width="20.453125" style="1350" customWidth="1"/>
    <col min="5112" max="5112" width="33.453125" style="1350" customWidth="1"/>
    <col min="5113" max="5113" width="23" style="1350" customWidth="1"/>
    <col min="5114" max="5354" width="11.453125" style="1350"/>
    <col min="5355" max="5355" width="3.6328125" style="1350" customWidth="1"/>
    <col min="5356" max="5356" width="4.6328125" style="1350" customWidth="1"/>
    <col min="5357" max="5357" width="133.6328125" style="1350" customWidth="1"/>
    <col min="5358" max="5358" width="23.36328125" style="1350" customWidth="1"/>
    <col min="5359" max="5361" width="0" style="1350" hidden="1" customWidth="1"/>
    <col min="5362" max="5362" width="33" style="1350" customWidth="1"/>
    <col min="5363" max="5363" width="4.08984375" style="1350" customWidth="1"/>
    <col min="5364" max="5364" width="23.08984375" style="1350" customWidth="1"/>
    <col min="5365" max="5365" width="26.453125" style="1350" customWidth="1"/>
    <col min="5366" max="5366" width="23.6328125" style="1350" customWidth="1"/>
    <col min="5367" max="5367" width="20.453125" style="1350" customWidth="1"/>
    <col min="5368" max="5368" width="33.453125" style="1350" customWidth="1"/>
    <col min="5369" max="5369" width="23" style="1350" customWidth="1"/>
    <col min="5370" max="5610" width="11.453125" style="1350"/>
    <col min="5611" max="5611" width="3.6328125" style="1350" customWidth="1"/>
    <col min="5612" max="5612" width="4.6328125" style="1350" customWidth="1"/>
    <col min="5613" max="5613" width="133.6328125" style="1350" customWidth="1"/>
    <col min="5614" max="5614" width="23.36328125" style="1350" customWidth="1"/>
    <col min="5615" max="5617" width="0" style="1350" hidden="1" customWidth="1"/>
    <col min="5618" max="5618" width="33" style="1350" customWidth="1"/>
    <col min="5619" max="5619" width="4.08984375" style="1350" customWidth="1"/>
    <col min="5620" max="5620" width="23.08984375" style="1350" customWidth="1"/>
    <col min="5621" max="5621" width="26.453125" style="1350" customWidth="1"/>
    <col min="5622" max="5622" width="23.6328125" style="1350" customWidth="1"/>
    <col min="5623" max="5623" width="20.453125" style="1350" customWidth="1"/>
    <col min="5624" max="5624" width="33.453125" style="1350" customWidth="1"/>
    <col min="5625" max="5625" width="23" style="1350" customWidth="1"/>
    <col min="5626" max="5866" width="11.453125" style="1350"/>
    <col min="5867" max="5867" width="3.6328125" style="1350" customWidth="1"/>
    <col min="5868" max="5868" width="4.6328125" style="1350" customWidth="1"/>
    <col min="5869" max="5869" width="133.6328125" style="1350" customWidth="1"/>
    <col min="5870" max="5870" width="23.36328125" style="1350" customWidth="1"/>
    <col min="5871" max="5873" width="0" style="1350" hidden="1" customWidth="1"/>
    <col min="5874" max="5874" width="33" style="1350" customWidth="1"/>
    <col min="5875" max="5875" width="4.08984375" style="1350" customWidth="1"/>
    <col min="5876" max="5876" width="23.08984375" style="1350" customWidth="1"/>
    <col min="5877" max="5877" width="26.453125" style="1350" customWidth="1"/>
    <col min="5878" max="5878" width="23.6328125" style="1350" customWidth="1"/>
    <col min="5879" max="5879" width="20.453125" style="1350" customWidth="1"/>
    <col min="5880" max="5880" width="33.453125" style="1350" customWidth="1"/>
    <col min="5881" max="5881" width="23" style="1350" customWidth="1"/>
    <col min="5882" max="6122" width="11.453125" style="1350"/>
    <col min="6123" max="6123" width="3.6328125" style="1350" customWidth="1"/>
    <col min="6124" max="6124" width="4.6328125" style="1350" customWidth="1"/>
    <col min="6125" max="6125" width="133.6328125" style="1350" customWidth="1"/>
    <col min="6126" max="6126" width="23.36328125" style="1350" customWidth="1"/>
    <col min="6127" max="6129" width="0" style="1350" hidden="1" customWidth="1"/>
    <col min="6130" max="6130" width="33" style="1350" customWidth="1"/>
    <col min="6131" max="6131" width="4.08984375" style="1350" customWidth="1"/>
    <col min="6132" max="6132" width="23.08984375" style="1350" customWidth="1"/>
    <col min="6133" max="6133" width="26.453125" style="1350" customWidth="1"/>
    <col min="6134" max="6134" width="23.6328125" style="1350" customWidth="1"/>
    <col min="6135" max="6135" width="20.453125" style="1350" customWidth="1"/>
    <col min="6136" max="6136" width="33.453125" style="1350" customWidth="1"/>
    <col min="6137" max="6137" width="23" style="1350" customWidth="1"/>
    <col min="6138" max="6378" width="11.453125" style="1350"/>
    <col min="6379" max="6379" width="3.6328125" style="1350" customWidth="1"/>
    <col min="6380" max="6380" width="4.6328125" style="1350" customWidth="1"/>
    <col min="6381" max="6381" width="133.6328125" style="1350" customWidth="1"/>
    <col min="6382" max="6382" width="23.36328125" style="1350" customWidth="1"/>
    <col min="6383" max="6385" width="0" style="1350" hidden="1" customWidth="1"/>
    <col min="6386" max="6386" width="33" style="1350" customWidth="1"/>
    <col min="6387" max="6387" width="4.08984375" style="1350" customWidth="1"/>
    <col min="6388" max="6388" width="23.08984375" style="1350" customWidth="1"/>
    <col min="6389" max="6389" width="26.453125" style="1350" customWidth="1"/>
    <col min="6390" max="6390" width="23.6328125" style="1350" customWidth="1"/>
    <col min="6391" max="6391" width="20.453125" style="1350" customWidth="1"/>
    <col min="6392" max="6392" width="33.453125" style="1350" customWidth="1"/>
    <col min="6393" max="6393" width="23" style="1350" customWidth="1"/>
    <col min="6394" max="6634" width="11.453125" style="1350"/>
    <col min="6635" max="6635" width="3.6328125" style="1350" customWidth="1"/>
    <col min="6636" max="6636" width="4.6328125" style="1350" customWidth="1"/>
    <col min="6637" max="6637" width="133.6328125" style="1350" customWidth="1"/>
    <col min="6638" max="6638" width="23.36328125" style="1350" customWidth="1"/>
    <col min="6639" max="6641" width="0" style="1350" hidden="1" customWidth="1"/>
    <col min="6642" max="6642" width="33" style="1350" customWidth="1"/>
    <col min="6643" max="6643" width="4.08984375" style="1350" customWidth="1"/>
    <col min="6644" max="6644" width="23.08984375" style="1350" customWidth="1"/>
    <col min="6645" max="6645" width="26.453125" style="1350" customWidth="1"/>
    <col min="6646" max="6646" width="23.6328125" style="1350" customWidth="1"/>
    <col min="6647" max="6647" width="20.453125" style="1350" customWidth="1"/>
    <col min="6648" max="6648" width="33.453125" style="1350" customWidth="1"/>
    <col min="6649" max="6649" width="23" style="1350" customWidth="1"/>
    <col min="6650" max="6890" width="11.453125" style="1350"/>
    <col min="6891" max="6891" width="3.6328125" style="1350" customWidth="1"/>
    <col min="6892" max="6892" width="4.6328125" style="1350" customWidth="1"/>
    <col min="6893" max="6893" width="133.6328125" style="1350" customWidth="1"/>
    <col min="6894" max="6894" width="23.36328125" style="1350" customWidth="1"/>
    <col min="6895" max="6897" width="0" style="1350" hidden="1" customWidth="1"/>
    <col min="6898" max="6898" width="33" style="1350" customWidth="1"/>
    <col min="6899" max="6899" width="4.08984375" style="1350" customWidth="1"/>
    <col min="6900" max="6900" width="23.08984375" style="1350" customWidth="1"/>
    <col min="6901" max="6901" width="26.453125" style="1350" customWidth="1"/>
    <col min="6902" max="6902" width="23.6328125" style="1350" customWidth="1"/>
    <col min="6903" max="6903" width="20.453125" style="1350" customWidth="1"/>
    <col min="6904" max="6904" width="33.453125" style="1350" customWidth="1"/>
    <col min="6905" max="6905" width="23" style="1350" customWidth="1"/>
    <col min="6906" max="7146" width="11.453125" style="1350"/>
    <col min="7147" max="7147" width="3.6328125" style="1350" customWidth="1"/>
    <col min="7148" max="7148" width="4.6328125" style="1350" customWidth="1"/>
    <col min="7149" max="7149" width="133.6328125" style="1350" customWidth="1"/>
    <col min="7150" max="7150" width="23.36328125" style="1350" customWidth="1"/>
    <col min="7151" max="7153" width="0" style="1350" hidden="1" customWidth="1"/>
    <col min="7154" max="7154" width="33" style="1350" customWidth="1"/>
    <col min="7155" max="7155" width="4.08984375" style="1350" customWidth="1"/>
    <col min="7156" max="7156" width="23.08984375" style="1350" customWidth="1"/>
    <col min="7157" max="7157" width="26.453125" style="1350" customWidth="1"/>
    <col min="7158" max="7158" width="23.6328125" style="1350" customWidth="1"/>
    <col min="7159" max="7159" width="20.453125" style="1350" customWidth="1"/>
    <col min="7160" max="7160" width="33.453125" style="1350" customWidth="1"/>
    <col min="7161" max="7161" width="23" style="1350" customWidth="1"/>
    <col min="7162" max="7402" width="11.453125" style="1350"/>
    <col min="7403" max="7403" width="3.6328125" style="1350" customWidth="1"/>
    <col min="7404" max="7404" width="4.6328125" style="1350" customWidth="1"/>
    <col min="7405" max="7405" width="133.6328125" style="1350" customWidth="1"/>
    <col min="7406" max="7406" width="23.36328125" style="1350" customWidth="1"/>
    <col min="7407" max="7409" width="0" style="1350" hidden="1" customWidth="1"/>
    <col min="7410" max="7410" width="33" style="1350" customWidth="1"/>
    <col min="7411" max="7411" width="4.08984375" style="1350" customWidth="1"/>
    <col min="7412" max="7412" width="23.08984375" style="1350" customWidth="1"/>
    <col min="7413" max="7413" width="26.453125" style="1350" customWidth="1"/>
    <col min="7414" max="7414" width="23.6328125" style="1350" customWidth="1"/>
    <col min="7415" max="7415" width="20.453125" style="1350" customWidth="1"/>
    <col min="7416" max="7416" width="33.453125" style="1350" customWidth="1"/>
    <col min="7417" max="7417" width="23" style="1350" customWidth="1"/>
    <col min="7418" max="7658" width="11.453125" style="1350"/>
    <col min="7659" max="7659" width="3.6328125" style="1350" customWidth="1"/>
    <col min="7660" max="7660" width="4.6328125" style="1350" customWidth="1"/>
    <col min="7661" max="7661" width="133.6328125" style="1350" customWidth="1"/>
    <col min="7662" max="7662" width="23.36328125" style="1350" customWidth="1"/>
    <col min="7663" max="7665" width="0" style="1350" hidden="1" customWidth="1"/>
    <col min="7666" max="7666" width="33" style="1350" customWidth="1"/>
    <col min="7667" max="7667" width="4.08984375" style="1350" customWidth="1"/>
    <col min="7668" max="7668" width="23.08984375" style="1350" customWidth="1"/>
    <col min="7669" max="7669" width="26.453125" style="1350" customWidth="1"/>
    <col min="7670" max="7670" width="23.6328125" style="1350" customWidth="1"/>
    <col min="7671" max="7671" width="20.453125" style="1350" customWidth="1"/>
    <col min="7672" max="7672" width="33.453125" style="1350" customWidth="1"/>
    <col min="7673" max="7673" width="23" style="1350" customWidth="1"/>
    <col min="7674" max="7914" width="11.453125" style="1350"/>
    <col min="7915" max="7915" width="3.6328125" style="1350" customWidth="1"/>
    <col min="7916" max="7916" width="4.6328125" style="1350" customWidth="1"/>
    <col min="7917" max="7917" width="133.6328125" style="1350" customWidth="1"/>
    <col min="7918" max="7918" width="23.36328125" style="1350" customWidth="1"/>
    <col min="7919" max="7921" width="0" style="1350" hidden="1" customWidth="1"/>
    <col min="7922" max="7922" width="33" style="1350" customWidth="1"/>
    <col min="7923" max="7923" width="4.08984375" style="1350" customWidth="1"/>
    <col min="7924" max="7924" width="23.08984375" style="1350" customWidth="1"/>
    <col min="7925" max="7925" width="26.453125" style="1350" customWidth="1"/>
    <col min="7926" max="7926" width="23.6328125" style="1350" customWidth="1"/>
    <col min="7927" max="7927" width="20.453125" style="1350" customWidth="1"/>
    <col min="7928" max="7928" width="33.453125" style="1350" customWidth="1"/>
    <col min="7929" max="7929" width="23" style="1350" customWidth="1"/>
    <col min="7930" max="8170" width="11.453125" style="1350"/>
    <col min="8171" max="8171" width="3.6328125" style="1350" customWidth="1"/>
    <col min="8172" max="8172" width="4.6328125" style="1350" customWidth="1"/>
    <col min="8173" max="8173" width="133.6328125" style="1350" customWidth="1"/>
    <col min="8174" max="8174" width="23.36328125" style="1350" customWidth="1"/>
    <col min="8175" max="8177" width="0" style="1350" hidden="1" customWidth="1"/>
    <col min="8178" max="8178" width="33" style="1350" customWidth="1"/>
    <col min="8179" max="8179" width="4.08984375" style="1350" customWidth="1"/>
    <col min="8180" max="8180" width="23.08984375" style="1350" customWidth="1"/>
    <col min="8181" max="8181" width="26.453125" style="1350" customWidth="1"/>
    <col min="8182" max="8182" width="23.6328125" style="1350" customWidth="1"/>
    <col min="8183" max="8183" width="20.453125" style="1350" customWidth="1"/>
    <col min="8184" max="8184" width="33.453125" style="1350" customWidth="1"/>
    <col min="8185" max="8185" width="23" style="1350" customWidth="1"/>
    <col min="8186" max="8426" width="11.453125" style="1350"/>
    <col min="8427" max="8427" width="3.6328125" style="1350" customWidth="1"/>
    <col min="8428" max="8428" width="4.6328125" style="1350" customWidth="1"/>
    <col min="8429" max="8429" width="133.6328125" style="1350" customWidth="1"/>
    <col min="8430" max="8430" width="23.36328125" style="1350" customWidth="1"/>
    <col min="8431" max="8433" width="0" style="1350" hidden="1" customWidth="1"/>
    <col min="8434" max="8434" width="33" style="1350" customWidth="1"/>
    <col min="8435" max="8435" width="4.08984375" style="1350" customWidth="1"/>
    <col min="8436" max="8436" width="23.08984375" style="1350" customWidth="1"/>
    <col min="8437" max="8437" width="26.453125" style="1350" customWidth="1"/>
    <col min="8438" max="8438" width="23.6328125" style="1350" customWidth="1"/>
    <col min="8439" max="8439" width="20.453125" style="1350" customWidth="1"/>
    <col min="8440" max="8440" width="33.453125" style="1350" customWidth="1"/>
    <col min="8441" max="8441" width="23" style="1350" customWidth="1"/>
    <col min="8442" max="8682" width="11.453125" style="1350"/>
    <col min="8683" max="8683" width="3.6328125" style="1350" customWidth="1"/>
    <col min="8684" max="8684" width="4.6328125" style="1350" customWidth="1"/>
    <col min="8685" max="8685" width="133.6328125" style="1350" customWidth="1"/>
    <col min="8686" max="8686" width="23.36328125" style="1350" customWidth="1"/>
    <col min="8687" max="8689" width="0" style="1350" hidden="1" customWidth="1"/>
    <col min="8690" max="8690" width="33" style="1350" customWidth="1"/>
    <col min="8691" max="8691" width="4.08984375" style="1350" customWidth="1"/>
    <col min="8692" max="8692" width="23.08984375" style="1350" customWidth="1"/>
    <col min="8693" max="8693" width="26.453125" style="1350" customWidth="1"/>
    <col min="8694" max="8694" width="23.6328125" style="1350" customWidth="1"/>
    <col min="8695" max="8695" width="20.453125" style="1350" customWidth="1"/>
    <col min="8696" max="8696" width="33.453125" style="1350" customWidth="1"/>
    <col min="8697" max="8697" width="23" style="1350" customWidth="1"/>
    <col min="8698" max="8938" width="11.453125" style="1350"/>
    <col min="8939" max="8939" width="3.6328125" style="1350" customWidth="1"/>
    <col min="8940" max="8940" width="4.6328125" style="1350" customWidth="1"/>
    <col min="8941" max="8941" width="133.6328125" style="1350" customWidth="1"/>
    <col min="8942" max="8942" width="23.36328125" style="1350" customWidth="1"/>
    <col min="8943" max="8945" width="0" style="1350" hidden="1" customWidth="1"/>
    <col min="8946" max="8946" width="33" style="1350" customWidth="1"/>
    <col min="8947" max="8947" width="4.08984375" style="1350" customWidth="1"/>
    <col min="8948" max="8948" width="23.08984375" style="1350" customWidth="1"/>
    <col min="8949" max="8949" width="26.453125" style="1350" customWidth="1"/>
    <col min="8950" max="8950" width="23.6328125" style="1350" customWidth="1"/>
    <col min="8951" max="8951" width="20.453125" style="1350" customWidth="1"/>
    <col min="8952" max="8952" width="33.453125" style="1350" customWidth="1"/>
    <col min="8953" max="8953" width="23" style="1350" customWidth="1"/>
    <col min="8954" max="9194" width="11.453125" style="1350"/>
    <col min="9195" max="9195" width="3.6328125" style="1350" customWidth="1"/>
    <col min="9196" max="9196" width="4.6328125" style="1350" customWidth="1"/>
    <col min="9197" max="9197" width="133.6328125" style="1350" customWidth="1"/>
    <col min="9198" max="9198" width="23.36328125" style="1350" customWidth="1"/>
    <col min="9199" max="9201" width="0" style="1350" hidden="1" customWidth="1"/>
    <col min="9202" max="9202" width="33" style="1350" customWidth="1"/>
    <col min="9203" max="9203" width="4.08984375" style="1350" customWidth="1"/>
    <col min="9204" max="9204" width="23.08984375" style="1350" customWidth="1"/>
    <col min="9205" max="9205" width="26.453125" style="1350" customWidth="1"/>
    <col min="9206" max="9206" width="23.6328125" style="1350" customWidth="1"/>
    <col min="9207" max="9207" width="20.453125" style="1350" customWidth="1"/>
    <col min="9208" max="9208" width="33.453125" style="1350" customWidth="1"/>
    <col min="9209" max="9209" width="23" style="1350" customWidth="1"/>
    <col min="9210" max="9450" width="11.453125" style="1350"/>
    <col min="9451" max="9451" width="3.6328125" style="1350" customWidth="1"/>
    <col min="9452" max="9452" width="4.6328125" style="1350" customWidth="1"/>
    <col min="9453" max="9453" width="133.6328125" style="1350" customWidth="1"/>
    <col min="9454" max="9454" width="23.36328125" style="1350" customWidth="1"/>
    <col min="9455" max="9457" width="0" style="1350" hidden="1" customWidth="1"/>
    <col min="9458" max="9458" width="33" style="1350" customWidth="1"/>
    <col min="9459" max="9459" width="4.08984375" style="1350" customWidth="1"/>
    <col min="9460" max="9460" width="23.08984375" style="1350" customWidth="1"/>
    <col min="9461" max="9461" width="26.453125" style="1350" customWidth="1"/>
    <col min="9462" max="9462" width="23.6328125" style="1350" customWidth="1"/>
    <col min="9463" max="9463" width="20.453125" style="1350" customWidth="1"/>
    <col min="9464" max="9464" width="33.453125" style="1350" customWidth="1"/>
    <col min="9465" max="9465" width="23" style="1350" customWidth="1"/>
    <col min="9466" max="9706" width="11.453125" style="1350"/>
    <col min="9707" max="9707" width="3.6328125" style="1350" customWidth="1"/>
    <col min="9708" max="9708" width="4.6328125" style="1350" customWidth="1"/>
    <col min="9709" max="9709" width="133.6328125" style="1350" customWidth="1"/>
    <col min="9710" max="9710" width="23.36328125" style="1350" customWidth="1"/>
    <col min="9711" max="9713" width="0" style="1350" hidden="1" customWidth="1"/>
    <col min="9714" max="9714" width="33" style="1350" customWidth="1"/>
    <col min="9715" max="9715" width="4.08984375" style="1350" customWidth="1"/>
    <col min="9716" max="9716" width="23.08984375" style="1350" customWidth="1"/>
    <col min="9717" max="9717" width="26.453125" style="1350" customWidth="1"/>
    <col min="9718" max="9718" width="23.6328125" style="1350" customWidth="1"/>
    <col min="9719" max="9719" width="20.453125" style="1350" customWidth="1"/>
    <col min="9720" max="9720" width="33.453125" style="1350" customWidth="1"/>
    <col min="9721" max="9721" width="23" style="1350" customWidth="1"/>
    <col min="9722" max="9962" width="11.453125" style="1350"/>
    <col min="9963" max="9963" width="3.6328125" style="1350" customWidth="1"/>
    <col min="9964" max="9964" width="4.6328125" style="1350" customWidth="1"/>
    <col min="9965" max="9965" width="133.6328125" style="1350" customWidth="1"/>
    <col min="9966" max="9966" width="23.36328125" style="1350" customWidth="1"/>
    <col min="9967" max="9969" width="0" style="1350" hidden="1" customWidth="1"/>
    <col min="9970" max="9970" width="33" style="1350" customWidth="1"/>
    <col min="9971" max="9971" width="4.08984375" style="1350" customWidth="1"/>
    <col min="9972" max="9972" width="23.08984375" style="1350" customWidth="1"/>
    <col min="9973" max="9973" width="26.453125" style="1350" customWidth="1"/>
    <col min="9974" max="9974" width="23.6328125" style="1350" customWidth="1"/>
    <col min="9975" max="9975" width="20.453125" style="1350" customWidth="1"/>
    <col min="9976" max="9976" width="33.453125" style="1350" customWidth="1"/>
    <col min="9977" max="9977" width="23" style="1350" customWidth="1"/>
    <col min="9978" max="10218" width="11.453125" style="1350"/>
    <col min="10219" max="10219" width="3.6328125" style="1350" customWidth="1"/>
    <col min="10220" max="10220" width="4.6328125" style="1350" customWidth="1"/>
    <col min="10221" max="10221" width="133.6328125" style="1350" customWidth="1"/>
    <col min="10222" max="10222" width="23.36328125" style="1350" customWidth="1"/>
    <col min="10223" max="10225" width="0" style="1350" hidden="1" customWidth="1"/>
    <col min="10226" max="10226" width="33" style="1350" customWidth="1"/>
    <col min="10227" max="10227" width="4.08984375" style="1350" customWidth="1"/>
    <col min="10228" max="10228" width="23.08984375" style="1350" customWidth="1"/>
    <col min="10229" max="10229" width="26.453125" style="1350" customWidth="1"/>
    <col min="10230" max="10230" width="23.6328125" style="1350" customWidth="1"/>
    <col min="10231" max="10231" width="20.453125" style="1350" customWidth="1"/>
    <col min="10232" max="10232" width="33.453125" style="1350" customWidth="1"/>
    <col min="10233" max="10233" width="23" style="1350" customWidth="1"/>
    <col min="10234" max="10474" width="11.453125" style="1350"/>
    <col min="10475" max="10475" width="3.6328125" style="1350" customWidth="1"/>
    <col min="10476" max="10476" width="4.6328125" style="1350" customWidth="1"/>
    <col min="10477" max="10477" width="133.6328125" style="1350" customWidth="1"/>
    <col min="10478" max="10478" width="23.36328125" style="1350" customWidth="1"/>
    <col min="10479" max="10481" width="0" style="1350" hidden="1" customWidth="1"/>
    <col min="10482" max="10482" width="33" style="1350" customWidth="1"/>
    <col min="10483" max="10483" width="4.08984375" style="1350" customWidth="1"/>
    <col min="10484" max="10484" width="23.08984375" style="1350" customWidth="1"/>
    <col min="10485" max="10485" width="26.453125" style="1350" customWidth="1"/>
    <col min="10486" max="10486" width="23.6328125" style="1350" customWidth="1"/>
    <col min="10487" max="10487" width="20.453125" style="1350" customWidth="1"/>
    <col min="10488" max="10488" width="33.453125" style="1350" customWidth="1"/>
    <col min="10489" max="10489" width="23" style="1350" customWidth="1"/>
    <col min="10490" max="10730" width="11.453125" style="1350"/>
    <col min="10731" max="10731" width="3.6328125" style="1350" customWidth="1"/>
    <col min="10732" max="10732" width="4.6328125" style="1350" customWidth="1"/>
    <col min="10733" max="10733" width="133.6328125" style="1350" customWidth="1"/>
    <col min="10734" max="10734" width="23.36328125" style="1350" customWidth="1"/>
    <col min="10735" max="10737" width="0" style="1350" hidden="1" customWidth="1"/>
    <col min="10738" max="10738" width="33" style="1350" customWidth="1"/>
    <col min="10739" max="10739" width="4.08984375" style="1350" customWidth="1"/>
    <col min="10740" max="10740" width="23.08984375" style="1350" customWidth="1"/>
    <col min="10741" max="10741" width="26.453125" style="1350" customWidth="1"/>
    <col min="10742" max="10742" width="23.6328125" style="1350" customWidth="1"/>
    <col min="10743" max="10743" width="20.453125" style="1350" customWidth="1"/>
    <col min="10744" max="10744" width="33.453125" style="1350" customWidth="1"/>
    <col min="10745" max="10745" width="23" style="1350" customWidth="1"/>
    <col min="10746" max="10986" width="11.453125" style="1350"/>
    <col min="10987" max="10987" width="3.6328125" style="1350" customWidth="1"/>
    <col min="10988" max="10988" width="4.6328125" style="1350" customWidth="1"/>
    <col min="10989" max="10989" width="133.6328125" style="1350" customWidth="1"/>
    <col min="10990" max="10990" width="23.36328125" style="1350" customWidth="1"/>
    <col min="10991" max="10993" width="0" style="1350" hidden="1" customWidth="1"/>
    <col min="10994" max="10994" width="33" style="1350" customWidth="1"/>
    <col min="10995" max="10995" width="4.08984375" style="1350" customWidth="1"/>
    <col min="10996" max="10996" width="23.08984375" style="1350" customWidth="1"/>
    <col min="10997" max="10997" width="26.453125" style="1350" customWidth="1"/>
    <col min="10998" max="10998" width="23.6328125" style="1350" customWidth="1"/>
    <col min="10999" max="10999" width="20.453125" style="1350" customWidth="1"/>
    <col min="11000" max="11000" width="33.453125" style="1350" customWidth="1"/>
    <col min="11001" max="11001" width="23" style="1350" customWidth="1"/>
    <col min="11002" max="11242" width="11.453125" style="1350"/>
    <col min="11243" max="11243" width="3.6328125" style="1350" customWidth="1"/>
    <col min="11244" max="11244" width="4.6328125" style="1350" customWidth="1"/>
    <col min="11245" max="11245" width="133.6328125" style="1350" customWidth="1"/>
    <col min="11246" max="11246" width="23.36328125" style="1350" customWidth="1"/>
    <col min="11247" max="11249" width="0" style="1350" hidden="1" customWidth="1"/>
    <col min="11250" max="11250" width="33" style="1350" customWidth="1"/>
    <col min="11251" max="11251" width="4.08984375" style="1350" customWidth="1"/>
    <col min="11252" max="11252" width="23.08984375" style="1350" customWidth="1"/>
    <col min="11253" max="11253" width="26.453125" style="1350" customWidth="1"/>
    <col min="11254" max="11254" width="23.6328125" style="1350" customWidth="1"/>
    <col min="11255" max="11255" width="20.453125" style="1350" customWidth="1"/>
    <col min="11256" max="11256" width="33.453125" style="1350" customWidth="1"/>
    <col min="11257" max="11257" width="23" style="1350" customWidth="1"/>
    <col min="11258" max="11498" width="11.453125" style="1350"/>
    <col min="11499" max="11499" width="3.6328125" style="1350" customWidth="1"/>
    <col min="11500" max="11500" width="4.6328125" style="1350" customWidth="1"/>
    <col min="11501" max="11501" width="133.6328125" style="1350" customWidth="1"/>
    <col min="11502" max="11502" width="23.36328125" style="1350" customWidth="1"/>
    <col min="11503" max="11505" width="0" style="1350" hidden="1" customWidth="1"/>
    <col min="11506" max="11506" width="33" style="1350" customWidth="1"/>
    <col min="11507" max="11507" width="4.08984375" style="1350" customWidth="1"/>
    <col min="11508" max="11508" width="23.08984375" style="1350" customWidth="1"/>
    <col min="11509" max="11509" width="26.453125" style="1350" customWidth="1"/>
    <col min="11510" max="11510" width="23.6328125" style="1350" customWidth="1"/>
    <col min="11511" max="11511" width="20.453125" style="1350" customWidth="1"/>
    <col min="11512" max="11512" width="33.453125" style="1350" customWidth="1"/>
    <col min="11513" max="11513" width="23" style="1350" customWidth="1"/>
    <col min="11514" max="11754" width="11.453125" style="1350"/>
    <col min="11755" max="11755" width="3.6328125" style="1350" customWidth="1"/>
    <col min="11756" max="11756" width="4.6328125" style="1350" customWidth="1"/>
    <col min="11757" max="11757" width="133.6328125" style="1350" customWidth="1"/>
    <col min="11758" max="11758" width="23.36328125" style="1350" customWidth="1"/>
    <col min="11759" max="11761" width="0" style="1350" hidden="1" customWidth="1"/>
    <col min="11762" max="11762" width="33" style="1350" customWidth="1"/>
    <col min="11763" max="11763" width="4.08984375" style="1350" customWidth="1"/>
    <col min="11764" max="11764" width="23.08984375" style="1350" customWidth="1"/>
    <col min="11765" max="11765" width="26.453125" style="1350" customWidth="1"/>
    <col min="11766" max="11766" width="23.6328125" style="1350" customWidth="1"/>
    <col min="11767" max="11767" width="20.453125" style="1350" customWidth="1"/>
    <col min="11768" max="11768" width="33.453125" style="1350" customWidth="1"/>
    <col min="11769" max="11769" width="23" style="1350" customWidth="1"/>
    <col min="11770" max="12010" width="11.453125" style="1350"/>
    <col min="12011" max="12011" width="3.6328125" style="1350" customWidth="1"/>
    <col min="12012" max="12012" width="4.6328125" style="1350" customWidth="1"/>
    <col min="12013" max="12013" width="133.6328125" style="1350" customWidth="1"/>
    <col min="12014" max="12014" width="23.36328125" style="1350" customWidth="1"/>
    <col min="12015" max="12017" width="0" style="1350" hidden="1" customWidth="1"/>
    <col min="12018" max="12018" width="33" style="1350" customWidth="1"/>
    <col min="12019" max="12019" width="4.08984375" style="1350" customWidth="1"/>
    <col min="12020" max="12020" width="23.08984375" style="1350" customWidth="1"/>
    <col min="12021" max="12021" width="26.453125" style="1350" customWidth="1"/>
    <col min="12022" max="12022" width="23.6328125" style="1350" customWidth="1"/>
    <col min="12023" max="12023" width="20.453125" style="1350" customWidth="1"/>
    <col min="12024" max="12024" width="33.453125" style="1350" customWidth="1"/>
    <col min="12025" max="12025" width="23" style="1350" customWidth="1"/>
    <col min="12026" max="12266" width="11.453125" style="1350"/>
    <col min="12267" max="12267" width="3.6328125" style="1350" customWidth="1"/>
    <col min="12268" max="12268" width="4.6328125" style="1350" customWidth="1"/>
    <col min="12269" max="12269" width="133.6328125" style="1350" customWidth="1"/>
    <col min="12270" max="12270" width="23.36328125" style="1350" customWidth="1"/>
    <col min="12271" max="12273" width="0" style="1350" hidden="1" customWidth="1"/>
    <col min="12274" max="12274" width="33" style="1350" customWidth="1"/>
    <col min="12275" max="12275" width="4.08984375" style="1350" customWidth="1"/>
    <col min="12276" max="12276" width="23.08984375" style="1350" customWidth="1"/>
    <col min="12277" max="12277" width="26.453125" style="1350" customWidth="1"/>
    <col min="12278" max="12278" width="23.6328125" style="1350" customWidth="1"/>
    <col min="12279" max="12279" width="20.453125" style="1350" customWidth="1"/>
    <col min="12280" max="12280" width="33.453125" style="1350" customWidth="1"/>
    <col min="12281" max="12281" width="23" style="1350" customWidth="1"/>
    <col min="12282" max="12522" width="11.453125" style="1350"/>
    <col min="12523" max="12523" width="3.6328125" style="1350" customWidth="1"/>
    <col min="12524" max="12524" width="4.6328125" style="1350" customWidth="1"/>
    <col min="12525" max="12525" width="133.6328125" style="1350" customWidth="1"/>
    <col min="12526" max="12526" width="23.36328125" style="1350" customWidth="1"/>
    <col min="12527" max="12529" width="0" style="1350" hidden="1" customWidth="1"/>
    <col min="12530" max="12530" width="33" style="1350" customWidth="1"/>
    <col min="12531" max="12531" width="4.08984375" style="1350" customWidth="1"/>
    <col min="12532" max="12532" width="23.08984375" style="1350" customWidth="1"/>
    <col min="12533" max="12533" width="26.453125" style="1350" customWidth="1"/>
    <col min="12534" max="12534" width="23.6328125" style="1350" customWidth="1"/>
    <col min="12535" max="12535" width="20.453125" style="1350" customWidth="1"/>
    <col min="12536" max="12536" width="33.453125" style="1350" customWidth="1"/>
    <col min="12537" max="12537" width="23" style="1350" customWidth="1"/>
    <col min="12538" max="12778" width="11.453125" style="1350"/>
    <col min="12779" max="12779" width="3.6328125" style="1350" customWidth="1"/>
    <col min="12780" max="12780" width="4.6328125" style="1350" customWidth="1"/>
    <col min="12781" max="12781" width="133.6328125" style="1350" customWidth="1"/>
    <col min="12782" max="12782" width="23.36328125" style="1350" customWidth="1"/>
    <col min="12783" max="12785" width="0" style="1350" hidden="1" customWidth="1"/>
    <col min="12786" max="12786" width="33" style="1350" customWidth="1"/>
    <col min="12787" max="12787" width="4.08984375" style="1350" customWidth="1"/>
    <col min="12788" max="12788" width="23.08984375" style="1350" customWidth="1"/>
    <col min="12789" max="12789" width="26.453125" style="1350" customWidth="1"/>
    <col min="12790" max="12790" width="23.6328125" style="1350" customWidth="1"/>
    <col min="12791" max="12791" width="20.453125" style="1350" customWidth="1"/>
    <col min="12792" max="12792" width="33.453125" style="1350" customWidth="1"/>
    <col min="12793" max="12793" width="23" style="1350" customWidth="1"/>
    <col min="12794" max="13034" width="11.453125" style="1350"/>
    <col min="13035" max="13035" width="3.6328125" style="1350" customWidth="1"/>
    <col min="13036" max="13036" width="4.6328125" style="1350" customWidth="1"/>
    <col min="13037" max="13037" width="133.6328125" style="1350" customWidth="1"/>
    <col min="13038" max="13038" width="23.36328125" style="1350" customWidth="1"/>
    <col min="13039" max="13041" width="0" style="1350" hidden="1" customWidth="1"/>
    <col min="13042" max="13042" width="33" style="1350" customWidth="1"/>
    <col min="13043" max="13043" width="4.08984375" style="1350" customWidth="1"/>
    <col min="13044" max="13044" width="23.08984375" style="1350" customWidth="1"/>
    <col min="13045" max="13045" width="26.453125" style="1350" customWidth="1"/>
    <col min="13046" max="13046" width="23.6328125" style="1350" customWidth="1"/>
    <col min="13047" max="13047" width="20.453125" style="1350" customWidth="1"/>
    <col min="13048" max="13048" width="33.453125" style="1350" customWidth="1"/>
    <col min="13049" max="13049" width="23" style="1350" customWidth="1"/>
    <col min="13050" max="13290" width="11.453125" style="1350"/>
    <col min="13291" max="13291" width="3.6328125" style="1350" customWidth="1"/>
    <col min="13292" max="13292" width="4.6328125" style="1350" customWidth="1"/>
    <col min="13293" max="13293" width="133.6328125" style="1350" customWidth="1"/>
    <col min="13294" max="13294" width="23.36328125" style="1350" customWidth="1"/>
    <col min="13295" max="13297" width="0" style="1350" hidden="1" customWidth="1"/>
    <col min="13298" max="13298" width="33" style="1350" customWidth="1"/>
    <col min="13299" max="13299" width="4.08984375" style="1350" customWidth="1"/>
    <col min="13300" max="13300" width="23.08984375" style="1350" customWidth="1"/>
    <col min="13301" max="13301" width="26.453125" style="1350" customWidth="1"/>
    <col min="13302" max="13302" width="23.6328125" style="1350" customWidth="1"/>
    <col min="13303" max="13303" width="20.453125" style="1350" customWidth="1"/>
    <col min="13304" max="13304" width="33.453125" style="1350" customWidth="1"/>
    <col min="13305" max="13305" width="23" style="1350" customWidth="1"/>
    <col min="13306" max="13546" width="11.453125" style="1350"/>
    <col min="13547" max="13547" width="3.6328125" style="1350" customWidth="1"/>
    <col min="13548" max="13548" width="4.6328125" style="1350" customWidth="1"/>
    <col min="13549" max="13549" width="133.6328125" style="1350" customWidth="1"/>
    <col min="13550" max="13550" width="23.36328125" style="1350" customWidth="1"/>
    <col min="13551" max="13553" width="0" style="1350" hidden="1" customWidth="1"/>
    <col min="13554" max="13554" width="33" style="1350" customWidth="1"/>
    <col min="13555" max="13555" width="4.08984375" style="1350" customWidth="1"/>
    <col min="13556" max="13556" width="23.08984375" style="1350" customWidth="1"/>
    <col min="13557" max="13557" width="26.453125" style="1350" customWidth="1"/>
    <col min="13558" max="13558" width="23.6328125" style="1350" customWidth="1"/>
    <col min="13559" max="13559" width="20.453125" style="1350" customWidth="1"/>
    <col min="13560" max="13560" width="33.453125" style="1350" customWidth="1"/>
    <col min="13561" max="13561" width="23" style="1350" customWidth="1"/>
    <col min="13562" max="13802" width="11.453125" style="1350"/>
    <col min="13803" max="13803" width="3.6328125" style="1350" customWidth="1"/>
    <col min="13804" max="13804" width="4.6328125" style="1350" customWidth="1"/>
    <col min="13805" max="13805" width="133.6328125" style="1350" customWidth="1"/>
    <col min="13806" max="13806" width="23.36328125" style="1350" customWidth="1"/>
    <col min="13807" max="13809" width="0" style="1350" hidden="1" customWidth="1"/>
    <col min="13810" max="13810" width="33" style="1350" customWidth="1"/>
    <col min="13811" max="13811" width="4.08984375" style="1350" customWidth="1"/>
    <col min="13812" max="13812" width="23.08984375" style="1350" customWidth="1"/>
    <col min="13813" max="13813" width="26.453125" style="1350" customWidth="1"/>
    <col min="13814" max="13814" width="23.6328125" style="1350" customWidth="1"/>
    <col min="13815" max="13815" width="20.453125" style="1350" customWidth="1"/>
    <col min="13816" max="13816" width="33.453125" style="1350" customWidth="1"/>
    <col min="13817" max="13817" width="23" style="1350" customWidth="1"/>
    <col min="13818" max="14058" width="11.453125" style="1350"/>
    <col min="14059" max="14059" width="3.6328125" style="1350" customWidth="1"/>
    <col min="14060" max="14060" width="4.6328125" style="1350" customWidth="1"/>
    <col min="14061" max="14061" width="133.6328125" style="1350" customWidth="1"/>
    <col min="14062" max="14062" width="23.36328125" style="1350" customWidth="1"/>
    <col min="14063" max="14065" width="0" style="1350" hidden="1" customWidth="1"/>
    <col min="14066" max="14066" width="33" style="1350" customWidth="1"/>
    <col min="14067" max="14067" width="4.08984375" style="1350" customWidth="1"/>
    <col min="14068" max="14068" width="23.08984375" style="1350" customWidth="1"/>
    <col min="14069" max="14069" width="26.453125" style="1350" customWidth="1"/>
    <col min="14070" max="14070" width="23.6328125" style="1350" customWidth="1"/>
    <col min="14071" max="14071" width="20.453125" style="1350" customWidth="1"/>
    <col min="14072" max="14072" width="33.453125" style="1350" customWidth="1"/>
    <col min="14073" max="14073" width="23" style="1350" customWidth="1"/>
    <col min="14074" max="14314" width="11.453125" style="1350"/>
    <col min="14315" max="14315" width="3.6328125" style="1350" customWidth="1"/>
    <col min="14316" max="14316" width="4.6328125" style="1350" customWidth="1"/>
    <col min="14317" max="14317" width="133.6328125" style="1350" customWidth="1"/>
    <col min="14318" max="14318" width="23.36328125" style="1350" customWidth="1"/>
    <col min="14319" max="14321" width="0" style="1350" hidden="1" customWidth="1"/>
    <col min="14322" max="14322" width="33" style="1350" customWidth="1"/>
    <col min="14323" max="14323" width="4.08984375" style="1350" customWidth="1"/>
    <col min="14324" max="14324" width="23.08984375" style="1350" customWidth="1"/>
    <col min="14325" max="14325" width="26.453125" style="1350" customWidth="1"/>
    <col min="14326" max="14326" width="23.6328125" style="1350" customWidth="1"/>
    <col min="14327" max="14327" width="20.453125" style="1350" customWidth="1"/>
    <col min="14328" max="14328" width="33.453125" style="1350" customWidth="1"/>
    <col min="14329" max="14329" width="23" style="1350" customWidth="1"/>
    <col min="14330" max="14570" width="11.453125" style="1350"/>
    <col min="14571" max="14571" width="3.6328125" style="1350" customWidth="1"/>
    <col min="14572" max="14572" width="4.6328125" style="1350" customWidth="1"/>
    <col min="14573" max="14573" width="133.6328125" style="1350" customWidth="1"/>
    <col min="14574" max="14574" width="23.36328125" style="1350" customWidth="1"/>
    <col min="14575" max="14577" width="0" style="1350" hidden="1" customWidth="1"/>
    <col min="14578" max="14578" width="33" style="1350" customWidth="1"/>
    <col min="14579" max="14579" width="4.08984375" style="1350" customWidth="1"/>
    <col min="14580" max="14580" width="23.08984375" style="1350" customWidth="1"/>
    <col min="14581" max="14581" width="26.453125" style="1350" customWidth="1"/>
    <col min="14582" max="14582" width="23.6328125" style="1350" customWidth="1"/>
    <col min="14583" max="14583" width="20.453125" style="1350" customWidth="1"/>
    <col min="14584" max="14584" width="33.453125" style="1350" customWidth="1"/>
    <col min="14585" max="14585" width="23" style="1350" customWidth="1"/>
    <col min="14586" max="14826" width="11.453125" style="1350"/>
    <col min="14827" max="14827" width="3.6328125" style="1350" customWidth="1"/>
    <col min="14828" max="14828" width="4.6328125" style="1350" customWidth="1"/>
    <col min="14829" max="14829" width="133.6328125" style="1350" customWidth="1"/>
    <col min="14830" max="14830" width="23.36328125" style="1350" customWidth="1"/>
    <col min="14831" max="14833" width="0" style="1350" hidden="1" customWidth="1"/>
    <col min="14834" max="14834" width="33" style="1350" customWidth="1"/>
    <col min="14835" max="14835" width="4.08984375" style="1350" customWidth="1"/>
    <col min="14836" max="14836" width="23.08984375" style="1350" customWidth="1"/>
    <col min="14837" max="14837" width="26.453125" style="1350" customWidth="1"/>
    <col min="14838" max="14838" width="23.6328125" style="1350" customWidth="1"/>
    <col min="14839" max="14839" width="20.453125" style="1350" customWidth="1"/>
    <col min="14840" max="14840" width="33.453125" style="1350" customWidth="1"/>
    <col min="14841" max="14841" width="23" style="1350" customWidth="1"/>
    <col min="14842" max="15082" width="11.453125" style="1350"/>
    <col min="15083" max="15083" width="3.6328125" style="1350" customWidth="1"/>
    <col min="15084" max="15084" width="4.6328125" style="1350" customWidth="1"/>
    <col min="15085" max="15085" width="133.6328125" style="1350" customWidth="1"/>
    <col min="15086" max="15086" width="23.36328125" style="1350" customWidth="1"/>
    <col min="15087" max="15089" width="0" style="1350" hidden="1" customWidth="1"/>
    <col min="15090" max="15090" width="33" style="1350" customWidth="1"/>
    <col min="15091" max="15091" width="4.08984375" style="1350" customWidth="1"/>
    <col min="15092" max="15092" width="23.08984375" style="1350" customWidth="1"/>
    <col min="15093" max="15093" width="26.453125" style="1350" customWidth="1"/>
    <col min="15094" max="15094" width="23.6328125" style="1350" customWidth="1"/>
    <col min="15095" max="15095" width="20.453125" style="1350" customWidth="1"/>
    <col min="15096" max="15096" width="33.453125" style="1350" customWidth="1"/>
    <col min="15097" max="15097" width="23" style="1350" customWidth="1"/>
    <col min="15098" max="15338" width="11.453125" style="1350"/>
    <col min="15339" max="15339" width="3.6328125" style="1350" customWidth="1"/>
    <col min="15340" max="15340" width="4.6328125" style="1350" customWidth="1"/>
    <col min="15341" max="15341" width="133.6328125" style="1350" customWidth="1"/>
    <col min="15342" max="15342" width="23.36328125" style="1350" customWidth="1"/>
    <col min="15343" max="15345" width="0" style="1350" hidden="1" customWidth="1"/>
    <col min="15346" max="15346" width="33" style="1350" customWidth="1"/>
    <col min="15347" max="15347" width="4.08984375" style="1350" customWidth="1"/>
    <col min="15348" max="15348" width="23.08984375" style="1350" customWidth="1"/>
    <col min="15349" max="15349" width="26.453125" style="1350" customWidth="1"/>
    <col min="15350" max="15350" width="23.6328125" style="1350" customWidth="1"/>
    <col min="15351" max="15351" width="20.453125" style="1350" customWidth="1"/>
    <col min="15352" max="15352" width="33.453125" style="1350" customWidth="1"/>
    <col min="15353" max="15353" width="23" style="1350" customWidth="1"/>
    <col min="15354" max="15594" width="11.453125" style="1350"/>
    <col min="15595" max="15595" width="3.6328125" style="1350" customWidth="1"/>
    <col min="15596" max="15596" width="4.6328125" style="1350" customWidth="1"/>
    <col min="15597" max="15597" width="133.6328125" style="1350" customWidth="1"/>
    <col min="15598" max="15598" width="23.36328125" style="1350" customWidth="1"/>
    <col min="15599" max="15601" width="0" style="1350" hidden="1" customWidth="1"/>
    <col min="15602" max="15602" width="33" style="1350" customWidth="1"/>
    <col min="15603" max="15603" width="4.08984375" style="1350" customWidth="1"/>
    <col min="15604" max="15604" width="23.08984375" style="1350" customWidth="1"/>
    <col min="15605" max="15605" width="26.453125" style="1350" customWidth="1"/>
    <col min="15606" max="15606" width="23.6328125" style="1350" customWidth="1"/>
    <col min="15607" max="15607" width="20.453125" style="1350" customWidth="1"/>
    <col min="15608" max="15608" width="33.453125" style="1350" customWidth="1"/>
    <col min="15609" max="15609" width="23" style="1350" customWidth="1"/>
    <col min="15610" max="15850" width="11.453125" style="1350"/>
    <col min="15851" max="15851" width="3.6328125" style="1350" customWidth="1"/>
    <col min="15852" max="15852" width="4.6328125" style="1350" customWidth="1"/>
    <col min="15853" max="15853" width="133.6328125" style="1350" customWidth="1"/>
    <col min="15854" max="15854" width="23.36328125" style="1350" customWidth="1"/>
    <col min="15855" max="15857" width="0" style="1350" hidden="1" customWidth="1"/>
    <col min="15858" max="15858" width="33" style="1350" customWidth="1"/>
    <col min="15859" max="15859" width="4.08984375" style="1350" customWidth="1"/>
    <col min="15860" max="15860" width="23.08984375" style="1350" customWidth="1"/>
    <col min="15861" max="15861" width="26.453125" style="1350" customWidth="1"/>
    <col min="15862" max="15862" width="23.6328125" style="1350" customWidth="1"/>
    <col min="15863" max="15863" width="20.453125" style="1350" customWidth="1"/>
    <col min="15864" max="15864" width="33.453125" style="1350" customWidth="1"/>
    <col min="15865" max="15865" width="23" style="1350" customWidth="1"/>
    <col min="15866" max="16106" width="11.453125" style="1350"/>
    <col min="16107" max="16107" width="3.6328125" style="1350" customWidth="1"/>
    <col min="16108" max="16108" width="4.6328125" style="1350" customWidth="1"/>
    <col min="16109" max="16109" width="133.6328125" style="1350" customWidth="1"/>
    <col min="16110" max="16110" width="23.36328125" style="1350" customWidth="1"/>
    <col min="16111" max="16113" width="0" style="1350" hidden="1" customWidth="1"/>
    <col min="16114" max="16114" width="33" style="1350" customWidth="1"/>
    <col min="16115" max="16115" width="4.08984375" style="1350" customWidth="1"/>
    <col min="16116" max="16116" width="23.08984375" style="1350" customWidth="1"/>
    <col min="16117" max="16117" width="26.453125" style="1350" customWidth="1"/>
    <col min="16118" max="16118" width="23.6328125" style="1350" customWidth="1"/>
    <col min="16119" max="16119" width="20.453125" style="1350" customWidth="1"/>
    <col min="16120" max="16120" width="33.453125" style="1350" customWidth="1"/>
    <col min="16121" max="16121" width="23" style="1350" customWidth="1"/>
    <col min="16122" max="16384" width="11.453125" style="1350"/>
  </cols>
  <sheetData>
    <row r="1" spans="1:5" s="527" customFormat="1" ht="15.5">
      <c r="A1" s="1034"/>
      <c r="B1" s="1036" t="s">
        <v>815</v>
      </c>
      <c r="D1" s="1037"/>
      <c r="E1" s="1035"/>
    </row>
    <row r="2" spans="1:5" s="527" customFormat="1" ht="9" customHeight="1" thickBot="1">
      <c r="A2" s="1034"/>
      <c r="B2" s="1035"/>
      <c r="D2" s="1037"/>
      <c r="E2" s="1035"/>
    </row>
    <row r="3" spans="1:5" s="1351" customFormat="1" ht="15.75" customHeight="1">
      <c r="B3" s="1901" t="str">
        <f>+PRESUPUESTO!A2</f>
        <v>OBJETO: MEJORAMIENTO Y ADECUACIÓN DE LAS VIAS URBANAS DEL MUNICIPIO DE SANTA FE DE ANTIOQUIA</v>
      </c>
      <c r="C3" s="1902"/>
      <c r="D3" s="1902"/>
      <c r="E3" s="1903"/>
    </row>
    <row r="4" spans="1:5" s="1351" customFormat="1" ht="15.5">
      <c r="B4" s="1904"/>
      <c r="C4" s="1905"/>
      <c r="D4" s="1905"/>
      <c r="E4" s="1906"/>
    </row>
    <row r="5" spans="1:5" s="1351" customFormat="1" ht="28.25" customHeight="1">
      <c r="B5" s="2035" t="s">
        <v>816</v>
      </c>
      <c r="C5" s="2036"/>
      <c r="D5" s="2036"/>
      <c r="E5" s="2037"/>
    </row>
    <row r="6" spans="1:5" s="1351" customFormat="1" ht="15.75" customHeight="1">
      <c r="B6" s="2044"/>
      <c r="C6" s="2045"/>
      <c r="D6" s="2045"/>
      <c r="E6" s="2046"/>
    </row>
    <row r="7" spans="1:5" s="1351" customFormat="1" ht="15.5">
      <c r="B7" s="2047" t="s">
        <v>817</v>
      </c>
      <c r="C7" s="2048"/>
      <c r="D7" s="2048"/>
      <c r="E7" s="2049"/>
    </row>
    <row r="8" spans="1:5" s="1351" customFormat="1" ht="24.75" customHeight="1">
      <c r="B8" s="2050" t="s">
        <v>227</v>
      </c>
      <c r="C8" s="1352" t="s">
        <v>818</v>
      </c>
      <c r="D8" s="2051" t="s">
        <v>819</v>
      </c>
      <c r="E8" s="2052" t="s">
        <v>820</v>
      </c>
    </row>
    <row r="9" spans="1:5" s="1351" customFormat="1" ht="24.75" customHeight="1">
      <c r="B9" s="2050"/>
      <c r="C9" s="1353" t="s">
        <v>821</v>
      </c>
      <c r="D9" s="2051"/>
      <c r="E9" s="2052"/>
    </row>
    <row r="10" spans="1:5" s="1351" customFormat="1" ht="15.5">
      <c r="B10" s="1354" t="s">
        <v>659</v>
      </c>
      <c r="C10" s="1355" t="s">
        <v>822</v>
      </c>
      <c r="D10" s="1356">
        <f>E10/$E$15</f>
        <v>0.24264705882352941</v>
      </c>
      <c r="E10" s="1335">
        <f>0.5*3300000</f>
        <v>1650000</v>
      </c>
    </row>
    <row r="11" spans="1:5" s="1351" customFormat="1" ht="31">
      <c r="B11" s="1354" t="s">
        <v>823</v>
      </c>
      <c r="C11" s="1355" t="s">
        <v>824</v>
      </c>
      <c r="D11" s="1356">
        <f>E11/$E$15</f>
        <v>0.15441176470588236</v>
      </c>
      <c r="E11" s="1335">
        <f>0.5*2100000</f>
        <v>1050000</v>
      </c>
    </row>
    <row r="12" spans="1:5" s="1351" customFormat="1" ht="31">
      <c r="B12" s="1354" t="s">
        <v>825</v>
      </c>
      <c r="C12" s="1355" t="s">
        <v>826</v>
      </c>
      <c r="D12" s="1356">
        <f>E12/$E$15</f>
        <v>0.1875</v>
      </c>
      <c r="E12" s="1335">
        <f>0.5*2550000</f>
        <v>1275000</v>
      </c>
    </row>
    <row r="13" spans="1:5" s="1351" customFormat="1" ht="31">
      <c r="B13" s="1354" t="s">
        <v>827</v>
      </c>
      <c r="C13" s="1355" t="s">
        <v>828</v>
      </c>
      <c r="D13" s="1356">
        <f>E13/$E$15</f>
        <v>0.2610294117647059</v>
      </c>
      <c r="E13" s="1335">
        <f>0.5*3550000</f>
        <v>1775000</v>
      </c>
    </row>
    <row r="14" spans="1:5" s="1351" customFormat="1" ht="31">
      <c r="B14" s="1354" t="s">
        <v>829</v>
      </c>
      <c r="C14" s="1355" t="s">
        <v>830</v>
      </c>
      <c r="D14" s="1356">
        <f>E14/$E$15</f>
        <v>0.15441176470588236</v>
      </c>
      <c r="E14" s="1335">
        <f>0.5*2100000</f>
        <v>1050000</v>
      </c>
    </row>
    <row r="15" spans="1:5" s="1351" customFormat="1" ht="31.5" customHeight="1">
      <c r="B15" s="1363"/>
      <c r="C15" s="1358" t="s">
        <v>831</v>
      </c>
      <c r="D15" s="1357"/>
      <c r="E15" s="1364">
        <f>ROUND(SUM(E10:E14),0)</f>
        <v>6800000</v>
      </c>
    </row>
    <row r="16" spans="1:5" s="1351" customFormat="1" ht="26.25" customHeight="1">
      <c r="B16" s="1365"/>
      <c r="C16" s="1359"/>
      <c r="D16" s="1360"/>
      <c r="E16" s="1366"/>
    </row>
    <row r="17" spans="2:5" s="1351" customFormat="1" ht="27.75" customHeight="1">
      <c r="B17" s="1367"/>
      <c r="C17" s="1359"/>
      <c r="D17" s="1360"/>
      <c r="E17" s="1366"/>
    </row>
    <row r="18" spans="2:5" s="1351" customFormat="1" ht="15.5">
      <c r="B18" s="1368"/>
      <c r="C18" s="1369"/>
      <c r="D18" s="1370"/>
      <c r="E18" s="1371"/>
    </row>
    <row r="19" spans="2:5" s="1351" customFormat="1" ht="15.5">
      <c r="B19" s="1372" t="s">
        <v>294</v>
      </c>
      <c r="C19" s="1373"/>
      <c r="D19" s="1373"/>
      <c r="E19" s="1374"/>
    </row>
    <row r="20" spans="2:5" s="1351" customFormat="1" ht="44.25" customHeight="1">
      <c r="B20" s="2038" t="s">
        <v>832</v>
      </c>
      <c r="C20" s="2039"/>
      <c r="D20" s="2039"/>
      <c r="E20" s="2040"/>
    </row>
    <row r="21" spans="2:5" s="1351" customFormat="1" ht="49.5" customHeight="1" thickBot="1">
      <c r="B21" s="2041" t="s">
        <v>833</v>
      </c>
      <c r="C21" s="2042"/>
      <c r="D21" s="2042"/>
      <c r="E21" s="2043"/>
    </row>
  </sheetData>
  <protectedRanges>
    <protectedRange sqref="E20:E21" name="Rango1_1_1_1_1_1_3_1"/>
  </protectedRanges>
  <mergeCells count="9">
    <mergeCell ref="B5:E5"/>
    <mergeCell ref="B3:E4"/>
    <mergeCell ref="B20:E20"/>
    <mergeCell ref="B21:E21"/>
    <mergeCell ref="B6:E6"/>
    <mergeCell ref="B7:E7"/>
    <mergeCell ref="B8:B9"/>
    <mergeCell ref="D8:D9"/>
    <mergeCell ref="E8:E9"/>
  </mergeCells>
  <conditionalFormatting sqref="B5">
    <cfRule type="containsBlanks" dxfId="26" priority="2">
      <formula>LEN(TRIM(B5))=0</formula>
    </cfRule>
  </conditionalFormatting>
  <conditionalFormatting sqref="B20:B21">
    <cfRule type="containsBlanks" dxfId="25" priority="1">
      <formula>LEN(TRIM(B20))=0</formula>
    </cfRule>
  </conditionalFormatting>
  <pageMargins left="0.7" right="0.7" top="0.75" bottom="0.75" header="0.3" footer="0.3"/>
  <drawing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68C8E5-D9B3-48C3-A38F-5803E19D5EE2}">
  <sheetPr>
    <tabColor theme="7" tint="0.79998168889431442"/>
  </sheetPr>
  <dimension ref="A1:I52"/>
  <sheetViews>
    <sheetView topLeftCell="A47" zoomScale="80" zoomScaleNormal="80" workbookViewId="0">
      <selection activeCell="B7" sqref="B7"/>
    </sheetView>
  </sheetViews>
  <sheetFormatPr baseColWidth="10" defaultColWidth="11.453125" defaultRowHeight="14.5"/>
  <cols>
    <col min="1" max="1" width="64" style="587" customWidth="1"/>
    <col min="2" max="2" width="14.36328125" style="587" customWidth="1"/>
    <col min="3" max="3" width="19" style="587" bestFit="1" customWidth="1"/>
    <col min="4" max="4" width="16.453125" style="587" customWidth="1"/>
    <col min="5" max="6" width="29.08984375" style="587" customWidth="1"/>
    <col min="7" max="7" width="14.453125" style="587" customWidth="1"/>
    <col min="8" max="8" width="45" style="587" customWidth="1"/>
    <col min="9" max="16384" width="11.453125" style="587"/>
  </cols>
  <sheetData>
    <row r="1" spans="1:9" ht="15" thickBot="1"/>
    <row r="2" spans="1:9" ht="15" customHeight="1">
      <c r="A2" s="1901" t="str">
        <f>+PRESUPUESTO!A2</f>
        <v>OBJETO: MEJORAMIENTO Y ADECUACIÓN DE LAS VIAS URBANAS DEL MUNICIPIO DE SANTA FE DE ANTIOQUIA</v>
      </c>
      <c r="B2" s="1902"/>
      <c r="C2" s="1902"/>
      <c r="D2" s="1902"/>
      <c r="E2" s="1902"/>
      <c r="F2" s="1902"/>
      <c r="G2" s="1902"/>
      <c r="H2" s="1903"/>
    </row>
    <row r="3" spans="1:9">
      <c r="A3" s="1975"/>
      <c r="B3" s="1976"/>
      <c r="C3" s="1976"/>
      <c r="D3" s="1976"/>
      <c r="E3" s="1976"/>
      <c r="F3" s="1976"/>
      <c r="G3" s="1976"/>
      <c r="H3" s="1977"/>
    </row>
    <row r="4" spans="1:9">
      <c r="A4" s="1886" t="s">
        <v>256</v>
      </c>
      <c r="B4" s="1887"/>
      <c r="C4" s="1887"/>
      <c r="D4" s="1887"/>
      <c r="E4" s="1887"/>
      <c r="F4" s="1887"/>
      <c r="G4" s="1887"/>
      <c r="H4" s="1888"/>
    </row>
    <row r="5" spans="1:9">
      <c r="A5" s="611"/>
      <c r="H5" s="612"/>
    </row>
    <row r="6" spans="1:9">
      <c r="A6" s="613" t="s">
        <v>767</v>
      </c>
      <c r="B6" s="614">
        <v>5</v>
      </c>
      <c r="C6" s="587" t="s">
        <v>768</v>
      </c>
      <c r="F6" s="615"/>
      <c r="H6" s="612"/>
    </row>
    <row r="7" spans="1:9">
      <c r="A7" s="613" t="s">
        <v>769</v>
      </c>
      <c r="B7" s="590">
        <f>ROUND(B6*95/19,0)</f>
        <v>25</v>
      </c>
      <c r="C7" s="587" t="s">
        <v>768</v>
      </c>
      <c r="H7" s="612"/>
    </row>
    <row r="8" spans="1:9" ht="14.5" customHeight="1">
      <c r="A8" s="613" t="s">
        <v>770</v>
      </c>
      <c r="B8" s="591"/>
      <c r="C8" s="587" t="s">
        <v>771</v>
      </c>
      <c r="H8" s="2053" t="s">
        <v>772</v>
      </c>
    </row>
    <row r="9" spans="1:9">
      <c r="A9" s="613" t="s">
        <v>773</v>
      </c>
      <c r="B9" s="591">
        <v>45</v>
      </c>
      <c r="C9" s="587" t="s">
        <v>774</v>
      </c>
      <c r="H9" s="2053"/>
    </row>
    <row r="10" spans="1:9">
      <c r="A10" s="611"/>
      <c r="H10" s="2053"/>
    </row>
    <row r="11" spans="1:9" ht="29">
      <c r="A11" s="125" t="s">
        <v>775</v>
      </c>
      <c r="B11" s="125" t="s">
        <v>319</v>
      </c>
      <c r="C11" s="125" t="s">
        <v>776</v>
      </c>
      <c r="D11" s="628" t="s">
        <v>321</v>
      </c>
      <c r="E11" s="125" t="s">
        <v>323</v>
      </c>
      <c r="H11" s="2053"/>
    </row>
    <row r="12" spans="1:9" ht="30" customHeight="1">
      <c r="A12" s="616" t="s">
        <v>748</v>
      </c>
      <c r="B12" s="596" t="s">
        <v>642</v>
      </c>
      <c r="C12" s="597">
        <f t="shared" ref="C12:C17" si="0">+$B$7</f>
        <v>25</v>
      </c>
      <c r="D12" s="598">
        <v>79373</v>
      </c>
      <c r="E12" s="599">
        <f>+C12*D12</f>
        <v>1984325</v>
      </c>
      <c r="F12" s="2054" t="s">
        <v>777</v>
      </c>
      <c r="G12" s="2055"/>
      <c r="H12" s="2053"/>
      <c r="I12" s="600"/>
    </row>
    <row r="13" spans="1:9" ht="30" customHeight="1">
      <c r="A13" s="616" t="s">
        <v>778</v>
      </c>
      <c r="B13" s="596" t="s">
        <v>642</v>
      </c>
      <c r="C13" s="597">
        <f t="shared" si="0"/>
        <v>25</v>
      </c>
      <c r="D13" s="601">
        <v>82503</v>
      </c>
      <c r="E13" s="599">
        <f t="shared" ref="E13:E48" si="1">+C13*D13</f>
        <v>2062575</v>
      </c>
      <c r="F13" s="2054"/>
      <c r="G13" s="2055"/>
      <c r="H13" s="2053"/>
      <c r="I13" s="600"/>
    </row>
    <row r="14" spans="1:9" ht="47.5" customHeight="1">
      <c r="A14" s="616" t="s">
        <v>779</v>
      </c>
      <c r="B14" s="596" t="s">
        <v>319</v>
      </c>
      <c r="C14" s="597">
        <f t="shared" si="0"/>
        <v>25</v>
      </c>
      <c r="D14" s="601">
        <v>68901</v>
      </c>
      <c r="E14" s="599">
        <f t="shared" si="1"/>
        <v>1722525</v>
      </c>
      <c r="F14" s="2054"/>
      <c r="G14" s="2055"/>
      <c r="H14" s="2053"/>
      <c r="I14" s="600"/>
    </row>
    <row r="15" spans="1:9" ht="47.5" customHeight="1">
      <c r="A15" s="616" t="s">
        <v>751</v>
      </c>
      <c r="B15" s="596" t="s">
        <v>642</v>
      </c>
      <c r="C15" s="597">
        <f t="shared" si="0"/>
        <v>25</v>
      </c>
      <c r="D15" s="601">
        <v>88354</v>
      </c>
      <c r="E15" s="599">
        <f t="shared" si="1"/>
        <v>2208850</v>
      </c>
      <c r="F15" s="2054"/>
      <c r="G15" s="2055"/>
      <c r="H15" s="2053"/>
      <c r="I15" s="600"/>
    </row>
    <row r="16" spans="1:9" ht="47.5" customHeight="1">
      <c r="A16" s="616" t="s">
        <v>780</v>
      </c>
      <c r="B16" s="596" t="s">
        <v>642</v>
      </c>
      <c r="C16" s="597">
        <f t="shared" si="0"/>
        <v>25</v>
      </c>
      <c r="D16" s="601">
        <v>89964</v>
      </c>
      <c r="E16" s="599">
        <f t="shared" si="1"/>
        <v>2249100</v>
      </c>
      <c r="F16" s="2054"/>
      <c r="G16" s="2055"/>
      <c r="H16" s="2053"/>
      <c r="I16" s="600"/>
    </row>
    <row r="17" spans="1:9" ht="47.5" customHeight="1">
      <c r="A17" s="616" t="s">
        <v>750</v>
      </c>
      <c r="B17" s="596" t="s">
        <v>642</v>
      </c>
      <c r="C17" s="597">
        <f t="shared" si="0"/>
        <v>25</v>
      </c>
      <c r="D17" s="601">
        <v>161762</v>
      </c>
      <c r="E17" s="599">
        <f t="shared" si="1"/>
        <v>4044050</v>
      </c>
      <c r="F17" s="2054"/>
      <c r="G17" s="2055"/>
      <c r="H17" s="2053"/>
      <c r="I17" s="600"/>
    </row>
    <row r="18" spans="1:9" ht="46.5">
      <c r="A18" s="616" t="s">
        <v>781</v>
      </c>
      <c r="B18" s="596" t="s">
        <v>642</v>
      </c>
      <c r="C18" s="597"/>
      <c r="D18" s="601">
        <v>105202</v>
      </c>
      <c r="E18" s="599">
        <f t="shared" si="1"/>
        <v>0</v>
      </c>
      <c r="F18" s="2054"/>
      <c r="G18" s="2055"/>
      <c r="H18" s="2053"/>
      <c r="I18" s="600"/>
    </row>
    <row r="19" spans="1:9" ht="46.5">
      <c r="A19" s="616" t="s">
        <v>782</v>
      </c>
      <c r="B19" s="596" t="s">
        <v>642</v>
      </c>
      <c r="C19" s="597">
        <f>+$B$7</f>
        <v>25</v>
      </c>
      <c r="D19" s="601">
        <v>190042</v>
      </c>
      <c r="E19" s="599">
        <f t="shared" si="1"/>
        <v>4751050</v>
      </c>
      <c r="F19" s="2054"/>
      <c r="G19" s="2055"/>
      <c r="H19" s="2053"/>
      <c r="I19" s="600"/>
    </row>
    <row r="20" spans="1:9" ht="46.5">
      <c r="A20" s="616" t="s">
        <v>783</v>
      </c>
      <c r="B20" s="596" t="s">
        <v>642</v>
      </c>
      <c r="C20" s="597"/>
      <c r="D20" s="601">
        <v>118776</v>
      </c>
      <c r="E20" s="599">
        <f t="shared" si="1"/>
        <v>0</v>
      </c>
      <c r="F20" s="2054"/>
      <c r="G20" s="2055"/>
      <c r="H20" s="612"/>
      <c r="I20" s="600"/>
    </row>
    <row r="21" spans="1:9" ht="48" customHeight="1">
      <c r="A21" s="616" t="s">
        <v>784</v>
      </c>
      <c r="B21" s="596" t="s">
        <v>642</v>
      </c>
      <c r="C21" s="597">
        <f>+$B$7</f>
        <v>25</v>
      </c>
      <c r="D21" s="601">
        <v>121797</v>
      </c>
      <c r="E21" s="599">
        <f t="shared" si="1"/>
        <v>3044925</v>
      </c>
      <c r="F21" s="2054"/>
      <c r="G21" s="2055"/>
      <c r="H21" s="612"/>
      <c r="I21" s="600"/>
    </row>
    <row r="22" spans="1:9" ht="81.75" customHeight="1">
      <c r="A22" s="616" t="s">
        <v>752</v>
      </c>
      <c r="B22" s="596" t="s">
        <v>642</v>
      </c>
      <c r="C22" s="597">
        <f>+$B$7*0</f>
        <v>0</v>
      </c>
      <c r="D22" s="601">
        <v>196350</v>
      </c>
      <c r="E22" s="599">
        <f t="shared" si="1"/>
        <v>0</v>
      </c>
      <c r="F22" s="2054"/>
      <c r="G22" s="2055"/>
      <c r="H22" s="612"/>
      <c r="I22" s="600"/>
    </row>
    <row r="23" spans="1:9" ht="31.5" customHeight="1">
      <c r="A23" s="616" t="s">
        <v>257</v>
      </c>
      <c r="B23" s="602" t="s">
        <v>642</v>
      </c>
      <c r="C23" s="603">
        <f>+B6*1000/50</f>
        <v>100</v>
      </c>
      <c r="D23" s="604">
        <v>90000</v>
      </c>
      <c r="E23" s="599">
        <f t="shared" si="1"/>
        <v>9000000</v>
      </c>
      <c r="F23" s="2054"/>
      <c r="G23" s="2055"/>
      <c r="H23" s="617" t="s">
        <v>785</v>
      </c>
      <c r="I23" s="600"/>
    </row>
    <row r="24" spans="1:9" ht="31">
      <c r="A24" s="616" t="s">
        <v>259</v>
      </c>
      <c r="B24" s="602" t="s">
        <v>642</v>
      </c>
      <c r="C24" s="606"/>
      <c r="D24" s="604">
        <v>182022</v>
      </c>
      <c r="E24" s="599">
        <f t="shared" si="1"/>
        <v>0</v>
      </c>
      <c r="F24" s="2054"/>
      <c r="G24" s="2055"/>
      <c r="H24" s="612"/>
      <c r="I24" s="600"/>
    </row>
    <row r="25" spans="1:9" ht="46.5">
      <c r="A25" s="616" t="s">
        <v>786</v>
      </c>
      <c r="B25" s="602" t="s">
        <v>642</v>
      </c>
      <c r="C25" s="606"/>
      <c r="D25" s="604">
        <v>828145</v>
      </c>
      <c r="E25" s="599">
        <f t="shared" si="1"/>
        <v>0</v>
      </c>
      <c r="F25" s="2054"/>
      <c r="G25" s="2055"/>
      <c r="H25" s="612"/>
      <c r="I25" s="600"/>
    </row>
    <row r="26" spans="1:9" ht="46.5">
      <c r="A26" s="616" t="s">
        <v>753</v>
      </c>
      <c r="B26" s="602" t="s">
        <v>642</v>
      </c>
      <c r="C26" s="603">
        <f t="shared" ref="C26" si="2">+$B$7</f>
        <v>25</v>
      </c>
      <c r="D26" s="604">
        <v>481391</v>
      </c>
      <c r="E26" s="599">
        <f t="shared" si="1"/>
        <v>12034775</v>
      </c>
      <c r="F26" s="2054"/>
      <c r="G26" s="2055"/>
      <c r="H26" s="612"/>
      <c r="I26" s="600"/>
    </row>
    <row r="27" spans="1:9" ht="31">
      <c r="A27" s="616" t="s">
        <v>260</v>
      </c>
      <c r="B27" s="602" t="s">
        <v>642</v>
      </c>
      <c r="C27" s="602">
        <v>3</v>
      </c>
      <c r="D27" s="604">
        <v>993257</v>
      </c>
      <c r="E27" s="599">
        <f t="shared" si="1"/>
        <v>2979771</v>
      </c>
      <c r="F27" s="626" t="s">
        <v>787</v>
      </c>
      <c r="H27" s="612"/>
      <c r="I27" s="600"/>
    </row>
    <row r="28" spans="1:9" ht="31">
      <c r="A28" s="616" t="s">
        <v>788</v>
      </c>
      <c r="B28" s="602" t="s">
        <v>319</v>
      </c>
      <c r="C28" s="602"/>
      <c r="D28" s="604">
        <v>220507</v>
      </c>
      <c r="E28" s="599">
        <f t="shared" si="1"/>
        <v>0</v>
      </c>
      <c r="F28" s="626" t="s">
        <v>789</v>
      </c>
      <c r="H28" s="612"/>
      <c r="I28" s="600"/>
    </row>
    <row r="29" spans="1:9" ht="35.25" customHeight="1">
      <c r="A29" s="616" t="s">
        <v>261</v>
      </c>
      <c r="B29" s="596" t="s">
        <v>642</v>
      </c>
      <c r="C29" s="596">
        <v>0</v>
      </c>
      <c r="D29" s="601">
        <v>98532</v>
      </c>
      <c r="E29" s="599">
        <f t="shared" si="1"/>
        <v>0</v>
      </c>
      <c r="F29" s="626" t="s">
        <v>790</v>
      </c>
      <c r="H29" s="612"/>
      <c r="I29" s="600"/>
    </row>
    <row r="30" spans="1:9" ht="35.25" customHeight="1">
      <c r="A30" s="616" t="s">
        <v>791</v>
      </c>
      <c r="B30" s="596" t="s">
        <v>642</v>
      </c>
      <c r="C30" s="596">
        <v>0</v>
      </c>
      <c r="D30" s="601">
        <v>76874</v>
      </c>
      <c r="E30" s="599">
        <f t="shared" si="1"/>
        <v>0</v>
      </c>
      <c r="F30" s="626" t="s">
        <v>790</v>
      </c>
      <c r="H30" s="612"/>
      <c r="I30" s="600"/>
    </row>
    <row r="31" spans="1:9" ht="45.75" customHeight="1">
      <c r="A31" s="616" t="s">
        <v>792</v>
      </c>
      <c r="B31" s="596" t="s">
        <v>642</v>
      </c>
      <c r="C31" s="596">
        <v>0</v>
      </c>
      <c r="D31" s="601">
        <v>4073192</v>
      </c>
      <c r="E31" s="599">
        <f t="shared" si="1"/>
        <v>0</v>
      </c>
      <c r="F31" s="626" t="s">
        <v>793</v>
      </c>
      <c r="H31" s="612"/>
      <c r="I31" s="600"/>
    </row>
    <row r="32" spans="1:9" ht="35.25" customHeight="1">
      <c r="A32" s="616" t="s">
        <v>754</v>
      </c>
      <c r="B32" s="602" t="s">
        <v>642</v>
      </c>
      <c r="C32" s="602">
        <f>ROUND($B$6*1000*7/350*2,0)</f>
        <v>200</v>
      </c>
      <c r="D32" s="604">
        <v>119833</v>
      </c>
      <c r="E32" s="599">
        <f t="shared" si="1"/>
        <v>23966600</v>
      </c>
      <c r="F32" s="626"/>
      <c r="H32" s="612"/>
      <c r="I32" s="600"/>
    </row>
    <row r="33" spans="1:9" ht="47.5" customHeight="1">
      <c r="A33" s="616" t="s">
        <v>794</v>
      </c>
      <c r="B33" s="602" t="s">
        <v>642</v>
      </c>
      <c r="C33" s="602"/>
      <c r="D33" s="604">
        <v>176001</v>
      </c>
      <c r="E33" s="599">
        <f t="shared" si="1"/>
        <v>0</v>
      </c>
      <c r="F33" s="626"/>
      <c r="H33" s="612"/>
      <c r="I33" s="600"/>
    </row>
    <row r="34" spans="1:9" ht="138.75" customHeight="1">
      <c r="A34" s="616" t="s">
        <v>262</v>
      </c>
      <c r="B34" s="596" t="s">
        <v>642</v>
      </c>
      <c r="C34" s="602">
        <f>+B9*4</f>
        <v>180</v>
      </c>
      <c r="D34" s="601">
        <v>7854</v>
      </c>
      <c r="E34" s="599">
        <f t="shared" si="1"/>
        <v>1413720</v>
      </c>
      <c r="F34" s="626" t="s">
        <v>795</v>
      </c>
      <c r="H34" s="612"/>
      <c r="I34" s="600"/>
    </row>
    <row r="35" spans="1:9" ht="94.5" customHeight="1">
      <c r="A35" s="616" t="s">
        <v>796</v>
      </c>
      <c r="B35" s="596" t="s">
        <v>642</v>
      </c>
      <c r="C35" s="602">
        <f>+$B$8/8</f>
        <v>0</v>
      </c>
      <c r="D35" s="601">
        <v>34034</v>
      </c>
      <c r="E35" s="599">
        <f t="shared" si="1"/>
        <v>0</v>
      </c>
      <c r="F35" s="626" t="s">
        <v>797</v>
      </c>
      <c r="H35" s="612"/>
      <c r="I35" s="600"/>
    </row>
    <row r="36" spans="1:9" ht="70.5" customHeight="1">
      <c r="A36" s="616" t="s">
        <v>798</v>
      </c>
      <c r="B36" s="596" t="s">
        <v>642</v>
      </c>
      <c r="C36" s="607"/>
      <c r="D36" s="601">
        <v>214847</v>
      </c>
      <c r="E36" s="599">
        <f t="shared" si="1"/>
        <v>0</v>
      </c>
      <c r="F36" s="626" t="s">
        <v>799</v>
      </c>
      <c r="H36" s="612"/>
      <c r="I36" s="600"/>
    </row>
    <row r="37" spans="1:9" ht="50" customHeight="1">
      <c r="A37" s="616" t="s">
        <v>800</v>
      </c>
      <c r="B37" s="596" t="s">
        <v>642</v>
      </c>
      <c r="C37" s="607"/>
      <c r="D37" s="601">
        <v>207119</v>
      </c>
      <c r="E37" s="599">
        <f t="shared" si="1"/>
        <v>0</v>
      </c>
      <c r="F37" s="627"/>
      <c r="H37" s="612"/>
      <c r="I37" s="600"/>
    </row>
    <row r="38" spans="1:9" ht="26.25" customHeight="1">
      <c r="A38" s="616" t="s">
        <v>801</v>
      </c>
      <c r="B38" s="596" t="s">
        <v>642</v>
      </c>
      <c r="C38" s="607"/>
      <c r="D38" s="601">
        <v>79184</v>
      </c>
      <c r="E38" s="599">
        <f t="shared" si="1"/>
        <v>0</v>
      </c>
      <c r="F38" s="627"/>
      <c r="H38" s="612"/>
      <c r="I38" s="600"/>
    </row>
    <row r="39" spans="1:9" ht="26.25" customHeight="1">
      <c r="A39" s="616" t="s">
        <v>802</v>
      </c>
      <c r="B39" s="596" t="s">
        <v>642</v>
      </c>
      <c r="C39" s="607"/>
      <c r="D39" s="601">
        <v>28322</v>
      </c>
      <c r="E39" s="599">
        <f t="shared" si="1"/>
        <v>0</v>
      </c>
      <c r="F39" s="627"/>
      <c r="H39" s="612"/>
      <c r="I39" s="600"/>
    </row>
    <row r="40" spans="1:9" ht="26.25" customHeight="1">
      <c r="A40" s="616" t="s">
        <v>803</v>
      </c>
      <c r="B40" s="596" t="s">
        <v>642</v>
      </c>
      <c r="C40" s="607"/>
      <c r="D40" s="601">
        <v>8925</v>
      </c>
      <c r="E40" s="599">
        <f t="shared" si="1"/>
        <v>0</v>
      </c>
      <c r="F40" s="627"/>
      <c r="H40" s="612"/>
      <c r="I40" s="600"/>
    </row>
    <row r="41" spans="1:9" ht="38" customHeight="1">
      <c r="A41" s="616" t="s">
        <v>804</v>
      </c>
      <c r="B41" s="596" t="s">
        <v>642</v>
      </c>
      <c r="C41" s="607">
        <f>+B6*4</f>
        <v>20</v>
      </c>
      <c r="D41" s="601">
        <v>107100</v>
      </c>
      <c r="E41" s="599">
        <f t="shared" si="1"/>
        <v>2142000</v>
      </c>
      <c r="F41" s="627"/>
      <c r="H41" s="612"/>
      <c r="I41" s="600"/>
    </row>
    <row r="42" spans="1:9" ht="38" customHeight="1">
      <c r="A42" s="616" t="s">
        <v>805</v>
      </c>
      <c r="B42" s="596" t="s">
        <v>642</v>
      </c>
      <c r="C42" s="607"/>
      <c r="D42" s="601">
        <v>133054</v>
      </c>
      <c r="E42" s="599">
        <f t="shared" si="1"/>
        <v>0</v>
      </c>
      <c r="F42" s="627"/>
      <c r="H42" s="612"/>
      <c r="I42" s="600"/>
    </row>
    <row r="43" spans="1:9" ht="38" customHeight="1">
      <c r="A43" s="618" t="s">
        <v>806</v>
      </c>
      <c r="B43" s="596" t="s">
        <v>319</v>
      </c>
      <c r="C43" s="607"/>
      <c r="D43" s="601">
        <v>157794</v>
      </c>
      <c r="E43" s="599">
        <f t="shared" si="1"/>
        <v>0</v>
      </c>
      <c r="F43" s="626" t="s">
        <v>807</v>
      </c>
      <c r="H43" s="612"/>
      <c r="I43" s="600"/>
    </row>
    <row r="44" spans="1:9" ht="38" customHeight="1">
      <c r="A44" s="618" t="s">
        <v>808</v>
      </c>
      <c r="B44" s="596" t="s">
        <v>10</v>
      </c>
      <c r="C44" s="607"/>
      <c r="D44" s="601">
        <v>395080</v>
      </c>
      <c r="E44" s="599">
        <f t="shared" si="1"/>
        <v>0</v>
      </c>
      <c r="F44" s="626"/>
      <c r="H44" s="612"/>
      <c r="I44" s="600"/>
    </row>
    <row r="45" spans="1:9" ht="38" customHeight="1">
      <c r="A45" s="618" t="s">
        <v>809</v>
      </c>
      <c r="B45" s="596" t="s">
        <v>319</v>
      </c>
      <c r="C45" s="607"/>
      <c r="D45" s="601">
        <v>586194</v>
      </c>
      <c r="E45" s="599">
        <f t="shared" si="1"/>
        <v>0</v>
      </c>
      <c r="F45" s="626"/>
      <c r="H45" s="612"/>
      <c r="I45" s="600"/>
    </row>
    <row r="46" spans="1:9" ht="38" customHeight="1">
      <c r="A46" s="618" t="s">
        <v>810</v>
      </c>
      <c r="B46" s="596" t="s">
        <v>319</v>
      </c>
      <c r="C46" s="607"/>
      <c r="D46" s="601">
        <v>584647</v>
      </c>
      <c r="E46" s="599">
        <f t="shared" si="1"/>
        <v>0</v>
      </c>
      <c r="F46" s="605"/>
      <c r="H46" s="612"/>
      <c r="I46" s="600"/>
    </row>
    <row r="47" spans="1:9" ht="38" customHeight="1">
      <c r="A47" s="618" t="s">
        <v>811</v>
      </c>
      <c r="B47" s="596" t="s">
        <v>319</v>
      </c>
      <c r="C47" s="607"/>
      <c r="D47" s="601">
        <v>293633</v>
      </c>
      <c r="E47" s="599">
        <f t="shared" si="1"/>
        <v>0</v>
      </c>
      <c r="F47" s="605"/>
      <c r="H47" s="612"/>
      <c r="I47" s="600"/>
    </row>
    <row r="48" spans="1:9" ht="38" customHeight="1" thickBot="1">
      <c r="A48" s="619" t="s">
        <v>812</v>
      </c>
      <c r="B48" s="620" t="s">
        <v>319</v>
      </c>
      <c r="C48" s="621"/>
      <c r="D48" s="622">
        <v>163400</v>
      </c>
      <c r="E48" s="623">
        <f t="shared" si="1"/>
        <v>0</v>
      </c>
      <c r="F48" s="624"/>
      <c r="G48" s="624"/>
      <c r="H48" s="625"/>
      <c r="I48" s="600"/>
    </row>
    <row r="49" spans="1:5" ht="15" thickBot="1"/>
    <row r="50" spans="1:5" ht="15" thickBot="1">
      <c r="A50" s="2056" t="s">
        <v>813</v>
      </c>
      <c r="B50" s="2057"/>
      <c r="C50" s="2057"/>
      <c r="D50" s="2058"/>
      <c r="E50" s="609">
        <f>ROUND(SUM(E12:E48),0)</f>
        <v>73604266</v>
      </c>
    </row>
    <row r="52" spans="1:5">
      <c r="A52" s="610" t="s">
        <v>814</v>
      </c>
    </row>
  </sheetData>
  <protectedRanges>
    <protectedRange sqref="D11:E11 E12:E41" name="Rango1_3_2_2"/>
    <protectedRange sqref="E42:E43" name="Rango1_3_2_2_2"/>
    <protectedRange sqref="E44" name="Rango1_3_2_2_1_1"/>
    <protectedRange sqref="E45:E47" name="Rango1_3_2_2_1_1_1"/>
    <protectedRange sqref="D17:D20 D12:D14" name="Rango1_3_2_2_1_2"/>
    <protectedRange sqref="D15:D16 D21:D41" name="Rango1_2_1_1_2_1_1"/>
    <protectedRange sqref="D42" name="Rango1_2_1_1_2_2"/>
  </protectedRanges>
  <mergeCells count="5">
    <mergeCell ref="H8:H19"/>
    <mergeCell ref="F12:G26"/>
    <mergeCell ref="A50:D50"/>
    <mergeCell ref="A2:H3"/>
    <mergeCell ref="A4:H4"/>
  </mergeCells>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7E75FD-35B3-4E44-918E-36983B542AB1}">
  <sheetPr>
    <tabColor theme="7" tint="0.79998168889431442"/>
  </sheetPr>
  <dimension ref="B1:H39"/>
  <sheetViews>
    <sheetView view="pageBreakPreview" topLeftCell="A12" zoomScale="80" zoomScaleNormal="70" zoomScaleSheetLayoutView="80" workbookViewId="0">
      <selection activeCell="K25" sqref="K25"/>
    </sheetView>
  </sheetViews>
  <sheetFormatPr baseColWidth="10" defaultColWidth="11.453125" defaultRowHeight="14.5"/>
  <cols>
    <col min="1" max="1" width="2.08984375" style="1" customWidth="1"/>
    <col min="2" max="2" width="46.81640625" style="151" customWidth="1"/>
    <col min="3" max="3" width="22.81640625" style="151" customWidth="1"/>
    <col min="4" max="4" width="22.08984375" style="1" customWidth="1"/>
    <col min="5" max="5" width="20.81640625" style="1" customWidth="1"/>
    <col min="6" max="6" width="20.36328125" style="1" customWidth="1"/>
    <col min="7" max="7" width="23.36328125" style="1" customWidth="1"/>
    <col min="8" max="8" width="19.36328125" style="1" bestFit="1" customWidth="1"/>
    <col min="9" max="9" width="11.453125" style="1"/>
    <col min="10" max="11" width="15.6328125" style="1" bestFit="1" customWidth="1"/>
    <col min="12" max="12" width="16.6328125" style="1" bestFit="1" customWidth="1"/>
    <col min="13" max="16384" width="11.453125" style="1"/>
  </cols>
  <sheetData>
    <row r="1" spans="2:8" ht="15" thickBot="1"/>
    <row r="2" spans="2:8" ht="14.5" customHeight="1">
      <c r="B2" s="1721"/>
      <c r="C2" s="1746" t="s">
        <v>909</v>
      </c>
      <c r="D2" s="1747"/>
      <c r="E2" s="1747"/>
      <c r="F2" s="1747"/>
      <c r="G2" s="1747"/>
      <c r="H2" s="1748"/>
    </row>
    <row r="3" spans="2:8">
      <c r="B3" s="1722"/>
      <c r="C3" s="1749"/>
      <c r="D3" s="1750"/>
      <c r="E3" s="1750"/>
      <c r="F3" s="1750"/>
      <c r="G3" s="1750"/>
      <c r="H3" s="1751"/>
    </row>
    <row r="4" spans="2:8" ht="23" customHeight="1">
      <c r="B4" s="1722"/>
      <c r="C4" s="1749"/>
      <c r="D4" s="1750"/>
      <c r="E4" s="1750"/>
      <c r="F4" s="1750"/>
      <c r="G4" s="1750"/>
      <c r="H4" s="1751"/>
    </row>
    <row r="5" spans="2:8">
      <c r="B5" s="1722"/>
      <c r="C5" s="1749"/>
      <c r="D5" s="1750"/>
      <c r="E5" s="1750"/>
      <c r="F5" s="1750"/>
      <c r="G5" s="1750"/>
      <c r="H5" s="1751"/>
    </row>
    <row r="6" spans="2:8" ht="38" customHeight="1" thickBot="1">
      <c r="B6" s="1723"/>
      <c r="C6" s="1752"/>
      <c r="D6" s="1753"/>
      <c r="E6" s="1753"/>
      <c r="F6" s="1753"/>
      <c r="G6" s="1753"/>
      <c r="H6" s="1754"/>
    </row>
    <row r="7" spans="2:8" ht="14.5" customHeight="1">
      <c r="B7" s="1724" t="s">
        <v>890</v>
      </c>
      <c r="C7" s="1725"/>
      <c r="D7" s="1726"/>
      <c r="E7" s="1726"/>
      <c r="F7" s="1733" t="s">
        <v>891</v>
      </c>
      <c r="G7" s="1735"/>
      <c r="H7" s="1736"/>
    </row>
    <row r="8" spans="2:8">
      <c r="B8" s="1727"/>
      <c r="C8" s="1728"/>
      <c r="D8" s="1729"/>
      <c r="E8" s="1729"/>
      <c r="F8" s="1734"/>
      <c r="G8" s="1737"/>
      <c r="H8" s="1738"/>
    </row>
    <row r="9" spans="2:8">
      <c r="B9" s="1727"/>
      <c r="C9" s="1728"/>
      <c r="D9" s="1729"/>
      <c r="E9" s="1729"/>
      <c r="F9" s="332" t="s">
        <v>892</v>
      </c>
      <c r="G9" s="1739"/>
      <c r="H9" s="1740"/>
    </row>
    <row r="10" spans="2:8">
      <c r="B10" s="1727"/>
      <c r="C10" s="1728"/>
      <c r="D10" s="1729"/>
      <c r="E10" s="1729"/>
      <c r="F10" s="332" t="s">
        <v>893</v>
      </c>
      <c r="G10" s="1739"/>
      <c r="H10" s="1740"/>
    </row>
    <row r="11" spans="2:8">
      <c r="B11" s="1727"/>
      <c r="C11" s="1728"/>
      <c r="D11" s="1729"/>
      <c r="E11" s="1729"/>
      <c r="F11" s="1734" t="s">
        <v>894</v>
      </c>
      <c r="G11" s="1742"/>
      <c r="H11" s="1743"/>
    </row>
    <row r="12" spans="2:8" ht="15" thickBot="1">
      <c r="B12" s="1730"/>
      <c r="C12" s="1731"/>
      <c r="D12" s="1732"/>
      <c r="E12" s="1732"/>
      <c r="F12" s="1741"/>
      <c r="G12" s="1744"/>
      <c r="H12" s="1745"/>
    </row>
    <row r="13" spans="2:8" ht="14.5" customHeight="1">
      <c r="B13" s="1755" t="str">
        <f>+PRESUPUESTO!A2</f>
        <v>OBJETO: MEJORAMIENTO Y ADECUACIÓN DE LAS VIAS URBANAS DEL MUNICIPIO DE SANTA FE DE ANTIOQUIA</v>
      </c>
      <c r="C13" s="1756"/>
      <c r="D13" s="1757"/>
      <c r="E13" s="1757"/>
      <c r="F13" s="1757"/>
      <c r="G13" s="1757"/>
      <c r="H13" s="1758"/>
    </row>
    <row r="14" spans="2:8" ht="15" thickBot="1">
      <c r="B14" s="1759"/>
      <c r="C14" s="1760"/>
      <c r="D14" s="1761"/>
      <c r="E14" s="1761"/>
      <c r="F14" s="1761"/>
      <c r="G14" s="1761"/>
      <c r="H14" s="1762"/>
    </row>
    <row r="15" spans="2:8" ht="15" customHeight="1" thickBot="1">
      <c r="B15" s="167" t="s">
        <v>1</v>
      </c>
      <c r="C15" s="393"/>
      <c r="D15" s="1763"/>
      <c r="E15" s="1763"/>
      <c r="F15" s="1763"/>
      <c r="G15" s="1763"/>
      <c r="H15" s="168" t="s">
        <v>193</v>
      </c>
    </row>
    <row r="16" spans="2:8" ht="64.5" customHeight="1" thickBot="1">
      <c r="B16" s="62" t="s">
        <v>215</v>
      </c>
      <c r="C16" s="1778" t="e">
        <f>+PRESUPUESTO!#REF!</f>
        <v>#REF!</v>
      </c>
      <c r="D16" s="1779"/>
      <c r="E16" s="1779"/>
      <c r="F16" s="1779"/>
      <c r="G16" s="1780"/>
      <c r="H16" s="169" t="e">
        <f>+PRESUPUESTO!#REF!</f>
        <v>#REF!</v>
      </c>
    </row>
    <row r="17" spans="2:8" ht="15" thickBot="1">
      <c r="B17" s="338" t="s">
        <v>896</v>
      </c>
      <c r="C17" s="338"/>
    </row>
    <row r="18" spans="2:8">
      <c r="B18" s="1781" t="s">
        <v>897</v>
      </c>
      <c r="C18" s="1782"/>
      <c r="D18" s="335" t="s">
        <v>319</v>
      </c>
      <c r="E18" s="335" t="s">
        <v>320</v>
      </c>
      <c r="F18" s="335" t="s">
        <v>898</v>
      </c>
      <c r="G18" s="337" t="s">
        <v>899</v>
      </c>
      <c r="H18" s="139"/>
    </row>
    <row r="19" spans="2:8">
      <c r="B19" s="1711" t="str">
        <f>+MATERIALES!B31</f>
        <v>Acero Fy= 420 mpa, 60.000 psi</v>
      </c>
      <c r="C19" s="1712"/>
      <c r="D19" s="174" t="str">
        <f>+MATERIALES!C31</f>
        <v>kg</v>
      </c>
      <c r="E19" s="175">
        <v>1.05</v>
      </c>
      <c r="F19" s="176">
        <f>+MATERIALES!D31</f>
        <v>5980</v>
      </c>
      <c r="G19" s="215">
        <f>+ROUND((E19*F19),0)</f>
        <v>6279</v>
      </c>
      <c r="H19" s="140"/>
    </row>
    <row r="20" spans="2:8">
      <c r="B20" s="1711" t="str">
        <f>+MATERIALES!B39</f>
        <v>Alambre recocido C 18</v>
      </c>
      <c r="C20" s="1712"/>
      <c r="D20" s="174" t="str">
        <f>+MATERIALES!C39</f>
        <v>kg</v>
      </c>
      <c r="E20" s="175">
        <v>2.5100000000000001E-2</v>
      </c>
      <c r="F20" s="176">
        <f>+MATERIALES!D39</f>
        <v>17900</v>
      </c>
      <c r="G20" s="215">
        <f>+ROUND((E20*F20),0)</f>
        <v>449</v>
      </c>
      <c r="H20" s="140"/>
    </row>
    <row r="21" spans="2:8" ht="15" thickBot="1">
      <c r="B21" s="183"/>
      <c r="C21" s="183"/>
      <c r="D21" s="301">
        <f>+H21/$H$38</f>
        <v>0.70895679662802946</v>
      </c>
      <c r="E21" s="185"/>
      <c r="F21" s="65"/>
      <c r="G21" s="212" t="s">
        <v>900</v>
      </c>
      <c r="H21" s="339">
        <f>+ROUND(SUM(G19:G20),0)</f>
        <v>6728</v>
      </c>
    </row>
    <row r="22" spans="2:8" ht="15" thickBot="1">
      <c r="B22" s="183" t="s">
        <v>901</v>
      </c>
      <c r="C22" s="183"/>
    </row>
    <row r="23" spans="2:8">
      <c r="B23" s="1776" t="s">
        <v>897</v>
      </c>
      <c r="C23" s="1777"/>
      <c r="D23" s="335" t="s">
        <v>319</v>
      </c>
      <c r="E23" s="335" t="s">
        <v>320</v>
      </c>
      <c r="F23" s="335" t="s">
        <v>898</v>
      </c>
      <c r="G23" s="337" t="s">
        <v>899</v>
      </c>
      <c r="H23" s="143"/>
    </row>
    <row r="24" spans="2:8">
      <c r="B24" s="1783" t="s">
        <v>934</v>
      </c>
      <c r="C24" s="1784"/>
      <c r="D24" s="392" t="s">
        <v>916</v>
      </c>
      <c r="E24" s="392">
        <f>1/116</f>
        <v>8.6206896551724137E-3</v>
      </c>
      <c r="F24" s="408">
        <f>+'FP OPERATIVO'!F42+'FP OPERATIVO'!F39</f>
        <v>295642.2840888889</v>
      </c>
      <c r="G24" s="425">
        <f>+E24*F24</f>
        <v>2548.6403800766284</v>
      </c>
      <c r="H24" s="162"/>
    </row>
    <row r="25" spans="2:8">
      <c r="B25" s="1715"/>
      <c r="C25" s="1716"/>
      <c r="D25" s="392"/>
      <c r="E25" s="392"/>
      <c r="F25" s="408"/>
      <c r="G25" s="425"/>
      <c r="H25" s="162"/>
    </row>
    <row r="26" spans="2:8" ht="15" thickBot="1">
      <c r="B26" s="1717"/>
      <c r="C26" s="1718"/>
      <c r="D26" s="179"/>
      <c r="E26" s="424"/>
      <c r="F26" s="181"/>
      <c r="G26" s="189"/>
      <c r="H26" s="144"/>
    </row>
    <row r="27" spans="2:8" ht="15" thickBot="1">
      <c r="B27" s="183"/>
      <c r="C27" s="183"/>
      <c r="D27" s="301">
        <f>+H27/$H$38</f>
        <v>0.2685985247629083</v>
      </c>
      <c r="E27" s="190"/>
      <c r="G27" s="186" t="s">
        <v>900</v>
      </c>
      <c r="H27" s="214">
        <f>+ROUND(SUM(G24:G26),0)</f>
        <v>2549</v>
      </c>
    </row>
    <row r="28" spans="2:8" ht="15" thickBot="1">
      <c r="B28" s="183" t="s">
        <v>920</v>
      </c>
      <c r="C28" s="183"/>
    </row>
    <row r="29" spans="2:8">
      <c r="B29" s="1776" t="s">
        <v>897</v>
      </c>
      <c r="C29" s="1777"/>
      <c r="D29" s="335" t="s">
        <v>319</v>
      </c>
      <c r="E29" s="335" t="s">
        <v>320</v>
      </c>
      <c r="F29" s="335" t="s">
        <v>898</v>
      </c>
      <c r="G29" s="337" t="s">
        <v>899</v>
      </c>
      <c r="H29" s="143"/>
    </row>
    <row r="30" spans="2:8">
      <c r="B30" s="1787" t="str">
        <f>+EQUIPOS!A23</f>
        <v>Tronzadora de metal (incluye disco de corte)</v>
      </c>
      <c r="C30" s="1788"/>
      <c r="D30" s="391" t="str">
        <f>+EQUIPOS!B23</f>
        <v>Día</v>
      </c>
      <c r="E30" s="391">
        <v>2E-3</v>
      </c>
      <c r="F30" s="404">
        <f>+EQUIPOS!C23</f>
        <v>42800</v>
      </c>
      <c r="G30" s="405">
        <f>+ROUND((E30*F30),0)</f>
        <v>86</v>
      </c>
      <c r="H30" s="162"/>
    </row>
    <row r="31" spans="2:8" ht="15" thickBot="1">
      <c r="B31" s="1717" t="s">
        <v>905</v>
      </c>
      <c r="C31" s="1718"/>
      <c r="D31" s="179" t="s">
        <v>906</v>
      </c>
      <c r="E31" s="180">
        <v>0.05</v>
      </c>
      <c r="F31" s="192">
        <f>+H27</f>
        <v>2549</v>
      </c>
      <c r="G31" s="193">
        <f>+ROUND((E31*F31),0)</f>
        <v>127</v>
      </c>
      <c r="H31" s="144"/>
    </row>
    <row r="32" spans="2:8" ht="15" thickBot="1">
      <c r="B32" s="183"/>
      <c r="C32" s="183"/>
      <c r="D32" s="301">
        <f>+H32/$H$38</f>
        <v>2.2444678609062171E-2</v>
      </c>
      <c r="E32" s="190"/>
      <c r="G32" s="212" t="s">
        <v>900</v>
      </c>
      <c r="H32" s="191">
        <f>+ROUND(SUM(G30:G31),0)</f>
        <v>213</v>
      </c>
    </row>
    <row r="33" spans="2:8" ht="15" thickBot="1">
      <c r="B33" s="183" t="s">
        <v>922</v>
      </c>
      <c r="C33" s="183"/>
    </row>
    <row r="34" spans="2:8">
      <c r="B34" s="419" t="s">
        <v>897</v>
      </c>
      <c r="C34" s="335" t="s">
        <v>319</v>
      </c>
      <c r="D34" s="335" t="s">
        <v>320</v>
      </c>
      <c r="E34" s="335" t="s">
        <v>926</v>
      </c>
      <c r="F34" s="335" t="s">
        <v>898</v>
      </c>
      <c r="G34" s="337" t="s">
        <v>899</v>
      </c>
      <c r="H34" s="143"/>
    </row>
    <row r="35" spans="2:8">
      <c r="B35" s="426"/>
      <c r="C35" s="427"/>
      <c r="D35" s="427"/>
      <c r="E35" s="427"/>
      <c r="F35" s="428"/>
      <c r="G35" s="429"/>
      <c r="H35" s="162"/>
    </row>
    <row r="36" spans="2:8" ht="15" thickBot="1">
      <c r="D36" s="301">
        <f>+H36/$H$38</f>
        <v>0</v>
      </c>
      <c r="G36" s="212" t="s">
        <v>900</v>
      </c>
      <c r="H36" s="214">
        <f>+ROUND(SUM(G35:G35),0)</f>
        <v>0</v>
      </c>
    </row>
    <row r="37" spans="2:8" ht="15" thickBot="1">
      <c r="G37" s="186"/>
      <c r="H37" s="194"/>
    </row>
    <row r="38" spans="2:8" ht="15" thickBot="1">
      <c r="B38" s="195"/>
      <c r="C38" s="195"/>
      <c r="D38" s="196"/>
      <c r="E38" s="197" t="s">
        <v>908</v>
      </c>
      <c r="F38" s="198"/>
      <c r="G38" s="198"/>
      <c r="H38" s="153">
        <f>ROUNDUP(SUM(H18:H36),0)</f>
        <v>9490</v>
      </c>
    </row>
    <row r="39" spans="2:8">
      <c r="B39" s="199"/>
      <c r="C39" s="199"/>
      <c r="D39" s="201"/>
      <c r="E39" s="253"/>
      <c r="F39" s="253"/>
      <c r="G39" s="253"/>
      <c r="H39" s="196"/>
    </row>
  </sheetData>
  <mergeCells count="22">
    <mergeCell ref="B2:B6"/>
    <mergeCell ref="C2:H6"/>
    <mergeCell ref="B7:E12"/>
    <mergeCell ref="F7:F8"/>
    <mergeCell ref="G7:H8"/>
    <mergeCell ref="G9:H9"/>
    <mergeCell ref="G10:H10"/>
    <mergeCell ref="F11:F12"/>
    <mergeCell ref="G11:H12"/>
    <mergeCell ref="B23:C23"/>
    <mergeCell ref="B24:C24"/>
    <mergeCell ref="B13:H14"/>
    <mergeCell ref="D15:G15"/>
    <mergeCell ref="C16:G16"/>
    <mergeCell ref="B18:C18"/>
    <mergeCell ref="B19:C19"/>
    <mergeCell ref="B20:C20"/>
    <mergeCell ref="B25:C25"/>
    <mergeCell ref="B26:C26"/>
    <mergeCell ref="B29:C29"/>
    <mergeCell ref="B30:C30"/>
    <mergeCell ref="B31:C31"/>
  </mergeCells>
  <pageMargins left="0.7" right="0.7" top="0.75" bottom="0.75" header="0.3" footer="0.3"/>
  <pageSetup scale="51" orientation="portrait" r:id="rId1"/>
  <rowBreaks count="1" manualBreakCount="1">
    <brk id="38" min="1" max="6" man="1"/>
  </rowBreaks>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908386-73C5-43B8-81AE-AAC1B92FC954}">
  <sheetPr>
    <tabColor theme="7" tint="0.79998168889431442"/>
  </sheetPr>
  <dimension ref="B1:K40"/>
  <sheetViews>
    <sheetView view="pageBreakPreview" topLeftCell="A11" zoomScale="80" zoomScaleNormal="70" zoomScaleSheetLayoutView="80" workbookViewId="0">
      <selection activeCell="J30" sqref="J30"/>
    </sheetView>
  </sheetViews>
  <sheetFormatPr baseColWidth="10" defaultColWidth="11.453125" defaultRowHeight="14.5"/>
  <cols>
    <col min="1" max="1" width="2.08984375" style="1" customWidth="1"/>
    <col min="2" max="2" width="46.81640625" style="151" customWidth="1"/>
    <col min="3" max="3" width="22.81640625" style="151" customWidth="1"/>
    <col min="4" max="4" width="22.08984375" style="1" customWidth="1"/>
    <col min="5" max="5" width="20.81640625" style="1" customWidth="1"/>
    <col min="6" max="6" width="20.36328125" style="1" customWidth="1"/>
    <col min="7" max="7" width="23.36328125" style="1" customWidth="1"/>
    <col min="8" max="8" width="19.36328125" style="1" bestFit="1" customWidth="1"/>
    <col min="9" max="9" width="11.453125" style="1"/>
    <col min="10" max="11" width="15.6328125" style="1" bestFit="1" customWidth="1"/>
    <col min="12" max="12" width="16.6328125" style="1" bestFit="1" customWidth="1"/>
    <col min="13" max="16384" width="11.453125" style="1"/>
  </cols>
  <sheetData>
    <row r="1" spans="2:8" ht="15" thickBot="1"/>
    <row r="2" spans="2:8" ht="14.5" customHeight="1">
      <c r="B2" s="1721"/>
      <c r="C2" s="1746" t="s">
        <v>909</v>
      </c>
      <c r="D2" s="1747"/>
      <c r="E2" s="1747"/>
      <c r="F2" s="1747"/>
      <c r="G2" s="1747"/>
      <c r="H2" s="1748"/>
    </row>
    <row r="3" spans="2:8">
      <c r="B3" s="1722"/>
      <c r="C3" s="1749"/>
      <c r="D3" s="1750"/>
      <c r="E3" s="1750"/>
      <c r="F3" s="1750"/>
      <c r="G3" s="1750"/>
      <c r="H3" s="1751"/>
    </row>
    <row r="4" spans="2:8" ht="23" customHeight="1">
      <c r="B4" s="1722"/>
      <c r="C4" s="1749"/>
      <c r="D4" s="1750"/>
      <c r="E4" s="1750"/>
      <c r="F4" s="1750"/>
      <c r="G4" s="1750"/>
      <c r="H4" s="1751"/>
    </row>
    <row r="5" spans="2:8">
      <c r="B5" s="1722"/>
      <c r="C5" s="1749"/>
      <c r="D5" s="1750"/>
      <c r="E5" s="1750"/>
      <c r="F5" s="1750"/>
      <c r="G5" s="1750"/>
      <c r="H5" s="1751"/>
    </row>
    <row r="6" spans="2:8" ht="38" customHeight="1" thickBot="1">
      <c r="B6" s="1723"/>
      <c r="C6" s="1752"/>
      <c r="D6" s="1753"/>
      <c r="E6" s="1753"/>
      <c r="F6" s="1753"/>
      <c r="G6" s="1753"/>
      <c r="H6" s="1754"/>
    </row>
    <row r="7" spans="2:8" ht="14.5" customHeight="1">
      <c r="B7" s="1724" t="s">
        <v>890</v>
      </c>
      <c r="C7" s="1725"/>
      <c r="D7" s="1726"/>
      <c r="E7" s="1726"/>
      <c r="F7" s="1733" t="s">
        <v>891</v>
      </c>
      <c r="G7" s="1735"/>
      <c r="H7" s="1736"/>
    </row>
    <row r="8" spans="2:8">
      <c r="B8" s="1727"/>
      <c r="C8" s="1728"/>
      <c r="D8" s="1729"/>
      <c r="E8" s="1729"/>
      <c r="F8" s="1734"/>
      <c r="G8" s="1737"/>
      <c r="H8" s="1738"/>
    </row>
    <row r="9" spans="2:8">
      <c r="B9" s="1727"/>
      <c r="C9" s="1728"/>
      <c r="D9" s="1729"/>
      <c r="E9" s="1729"/>
      <c r="F9" s="332" t="s">
        <v>892</v>
      </c>
      <c r="G9" s="1739"/>
      <c r="H9" s="1740"/>
    </row>
    <row r="10" spans="2:8">
      <c r="B10" s="1727"/>
      <c r="C10" s="1728"/>
      <c r="D10" s="1729"/>
      <c r="E10" s="1729"/>
      <c r="F10" s="332" t="s">
        <v>893</v>
      </c>
      <c r="G10" s="1739"/>
      <c r="H10" s="1740"/>
    </row>
    <row r="11" spans="2:8">
      <c r="B11" s="1727"/>
      <c r="C11" s="1728"/>
      <c r="D11" s="1729"/>
      <c r="E11" s="1729"/>
      <c r="F11" s="1734" t="s">
        <v>894</v>
      </c>
      <c r="G11" s="1742"/>
      <c r="H11" s="1743"/>
    </row>
    <row r="12" spans="2:8" ht="15" thickBot="1">
      <c r="B12" s="1730"/>
      <c r="C12" s="1731"/>
      <c r="D12" s="1732"/>
      <c r="E12" s="1732"/>
      <c r="F12" s="1741"/>
      <c r="G12" s="1744"/>
      <c r="H12" s="1745"/>
    </row>
    <row r="13" spans="2:8" ht="14.5" customHeight="1">
      <c r="B13" s="1755" t="str">
        <f>+PRESUPUESTO!A2</f>
        <v>OBJETO: MEJORAMIENTO Y ADECUACIÓN DE LAS VIAS URBANAS DEL MUNICIPIO DE SANTA FE DE ANTIOQUIA</v>
      </c>
      <c r="C13" s="1756"/>
      <c r="D13" s="1757"/>
      <c r="E13" s="1757"/>
      <c r="F13" s="1757"/>
      <c r="G13" s="1757"/>
      <c r="H13" s="1758"/>
    </row>
    <row r="14" spans="2:8" ht="15" thickBot="1">
      <c r="B14" s="1759"/>
      <c r="C14" s="1760"/>
      <c r="D14" s="1761"/>
      <c r="E14" s="1761"/>
      <c r="F14" s="1761"/>
      <c r="G14" s="1761"/>
      <c r="H14" s="1762"/>
    </row>
    <row r="15" spans="2:8" ht="15" customHeight="1" thickBot="1">
      <c r="B15" s="167" t="s">
        <v>1</v>
      </c>
      <c r="C15" s="393"/>
      <c r="D15" s="1763"/>
      <c r="E15" s="1763"/>
      <c r="F15" s="1763"/>
      <c r="G15" s="1763"/>
      <c r="H15" s="168" t="s">
        <v>193</v>
      </c>
    </row>
    <row r="16" spans="2:8" ht="64.5" customHeight="1" thickBot="1">
      <c r="B16" s="62" t="s">
        <v>216</v>
      </c>
      <c r="C16" s="1778" t="e">
        <f>+PRESUPUESTO!#REF!</f>
        <v>#REF!</v>
      </c>
      <c r="D16" s="1779"/>
      <c r="E16" s="1779"/>
      <c r="F16" s="1779"/>
      <c r="G16" s="1780"/>
      <c r="H16" s="169" t="e">
        <f>+PRESUPUESTO!#REF!</f>
        <v>#REF!</v>
      </c>
    </row>
    <row r="17" spans="2:11" ht="15" thickBot="1">
      <c r="B17" s="338" t="s">
        <v>896</v>
      </c>
      <c r="C17" s="338"/>
    </row>
    <row r="18" spans="2:11">
      <c r="B18" s="1781" t="s">
        <v>897</v>
      </c>
      <c r="C18" s="1782"/>
      <c r="D18" s="335" t="s">
        <v>319</v>
      </c>
      <c r="E18" s="335" t="s">
        <v>320</v>
      </c>
      <c r="F18" s="335" t="s">
        <v>898</v>
      </c>
      <c r="G18" s="337" t="s">
        <v>899</v>
      </c>
      <c r="H18" s="139"/>
    </row>
    <row r="19" spans="2:11">
      <c r="B19" s="1711" t="str">
        <f>+'CONCRETOS Y MORTERO'!B61</f>
        <v>Concreto 3.000 psi</v>
      </c>
      <c r="C19" s="1712"/>
      <c r="D19" s="174" t="str">
        <f>+'CONCRETOS Y MORTERO'!C64</f>
        <v>m³</v>
      </c>
      <c r="E19" s="175">
        <v>1.05</v>
      </c>
      <c r="F19" s="176">
        <f>+'CONCRETOS Y MORTERO'!G75</f>
        <v>591127</v>
      </c>
      <c r="G19" s="215">
        <f>+ROUND((E19*F19),0)</f>
        <v>620683</v>
      </c>
      <c r="H19" s="140"/>
    </row>
    <row r="20" spans="2:11">
      <c r="B20" s="1711" t="str">
        <f>+MATERIALES!B45</f>
        <v>Rejilla de sumidero Tipo B - Nueva Norma</v>
      </c>
      <c r="C20" s="1712"/>
      <c r="D20" s="174" t="str">
        <f>+MATERIALES!C45</f>
        <v>Un</v>
      </c>
      <c r="E20" s="175">
        <v>1</v>
      </c>
      <c r="F20" s="176">
        <f>+MATERIALES!D45</f>
        <v>500000</v>
      </c>
      <c r="G20" s="215">
        <f>+ROUND((E20*F20),0)</f>
        <v>500000</v>
      </c>
      <c r="H20" s="140"/>
    </row>
    <row r="21" spans="2:11" ht="15" thickBot="1">
      <c r="B21" s="1717" t="str">
        <f>+MATERIALES!B40</f>
        <v>Formaleta MDF 1.83mX2.44m</v>
      </c>
      <c r="C21" s="1718"/>
      <c r="D21" s="179" t="str">
        <f>+MATERIALES!C40</f>
        <v>Und</v>
      </c>
      <c r="E21" s="180">
        <v>0.25375199999999998</v>
      </c>
      <c r="F21" s="181">
        <f>+MATERIALES!D40</f>
        <v>275000</v>
      </c>
      <c r="G21" s="189">
        <f>+ROUND((E21*F21),0)</f>
        <v>69782</v>
      </c>
      <c r="H21" s="140"/>
      <c r="J21" s="1">
        <f>1.83*2.44</f>
        <v>4.4652000000000003</v>
      </c>
      <c r="K21" s="1">
        <f>+E21/J21/3</f>
        <v>1.8942936486607539E-2</v>
      </c>
    </row>
    <row r="22" spans="2:11" ht="15" thickBot="1">
      <c r="B22" s="183"/>
      <c r="C22" s="183"/>
      <c r="D22" s="301">
        <f>+H22/$H$39</f>
        <v>0.79317324598954353</v>
      </c>
      <c r="E22" s="185"/>
      <c r="F22" s="65"/>
      <c r="G22" s="212" t="s">
        <v>900</v>
      </c>
      <c r="H22" s="339">
        <f>+ROUND(SUM(G19:G21),0)</f>
        <v>1190465</v>
      </c>
    </row>
    <row r="23" spans="2:11" ht="15" thickBot="1">
      <c r="B23" s="183" t="s">
        <v>901</v>
      </c>
      <c r="C23" s="183"/>
    </row>
    <row r="24" spans="2:11">
      <c r="B24" s="1776" t="s">
        <v>897</v>
      </c>
      <c r="C24" s="1777"/>
      <c r="D24" s="335" t="s">
        <v>319</v>
      </c>
      <c r="E24" s="335" t="s">
        <v>320</v>
      </c>
      <c r="F24" s="335" t="s">
        <v>898</v>
      </c>
      <c r="G24" s="337" t="s">
        <v>899</v>
      </c>
      <c r="H24" s="143"/>
    </row>
    <row r="25" spans="2:11">
      <c r="B25" s="1783" t="s">
        <v>934</v>
      </c>
      <c r="C25" s="1784"/>
      <c r="D25" s="392" t="s">
        <v>916</v>
      </c>
      <c r="E25" s="392">
        <v>1</v>
      </c>
      <c r="F25" s="408">
        <f>+'FP OPERATIVO'!F42+'FP OPERATIVO'!F39</f>
        <v>295642.2840888889</v>
      </c>
      <c r="G25" s="425">
        <f>+E25*F25</f>
        <v>295642.2840888889</v>
      </c>
      <c r="H25" s="162"/>
    </row>
    <row r="26" spans="2:11">
      <c r="B26" s="1715"/>
      <c r="C26" s="1716"/>
      <c r="D26" s="392"/>
      <c r="E26" s="392"/>
      <c r="F26" s="408"/>
      <c r="G26" s="425"/>
      <c r="H26" s="162"/>
    </row>
    <row r="27" spans="2:11" ht="15" thickBot="1">
      <c r="B27" s="1717"/>
      <c r="C27" s="1718"/>
      <c r="D27" s="179"/>
      <c r="E27" s="424"/>
      <c r="F27" s="181"/>
      <c r="G27" s="189"/>
      <c r="H27" s="144"/>
    </row>
    <row r="28" spans="2:11" ht="15" thickBot="1">
      <c r="B28" s="183"/>
      <c r="C28" s="183"/>
      <c r="D28" s="301">
        <f>+H28/$H$39</f>
        <v>0.19697792441679565</v>
      </c>
      <c r="E28" s="190"/>
      <c r="G28" s="186" t="s">
        <v>900</v>
      </c>
      <c r="H28" s="214">
        <f>+ROUND(SUM(G25:G27),0)</f>
        <v>295642</v>
      </c>
    </row>
    <row r="29" spans="2:11" ht="15" thickBot="1">
      <c r="B29" s="183" t="s">
        <v>920</v>
      </c>
      <c r="C29" s="183"/>
    </row>
    <row r="30" spans="2:11">
      <c r="B30" s="1776" t="s">
        <v>897</v>
      </c>
      <c r="C30" s="1777"/>
      <c r="D30" s="335" t="s">
        <v>319</v>
      </c>
      <c r="E30" s="335" t="s">
        <v>320</v>
      </c>
      <c r="F30" s="335" t="s">
        <v>898</v>
      </c>
      <c r="G30" s="337" t="s">
        <v>899</v>
      </c>
      <c r="H30" s="143"/>
    </row>
    <row r="31" spans="2:11">
      <c r="B31" s="1787" t="str">
        <f>+EQUIPOS!A18</f>
        <v>Vibrador para concreto a gasolina</v>
      </c>
      <c r="C31" s="1788"/>
      <c r="D31" s="391" t="str">
        <f>+EQUIPOS!B18</f>
        <v>Día</v>
      </c>
      <c r="E31" s="391">
        <v>0.05</v>
      </c>
      <c r="F31" s="404">
        <f>+EQUIPOS!C18</f>
        <v>100000</v>
      </c>
      <c r="G31" s="405">
        <f>+ROUND((E31*F31),0)</f>
        <v>5000</v>
      </c>
      <c r="H31" s="162"/>
    </row>
    <row r="32" spans="2:11" ht="15" thickBot="1">
      <c r="B32" s="1717" t="s">
        <v>905</v>
      </c>
      <c r="C32" s="1718"/>
      <c r="D32" s="179" t="s">
        <v>906</v>
      </c>
      <c r="E32" s="180">
        <v>0.05</v>
      </c>
      <c r="F32" s="192">
        <f>+H28</f>
        <v>295642</v>
      </c>
      <c r="G32" s="193">
        <f>+ROUND((E32*F32),0)</f>
        <v>14782</v>
      </c>
      <c r="H32" s="144"/>
    </row>
    <row r="33" spans="2:8" ht="15" thickBot="1">
      <c r="B33" s="183"/>
      <c r="C33" s="183"/>
      <c r="D33" s="301">
        <f>+H33/$H$39</f>
        <v>9.8488295936608235E-3</v>
      </c>
      <c r="E33" s="190"/>
      <c r="G33" s="212" t="s">
        <v>900</v>
      </c>
      <c r="H33" s="191">
        <f>+ROUND(SUM(G32:G32),0)</f>
        <v>14782</v>
      </c>
    </row>
    <row r="34" spans="2:8" ht="15" thickBot="1">
      <c r="B34" s="183" t="s">
        <v>922</v>
      </c>
      <c r="C34" s="183"/>
    </row>
    <row r="35" spans="2:8">
      <c r="B35" s="419" t="s">
        <v>897</v>
      </c>
      <c r="C35" s="335" t="s">
        <v>319</v>
      </c>
      <c r="D35" s="335" t="s">
        <v>320</v>
      </c>
      <c r="E35" s="335" t="s">
        <v>926</v>
      </c>
      <c r="F35" s="335" t="s">
        <v>898</v>
      </c>
      <c r="G35" s="337" t="s">
        <v>899</v>
      </c>
      <c r="H35" s="143"/>
    </row>
    <row r="36" spans="2:8">
      <c r="B36" s="426"/>
      <c r="C36" s="427"/>
      <c r="D36" s="427"/>
      <c r="E36" s="427"/>
      <c r="F36" s="428"/>
      <c r="G36" s="429"/>
      <c r="H36" s="162"/>
    </row>
    <row r="37" spans="2:8" ht="15" thickBot="1">
      <c r="D37" s="301">
        <f>+H37/$H$39</f>
        <v>0</v>
      </c>
      <c r="G37" s="212" t="s">
        <v>900</v>
      </c>
      <c r="H37" s="214">
        <f>+ROUND(SUM(G36:G36),0)</f>
        <v>0</v>
      </c>
    </row>
    <row r="38" spans="2:8" ht="15" thickBot="1">
      <c r="G38" s="186"/>
      <c r="H38" s="194"/>
    </row>
    <row r="39" spans="2:8" ht="15" thickBot="1">
      <c r="B39" s="195"/>
      <c r="C39" s="195"/>
      <c r="D39" s="196"/>
      <c r="E39" s="197" t="s">
        <v>908</v>
      </c>
      <c r="F39" s="198"/>
      <c r="G39" s="198"/>
      <c r="H39" s="153">
        <f>ROUNDUP(SUM(H18:H37),0)</f>
        <v>1500889</v>
      </c>
    </row>
    <row r="40" spans="2:8">
      <c r="B40" s="199"/>
      <c r="C40" s="199"/>
      <c r="D40" s="201"/>
      <c r="E40" s="253"/>
      <c r="F40" s="253"/>
      <c r="G40" s="253"/>
      <c r="H40" s="196"/>
    </row>
  </sheetData>
  <mergeCells count="23">
    <mergeCell ref="B2:B6"/>
    <mergeCell ref="C2:H6"/>
    <mergeCell ref="B7:E12"/>
    <mergeCell ref="F7:F8"/>
    <mergeCell ref="G7:H8"/>
    <mergeCell ref="G9:H9"/>
    <mergeCell ref="G10:H10"/>
    <mergeCell ref="F11:F12"/>
    <mergeCell ref="G11:H12"/>
    <mergeCell ref="B13:H14"/>
    <mergeCell ref="D15:G15"/>
    <mergeCell ref="C16:G16"/>
    <mergeCell ref="B18:C18"/>
    <mergeCell ref="B19:C19"/>
    <mergeCell ref="B32:C32"/>
    <mergeCell ref="B20:C20"/>
    <mergeCell ref="B24:C24"/>
    <mergeCell ref="B25:C25"/>
    <mergeCell ref="B26:C26"/>
    <mergeCell ref="B27:C27"/>
    <mergeCell ref="B30:C30"/>
    <mergeCell ref="B31:C31"/>
    <mergeCell ref="B21:C21"/>
  </mergeCells>
  <pageMargins left="0.7" right="0.7" top="0.75" bottom="0.75" header="0.3" footer="0.3"/>
  <pageSetup scale="51" orientation="portrait" r:id="rId1"/>
  <rowBreaks count="1" manualBreakCount="1">
    <brk id="39" min="1" max="6" man="1"/>
  </rowBreaks>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648321-BA2A-49F8-960B-47B06D3ED632}">
  <sheetPr>
    <tabColor theme="7" tint="0.79998168889431442"/>
  </sheetPr>
  <dimension ref="B1:H41"/>
  <sheetViews>
    <sheetView view="pageBreakPreview" topLeftCell="A13" zoomScale="80" zoomScaleNormal="70" zoomScaleSheetLayoutView="80" workbookViewId="0">
      <selection activeCell="A29" sqref="A29"/>
    </sheetView>
  </sheetViews>
  <sheetFormatPr baseColWidth="10" defaultColWidth="11.453125" defaultRowHeight="14.5"/>
  <cols>
    <col min="1" max="1" width="2.08984375" style="1" customWidth="1"/>
    <col min="2" max="2" width="46.81640625" style="151" customWidth="1"/>
    <col min="3" max="3" width="22.81640625" style="151" customWidth="1"/>
    <col min="4" max="4" width="22.08984375" style="1" customWidth="1"/>
    <col min="5" max="5" width="20.81640625" style="1" customWidth="1"/>
    <col min="6" max="6" width="20.36328125" style="1" customWidth="1"/>
    <col min="7" max="7" width="23.36328125" style="1" customWidth="1"/>
    <col min="8" max="8" width="19.36328125" style="1" bestFit="1" customWidth="1"/>
    <col min="9" max="9" width="11.453125" style="1"/>
    <col min="10" max="11" width="15.6328125" style="1" bestFit="1" customWidth="1"/>
    <col min="12" max="12" width="16.6328125" style="1" bestFit="1" customWidth="1"/>
    <col min="13" max="16384" width="11.453125" style="1"/>
  </cols>
  <sheetData>
    <row r="1" spans="2:8" ht="15" thickBot="1"/>
    <row r="2" spans="2:8" ht="14.5" customHeight="1">
      <c r="B2" s="1721"/>
      <c r="C2" s="1746" t="s">
        <v>909</v>
      </c>
      <c r="D2" s="1747"/>
      <c r="E2" s="1747"/>
      <c r="F2" s="1747"/>
      <c r="G2" s="1747"/>
      <c r="H2" s="1748"/>
    </row>
    <row r="3" spans="2:8">
      <c r="B3" s="1722"/>
      <c r="C3" s="1749"/>
      <c r="D3" s="1750"/>
      <c r="E3" s="1750"/>
      <c r="F3" s="1750"/>
      <c r="G3" s="1750"/>
      <c r="H3" s="1751"/>
    </row>
    <row r="4" spans="2:8" ht="23" customHeight="1">
      <c r="B4" s="1722"/>
      <c r="C4" s="1749"/>
      <c r="D4" s="1750"/>
      <c r="E4" s="1750"/>
      <c r="F4" s="1750"/>
      <c r="G4" s="1750"/>
      <c r="H4" s="1751"/>
    </row>
    <row r="5" spans="2:8">
      <c r="B5" s="1722"/>
      <c r="C5" s="1749"/>
      <c r="D5" s="1750"/>
      <c r="E5" s="1750"/>
      <c r="F5" s="1750"/>
      <c r="G5" s="1750"/>
      <c r="H5" s="1751"/>
    </row>
    <row r="6" spans="2:8" ht="38" customHeight="1" thickBot="1">
      <c r="B6" s="1723"/>
      <c r="C6" s="1752"/>
      <c r="D6" s="1753"/>
      <c r="E6" s="1753"/>
      <c r="F6" s="1753"/>
      <c r="G6" s="1753"/>
      <c r="H6" s="1754"/>
    </row>
    <row r="7" spans="2:8" ht="14.5" customHeight="1">
      <c r="B7" s="1724" t="s">
        <v>890</v>
      </c>
      <c r="C7" s="1725"/>
      <c r="D7" s="1726"/>
      <c r="E7" s="1726"/>
      <c r="F7" s="1733" t="s">
        <v>891</v>
      </c>
      <c r="G7" s="1735"/>
      <c r="H7" s="1736"/>
    </row>
    <row r="8" spans="2:8">
      <c r="B8" s="1727"/>
      <c r="C8" s="1728"/>
      <c r="D8" s="1729"/>
      <c r="E8" s="1729"/>
      <c r="F8" s="1734"/>
      <c r="G8" s="1737"/>
      <c r="H8" s="1738"/>
    </row>
    <row r="9" spans="2:8">
      <c r="B9" s="1727"/>
      <c r="C9" s="1728"/>
      <c r="D9" s="1729"/>
      <c r="E9" s="1729"/>
      <c r="F9" s="332" t="s">
        <v>892</v>
      </c>
      <c r="G9" s="1739"/>
      <c r="H9" s="1740"/>
    </row>
    <row r="10" spans="2:8">
      <c r="B10" s="1727"/>
      <c r="C10" s="1728"/>
      <c r="D10" s="1729"/>
      <c r="E10" s="1729"/>
      <c r="F10" s="332" t="s">
        <v>893</v>
      </c>
      <c r="G10" s="1739"/>
      <c r="H10" s="1740"/>
    </row>
    <row r="11" spans="2:8">
      <c r="B11" s="1727"/>
      <c r="C11" s="1728"/>
      <c r="D11" s="1729"/>
      <c r="E11" s="1729"/>
      <c r="F11" s="1734" t="s">
        <v>894</v>
      </c>
      <c r="G11" s="1742"/>
      <c r="H11" s="1743"/>
    </row>
    <row r="12" spans="2:8" ht="15" thickBot="1">
      <c r="B12" s="1730"/>
      <c r="C12" s="1731"/>
      <c r="D12" s="1732"/>
      <c r="E12" s="1732"/>
      <c r="F12" s="1741"/>
      <c r="G12" s="1744"/>
      <c r="H12" s="1745"/>
    </row>
    <row r="13" spans="2:8" ht="14.5" customHeight="1">
      <c r="B13" s="1755" t="str">
        <f>+PRESUPUESTO!A2</f>
        <v>OBJETO: MEJORAMIENTO Y ADECUACIÓN DE LAS VIAS URBANAS DEL MUNICIPIO DE SANTA FE DE ANTIOQUIA</v>
      </c>
      <c r="C13" s="1756"/>
      <c r="D13" s="1757"/>
      <c r="E13" s="1757"/>
      <c r="F13" s="1757"/>
      <c r="G13" s="1757"/>
      <c r="H13" s="1758"/>
    </row>
    <row r="14" spans="2:8" ht="15" thickBot="1">
      <c r="B14" s="1759"/>
      <c r="C14" s="1760"/>
      <c r="D14" s="1761"/>
      <c r="E14" s="1761"/>
      <c r="F14" s="1761"/>
      <c r="G14" s="1761"/>
      <c r="H14" s="1762"/>
    </row>
    <row r="15" spans="2:8" ht="15" customHeight="1" thickBot="1">
      <c r="B15" s="167" t="s">
        <v>1</v>
      </c>
      <c r="C15" s="393"/>
      <c r="D15" s="1763"/>
      <c r="E15" s="1763"/>
      <c r="F15" s="1763"/>
      <c r="G15" s="1763"/>
      <c r="H15" s="168" t="s">
        <v>193</v>
      </c>
    </row>
    <row r="16" spans="2:8" ht="64.5" customHeight="1" thickBot="1">
      <c r="B16" s="62" t="s">
        <v>218</v>
      </c>
      <c r="C16" s="1778" t="e">
        <f>+PRESUPUESTO!#REF!</f>
        <v>#REF!</v>
      </c>
      <c r="D16" s="1779"/>
      <c r="E16" s="1779"/>
      <c r="F16" s="1779"/>
      <c r="G16" s="1780"/>
      <c r="H16" s="169" t="e">
        <f>+PRESUPUESTO!#REF!</f>
        <v>#REF!</v>
      </c>
    </row>
    <row r="17" spans="2:8" ht="15" thickBot="1">
      <c r="B17" s="338" t="s">
        <v>896</v>
      </c>
      <c r="C17" s="338"/>
    </row>
    <row r="18" spans="2:8">
      <c r="B18" s="1781" t="s">
        <v>897</v>
      </c>
      <c r="C18" s="1782"/>
      <c r="D18" s="335" t="s">
        <v>319</v>
      </c>
      <c r="E18" s="335" t="s">
        <v>320</v>
      </c>
      <c r="F18" s="335" t="s">
        <v>898</v>
      </c>
      <c r="G18" s="337" t="s">
        <v>899</v>
      </c>
      <c r="H18" s="139"/>
    </row>
    <row r="19" spans="2:8">
      <c r="B19" s="1711" t="str">
        <f>+MATERIALES!B90</f>
        <v>Tubería PVC-Novafort Ø= 250 mm.</v>
      </c>
      <c r="C19" s="1712"/>
      <c r="D19" s="174" t="str">
        <f>+MATERIALES!C90</f>
        <v>m</v>
      </c>
      <c r="E19" s="175">
        <v>1.04</v>
      </c>
      <c r="F19" s="176">
        <f>+MATERIALES!D90</f>
        <v>100617.07409699853</v>
      </c>
      <c r="G19" s="215">
        <f>+((E19*F19))</f>
        <v>104641.75706087847</v>
      </c>
      <c r="H19" s="140"/>
    </row>
    <row r="20" spans="2:8">
      <c r="B20" s="1711" t="str">
        <f>+MATERIALES!B91</f>
        <v>Unión PVC-NOVAFORT Ø= 250 mm. - Pavco o equivalente.</v>
      </c>
      <c r="C20" s="1712"/>
      <c r="D20" s="174" t="str">
        <f>+MATERIALES!C91</f>
        <v>un</v>
      </c>
      <c r="E20" s="175">
        <v>0.16977999999999999</v>
      </c>
      <c r="F20" s="176">
        <f>+MATERIALES!D91</f>
        <v>65667</v>
      </c>
      <c r="G20" s="215">
        <f t="shared" ref="G20:G23" si="0">+ROUND((E20*F20),0)</f>
        <v>11149</v>
      </c>
      <c r="H20" s="140"/>
    </row>
    <row r="21" spans="2:8">
      <c r="B21" s="1711" t="str">
        <f>+MATERIALES!B92</f>
        <v>Hidrosello-Novafort Ø= 250 mm. - Pavco o equivalente.</v>
      </c>
      <c r="C21" s="1712"/>
      <c r="D21" s="174" t="str">
        <f>+MATERIALES!C92</f>
        <v>un</v>
      </c>
      <c r="E21" s="175">
        <v>0.17</v>
      </c>
      <c r="F21" s="176">
        <f>+MATERIALES!D92</f>
        <v>16000</v>
      </c>
      <c r="G21" s="215">
        <f t="shared" si="0"/>
        <v>2720</v>
      </c>
      <c r="H21" s="140"/>
    </row>
    <row r="22" spans="2:8">
      <c r="B22" s="1711" t="str">
        <f>+MATERIALES!B93</f>
        <v>Acondicionador de Superficie Novafort x 250cc. - Pavco o equivalente.</v>
      </c>
      <c r="C22" s="1712"/>
      <c r="D22" s="174" t="str">
        <f>+MATERIALES!C93</f>
        <v>un</v>
      </c>
      <c r="E22" s="175">
        <v>0.01</v>
      </c>
      <c r="F22" s="176">
        <f>+MATERIALES!D93</f>
        <v>126000</v>
      </c>
      <c r="G22" s="215">
        <f t="shared" si="0"/>
        <v>1260</v>
      </c>
      <c r="H22" s="140"/>
    </row>
    <row r="23" spans="2:8">
      <c r="B23" s="1711" t="str">
        <f>+MATERIALES!B94</f>
        <v>Adhesivo Novafort x 310 ml. - Pavco o equivalente.</v>
      </c>
      <c r="C23" s="1712"/>
      <c r="D23" s="174" t="str">
        <f>+MATERIALES!C94</f>
        <v>un</v>
      </c>
      <c r="E23" s="175">
        <v>0.06</v>
      </c>
      <c r="F23" s="176">
        <f>+MATERIALES!D94</f>
        <v>64000</v>
      </c>
      <c r="G23" s="215">
        <f t="shared" si="0"/>
        <v>3840</v>
      </c>
      <c r="H23" s="140"/>
    </row>
    <row r="24" spans="2:8" ht="15" thickBot="1">
      <c r="B24" s="183"/>
      <c r="C24" s="183"/>
      <c r="D24" s="301">
        <f>+H24/$H$40</f>
        <v>0.79927936242494246</v>
      </c>
      <c r="E24" s="185"/>
      <c r="F24" s="65"/>
      <c r="G24" s="212" t="s">
        <v>900</v>
      </c>
      <c r="H24" s="1401">
        <f>(SUM(G19:G23))</f>
        <v>123610.75706087847</v>
      </c>
    </row>
    <row r="25" spans="2:8" ht="15" thickBot="1">
      <c r="B25" s="183" t="s">
        <v>901</v>
      </c>
      <c r="C25" s="183"/>
    </row>
    <row r="26" spans="2:8">
      <c r="B26" s="1776" t="s">
        <v>897</v>
      </c>
      <c r="C26" s="1777"/>
      <c r="D26" s="335" t="s">
        <v>319</v>
      </c>
      <c r="E26" s="335" t="s">
        <v>320</v>
      </c>
      <c r="F26" s="335" t="s">
        <v>898</v>
      </c>
      <c r="G26" s="337" t="s">
        <v>899</v>
      </c>
      <c r="H26" s="143"/>
    </row>
    <row r="27" spans="2:8">
      <c r="B27" s="1783" t="s">
        <v>934</v>
      </c>
      <c r="C27" s="1784"/>
      <c r="D27" s="392" t="s">
        <v>916</v>
      </c>
      <c r="E27" s="392">
        <f>0.1</f>
        <v>0.1</v>
      </c>
      <c r="F27" s="408">
        <f>+'FP OPERATIVO'!F42+'FP OPERATIVO'!F39</f>
        <v>295642.2840888889</v>
      </c>
      <c r="G27" s="425">
        <f>+E27*F27</f>
        <v>29564.228408888892</v>
      </c>
      <c r="H27" s="162"/>
    </row>
    <row r="28" spans="2:8">
      <c r="B28" s="1715"/>
      <c r="C28" s="1716"/>
      <c r="D28" s="392"/>
      <c r="E28" s="392"/>
      <c r="F28" s="408"/>
      <c r="G28" s="425"/>
      <c r="H28" s="162"/>
    </row>
    <row r="29" spans="2:8" ht="15" thickBot="1">
      <c r="B29" s="1717"/>
      <c r="C29" s="1718"/>
      <c r="D29" s="179"/>
      <c r="E29" s="424"/>
      <c r="F29" s="181"/>
      <c r="G29" s="189"/>
      <c r="H29" s="144"/>
    </row>
    <row r="30" spans="2:8" ht="15" thickBot="1">
      <c r="B30" s="183"/>
      <c r="C30" s="183"/>
      <c r="D30" s="301">
        <f>+H30/$H$40</f>
        <v>0.19116374361410346</v>
      </c>
      <c r="E30" s="190"/>
      <c r="G30" s="186" t="s">
        <v>900</v>
      </c>
      <c r="H30" s="214">
        <f>+ROUND(SUM(G27:G29),0)</f>
        <v>29564</v>
      </c>
    </row>
    <row r="31" spans="2:8" ht="15" thickBot="1">
      <c r="B31" s="183" t="s">
        <v>920</v>
      </c>
      <c r="C31" s="183"/>
    </row>
    <row r="32" spans="2:8">
      <c r="B32" s="1776" t="s">
        <v>897</v>
      </c>
      <c r="C32" s="1777"/>
      <c r="D32" s="335" t="s">
        <v>319</v>
      </c>
      <c r="E32" s="335" t="s">
        <v>320</v>
      </c>
      <c r="F32" s="335" t="s">
        <v>898</v>
      </c>
      <c r="G32" s="337" t="s">
        <v>899</v>
      </c>
      <c r="H32" s="143"/>
    </row>
    <row r="33" spans="2:8" ht="15" thickBot="1">
      <c r="B33" s="1717" t="s">
        <v>905</v>
      </c>
      <c r="C33" s="1718"/>
      <c r="D33" s="179" t="s">
        <v>906</v>
      </c>
      <c r="E33" s="180">
        <v>0.05</v>
      </c>
      <c r="F33" s="192">
        <f>+H30</f>
        <v>29564</v>
      </c>
      <c r="G33" s="193">
        <f>+ROUND((E33*F33),0)</f>
        <v>1478</v>
      </c>
      <c r="H33" s="144"/>
    </row>
    <row r="34" spans="2:8" ht="15" thickBot="1">
      <c r="B34" s="183"/>
      <c r="C34" s="183"/>
      <c r="D34" s="301">
        <f>+H34/$H$40</f>
        <v>9.5568939609540285E-3</v>
      </c>
      <c r="E34" s="190"/>
      <c r="G34" s="212" t="s">
        <v>900</v>
      </c>
      <c r="H34" s="191">
        <f>+ROUND(SUM(G33:G33),0)</f>
        <v>1478</v>
      </c>
    </row>
    <row r="35" spans="2:8" ht="15" thickBot="1">
      <c r="B35" s="183" t="s">
        <v>922</v>
      </c>
      <c r="C35" s="183"/>
    </row>
    <row r="36" spans="2:8">
      <c r="B36" s="419" t="s">
        <v>897</v>
      </c>
      <c r="C36" s="335" t="s">
        <v>319</v>
      </c>
      <c r="D36" s="335" t="s">
        <v>320</v>
      </c>
      <c r="E36" s="335" t="s">
        <v>926</v>
      </c>
      <c r="F36" s="335" t="s">
        <v>898</v>
      </c>
      <c r="G36" s="337" t="s">
        <v>899</v>
      </c>
      <c r="H36" s="143"/>
    </row>
    <row r="37" spans="2:8">
      <c r="B37" s="426"/>
      <c r="C37" s="427"/>
      <c r="D37" s="427"/>
      <c r="E37" s="427"/>
      <c r="F37" s="428"/>
      <c r="G37" s="429"/>
      <c r="H37" s="162"/>
    </row>
    <row r="38" spans="2:8" ht="15" thickBot="1">
      <c r="D38" s="301">
        <f>+H38/$H$40</f>
        <v>0</v>
      </c>
      <c r="G38" s="212" t="s">
        <v>900</v>
      </c>
      <c r="H38" s="214">
        <f>+ROUND(SUM(G37:G37),0)</f>
        <v>0</v>
      </c>
    </row>
    <row r="39" spans="2:8" ht="15" thickBot="1">
      <c r="G39" s="186"/>
      <c r="H39" s="194"/>
    </row>
    <row r="40" spans="2:8" ht="15" thickBot="1">
      <c r="B40" s="195"/>
      <c r="C40" s="195"/>
      <c r="D40" s="196"/>
      <c r="E40" s="197" t="s">
        <v>908</v>
      </c>
      <c r="F40" s="198"/>
      <c r="G40" s="198"/>
      <c r="H40" s="1402">
        <f>(SUM(H18:H38))</f>
        <v>154652.75706087847</v>
      </c>
    </row>
    <row r="41" spans="2:8">
      <c r="B41" s="199"/>
      <c r="C41" s="199"/>
      <c r="D41" s="201"/>
      <c r="E41" s="253"/>
      <c r="F41" s="253"/>
      <c r="G41" s="253"/>
      <c r="H41" s="196"/>
    </row>
  </sheetData>
  <mergeCells count="24">
    <mergeCell ref="B2:B6"/>
    <mergeCell ref="C2:H6"/>
    <mergeCell ref="B7:E12"/>
    <mergeCell ref="F7:F8"/>
    <mergeCell ref="G7:H8"/>
    <mergeCell ref="G9:H9"/>
    <mergeCell ref="G10:H10"/>
    <mergeCell ref="F11:F12"/>
    <mergeCell ref="G11:H12"/>
    <mergeCell ref="B13:H14"/>
    <mergeCell ref="D15:G15"/>
    <mergeCell ref="C16:G16"/>
    <mergeCell ref="B18:C18"/>
    <mergeCell ref="B19:C19"/>
    <mergeCell ref="B33:C33"/>
    <mergeCell ref="B20:C20"/>
    <mergeCell ref="B21:C21"/>
    <mergeCell ref="B22:C22"/>
    <mergeCell ref="B26:C26"/>
    <mergeCell ref="B27:C27"/>
    <mergeCell ref="B28:C28"/>
    <mergeCell ref="B29:C29"/>
    <mergeCell ref="B32:C32"/>
    <mergeCell ref="B23:C23"/>
  </mergeCells>
  <pageMargins left="0.7" right="0.7" top="0.75" bottom="0.75" header="0.3" footer="0.3"/>
  <pageSetup scale="51" orientation="portrait" r:id="rId1"/>
  <rowBreaks count="1" manualBreakCount="1">
    <brk id="40" min="1" max="6" man="1"/>
  </rowBreaks>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6C8C77-54A3-4233-9299-67C4E13EBAA6}">
  <sheetPr>
    <tabColor theme="7" tint="0.79998168889431442"/>
  </sheetPr>
  <dimension ref="A1:E22"/>
  <sheetViews>
    <sheetView workbookViewId="0">
      <selection activeCell="D23" sqref="D23"/>
    </sheetView>
  </sheetViews>
  <sheetFormatPr baseColWidth="10" defaultColWidth="11.453125" defaultRowHeight="14.5"/>
  <cols>
    <col min="1" max="1" width="2.6328125" customWidth="1"/>
    <col min="2" max="2" width="61.6328125" customWidth="1"/>
    <col min="3" max="3" width="12.6328125" customWidth="1"/>
    <col min="4" max="4" width="15.6328125" customWidth="1"/>
    <col min="5" max="5" width="2.6328125" customWidth="1"/>
    <col min="6" max="6" width="11.81640625" bestFit="1" customWidth="1"/>
  </cols>
  <sheetData>
    <row r="1" spans="1:5" ht="15" thickBot="1">
      <c r="A1" s="411"/>
      <c r="B1" s="412"/>
      <c r="C1" s="413"/>
      <c r="D1" s="414"/>
      <c r="E1" s="411"/>
    </row>
    <row r="2" spans="1:5">
      <c r="A2" s="411"/>
      <c r="B2" s="1792" t="str">
        <f>+EQUIPOS!A1</f>
        <v>OBJETO: MEJORAMIENTO Y ADECUACIÓN DE LAS VIAS URBANAS DEL MUNICIPIO DE SANTA FE DE ANTIOQUIA</v>
      </c>
      <c r="C2" s="1793"/>
      <c r="D2" s="1794"/>
      <c r="E2" s="411"/>
    </row>
    <row r="3" spans="1:5">
      <c r="A3" s="411"/>
      <c r="B3" s="1795"/>
      <c r="C3" s="1796"/>
      <c r="D3" s="1797"/>
      <c r="E3" s="411"/>
    </row>
    <row r="4" spans="1:5">
      <c r="A4" s="411"/>
      <c r="B4" s="1811" t="s">
        <v>1151</v>
      </c>
      <c r="C4" s="1812"/>
      <c r="D4" s="1813"/>
      <c r="E4" s="411"/>
    </row>
    <row r="5" spans="1:5" ht="20" customHeight="1">
      <c r="A5" s="413"/>
      <c r="B5" s="433" t="s">
        <v>1152</v>
      </c>
      <c r="C5" s="432" t="s">
        <v>193</v>
      </c>
      <c r="D5" s="434" t="s">
        <v>1153</v>
      </c>
      <c r="E5" s="413"/>
    </row>
    <row r="6" spans="1:5">
      <c r="B6" s="10" t="s">
        <v>1154</v>
      </c>
      <c r="C6" s="7" t="s">
        <v>1155</v>
      </c>
      <c r="D6" s="260">
        <v>5000</v>
      </c>
    </row>
    <row r="7" spans="1:5">
      <c r="B7" s="10" t="s">
        <v>1156</v>
      </c>
      <c r="C7" s="7" t="s">
        <v>1155</v>
      </c>
      <c r="D7" s="260">
        <f>+D6</f>
        <v>5000</v>
      </c>
    </row>
    <row r="8" spans="1:5">
      <c r="B8" s="10" t="s">
        <v>1157</v>
      </c>
      <c r="C8" s="7" t="s">
        <v>1155</v>
      </c>
      <c r="D8" s="260">
        <f t="shared" ref="D8:D11" si="0">+D7</f>
        <v>5000</v>
      </c>
    </row>
    <row r="9" spans="1:5">
      <c r="B9" s="10" t="s">
        <v>1158</v>
      </c>
      <c r="C9" s="7" t="s">
        <v>1155</v>
      </c>
      <c r="D9" s="260">
        <f>+D8</f>
        <v>5000</v>
      </c>
    </row>
    <row r="10" spans="1:5">
      <c r="B10" s="10" t="s">
        <v>1159</v>
      </c>
      <c r="C10" s="7" t="s">
        <v>1155</v>
      </c>
      <c r="D10" s="260">
        <f t="shared" si="0"/>
        <v>5000</v>
      </c>
    </row>
    <row r="11" spans="1:5">
      <c r="B11" s="10" t="s">
        <v>1160</v>
      </c>
      <c r="C11" s="7" t="s">
        <v>1155</v>
      </c>
      <c r="D11" s="260">
        <f t="shared" si="0"/>
        <v>5000</v>
      </c>
    </row>
    <row r="12" spans="1:5">
      <c r="B12" s="10" t="s">
        <v>1161</v>
      </c>
      <c r="C12" s="7" t="s">
        <v>1162</v>
      </c>
      <c r="D12" s="260">
        <v>0.46</v>
      </c>
    </row>
    <row r="13" spans="1:5">
      <c r="B13" s="10" t="s">
        <v>1163</v>
      </c>
      <c r="C13" s="7" t="s">
        <v>1155</v>
      </c>
      <c r="D13" s="260">
        <f>+D11</f>
        <v>5000</v>
      </c>
    </row>
    <row r="14" spans="1:5">
      <c r="B14" s="10" t="s">
        <v>1164</v>
      </c>
      <c r="C14" s="7" t="s">
        <v>14</v>
      </c>
      <c r="D14" s="260">
        <v>6500</v>
      </c>
    </row>
    <row r="15" spans="1:5">
      <c r="B15" s="10" t="s">
        <v>1165</v>
      </c>
      <c r="C15" s="7" t="s">
        <v>1166</v>
      </c>
      <c r="D15" s="260">
        <v>60000</v>
      </c>
    </row>
    <row r="16" spans="1:5">
      <c r="B16" s="10" t="s">
        <v>1167</v>
      </c>
      <c r="C16" s="7" t="s">
        <v>1166</v>
      </c>
      <c r="D16" s="260">
        <v>180000</v>
      </c>
    </row>
    <row r="17" spans="2:4">
      <c r="B17" s="10" t="s">
        <v>1168</v>
      </c>
      <c r="C17" s="7" t="s">
        <v>1155</v>
      </c>
      <c r="D17" s="260">
        <f>+D22</f>
        <v>3300</v>
      </c>
    </row>
    <row r="18" spans="2:4">
      <c r="B18" s="10" t="s">
        <v>1169</v>
      </c>
      <c r="C18" s="7" t="s">
        <v>927</v>
      </c>
      <c r="D18" s="260">
        <v>8000000</v>
      </c>
    </row>
    <row r="19" spans="2:4">
      <c r="B19" s="10" t="s">
        <v>1170</v>
      </c>
      <c r="C19" s="7" t="s">
        <v>927</v>
      </c>
      <c r="D19" s="260">
        <v>3000000</v>
      </c>
    </row>
    <row r="20" spans="2:4">
      <c r="B20" s="10" t="s">
        <v>1171</v>
      </c>
      <c r="C20" s="7" t="s">
        <v>927</v>
      </c>
      <c r="D20" s="260">
        <v>1000000</v>
      </c>
    </row>
    <row r="21" spans="2:4">
      <c r="B21" s="10" t="s">
        <v>1172</v>
      </c>
      <c r="C21" s="7" t="s">
        <v>927</v>
      </c>
      <c r="D21" s="260">
        <v>1000000</v>
      </c>
    </row>
    <row r="22" spans="2:4" ht="15" thickBot="1">
      <c r="B22" s="273" t="s">
        <v>1173</v>
      </c>
      <c r="C22" s="11" t="s">
        <v>1155</v>
      </c>
      <c r="D22" s="261">
        <v>3300</v>
      </c>
    </row>
  </sheetData>
  <mergeCells count="2">
    <mergeCell ref="B2:D3"/>
    <mergeCell ref="B4:D4"/>
  </mergeCells>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67291F-D07F-4852-B27C-4A68025F1627}">
  <sheetPr>
    <tabColor theme="7" tint="0.79998168889431442"/>
  </sheetPr>
  <dimension ref="B1:L2421"/>
  <sheetViews>
    <sheetView zoomScale="70" zoomScaleNormal="70" workbookViewId="0">
      <selection activeCell="C40" sqref="C40:G44"/>
    </sheetView>
  </sheetViews>
  <sheetFormatPr baseColWidth="10" defaultColWidth="11.453125" defaultRowHeight="14.5"/>
  <cols>
    <col min="1" max="1" width="2.08984375" style="1" customWidth="1"/>
    <col min="2" max="2" width="46.81640625" style="151" customWidth="1"/>
    <col min="3" max="3" width="22.08984375" style="1" customWidth="1"/>
    <col min="4" max="4" width="20.81640625" style="1" customWidth="1"/>
    <col min="5" max="5" width="20.36328125" style="1" customWidth="1"/>
    <col min="6" max="6" width="23.36328125" style="1" customWidth="1"/>
    <col min="7" max="7" width="19.36328125" style="1" bestFit="1" customWidth="1"/>
    <col min="8" max="8" width="11.453125" style="1"/>
    <col min="9" max="10" width="15.6328125" style="1" bestFit="1" customWidth="1"/>
    <col min="11" max="11" width="16.6328125" style="1" bestFit="1" customWidth="1"/>
    <col min="12" max="16384" width="11.453125" style="1"/>
  </cols>
  <sheetData>
    <row r="1" spans="2:7" ht="15" thickBot="1">
      <c r="B1" s="2078" t="s">
        <v>1174</v>
      </c>
      <c r="C1" s="2079"/>
      <c r="D1" s="2079"/>
      <c r="E1" s="2079"/>
      <c r="F1" s="2079"/>
      <c r="G1" s="2080"/>
    </row>
    <row r="2" spans="2:7" ht="14.5" customHeight="1">
      <c r="B2" s="1721"/>
      <c r="C2" s="1770" t="s">
        <v>1175</v>
      </c>
      <c r="D2" s="1770"/>
      <c r="E2" s="1770"/>
      <c r="F2" s="1770"/>
      <c r="G2" s="1771"/>
    </row>
    <row r="3" spans="2:7">
      <c r="B3" s="1722"/>
      <c r="C3" s="1772"/>
      <c r="D3" s="1772"/>
      <c r="E3" s="1772"/>
      <c r="F3" s="1772"/>
      <c r="G3" s="1773"/>
    </row>
    <row r="4" spans="2:7" ht="23" customHeight="1">
      <c r="B4" s="1722"/>
      <c r="C4" s="1772"/>
      <c r="D4" s="1772"/>
      <c r="E4" s="1772"/>
      <c r="F4" s="1772"/>
      <c r="G4" s="1773"/>
    </row>
    <row r="5" spans="2:7">
      <c r="B5" s="1722"/>
      <c r="C5" s="1772"/>
      <c r="D5" s="1772"/>
      <c r="E5" s="1772"/>
      <c r="F5" s="1772"/>
      <c r="G5" s="1773"/>
    </row>
    <row r="6" spans="2:7" ht="38" customHeight="1" thickBot="1">
      <c r="B6" s="1723"/>
      <c r="C6" s="1774"/>
      <c r="D6" s="1774"/>
      <c r="E6" s="1774"/>
      <c r="F6" s="1774"/>
      <c r="G6" s="1775"/>
    </row>
    <row r="7" spans="2:7" ht="14.5" customHeight="1">
      <c r="B7" s="1724" t="s">
        <v>890</v>
      </c>
      <c r="C7" s="1726"/>
      <c r="D7" s="1726"/>
      <c r="E7" s="1733" t="s">
        <v>891</v>
      </c>
      <c r="F7" s="1735"/>
      <c r="G7" s="1736"/>
    </row>
    <row r="8" spans="2:7">
      <c r="B8" s="1727"/>
      <c r="C8" s="1729"/>
      <c r="D8" s="1729"/>
      <c r="E8" s="1734"/>
      <c r="F8" s="1737"/>
      <c r="G8" s="1738"/>
    </row>
    <row r="9" spans="2:7">
      <c r="B9" s="1727"/>
      <c r="C9" s="1729"/>
      <c r="D9" s="1729"/>
      <c r="E9" s="332" t="s">
        <v>892</v>
      </c>
      <c r="F9" s="1739"/>
      <c r="G9" s="1740"/>
    </row>
    <row r="10" spans="2:7">
      <c r="B10" s="1727"/>
      <c r="C10" s="1729"/>
      <c r="D10" s="1729"/>
      <c r="E10" s="332" t="s">
        <v>893</v>
      </c>
      <c r="F10" s="1739"/>
      <c r="G10" s="1740"/>
    </row>
    <row r="11" spans="2:7">
      <c r="B11" s="1727"/>
      <c r="C11" s="1729"/>
      <c r="D11" s="1729"/>
      <c r="E11" s="1734" t="s">
        <v>894</v>
      </c>
      <c r="F11" s="1742"/>
      <c r="G11" s="1743"/>
    </row>
    <row r="12" spans="2:7" ht="15" thickBot="1">
      <c r="B12" s="1730"/>
      <c r="C12" s="1732"/>
      <c r="D12" s="1732"/>
      <c r="E12" s="1741"/>
      <c r="F12" s="1744"/>
      <c r="G12" s="1745"/>
    </row>
    <row r="13" spans="2:7" ht="14.5" customHeight="1">
      <c r="B13" s="1755" t="str">
        <f>+PRESUPUESTO!$A$2</f>
        <v>OBJETO: MEJORAMIENTO Y ADECUACIÓN DE LAS VIAS URBANAS DEL MUNICIPIO DE SANTA FE DE ANTIOQUIA</v>
      </c>
      <c r="C13" s="1757"/>
      <c r="D13" s="1757"/>
      <c r="E13" s="1757"/>
      <c r="F13" s="1757"/>
      <c r="G13" s="1758"/>
    </row>
    <row r="14" spans="2:7" ht="15" thickBot="1">
      <c r="B14" s="1759"/>
      <c r="C14" s="1761"/>
      <c r="D14" s="1761"/>
      <c r="E14" s="1761"/>
      <c r="F14" s="1761"/>
      <c r="G14" s="1762"/>
    </row>
    <row r="15" spans="2:7" ht="15" customHeight="1" thickBot="1">
      <c r="B15" s="167" t="s">
        <v>1</v>
      </c>
      <c r="C15" s="1763"/>
      <c r="D15" s="1763"/>
      <c r="E15" s="1763"/>
      <c r="F15" s="1763"/>
      <c r="G15" s="168" t="s">
        <v>193</v>
      </c>
    </row>
    <row r="16" spans="2:7" ht="78.5" customHeight="1" thickBot="1">
      <c r="B16" s="62" t="s">
        <v>1176</v>
      </c>
      <c r="C16" s="1765" t="str">
        <f>+P!$B$4</f>
        <v>Instalación de CERRAMIENTO PROVISIONAL en tela naranja con una altura de 2,1 m, y estructura en larguero común, concreto de 17.5 Mpa para fijación de estructura en madera común. Incluye suministro, transporte, instalación y desmonte de la tela, excavación manual en cualquier material, cargue, transporte y botada de material y todos los demás elementos necesarios para su correcta instalación.</v>
      </c>
      <c r="D16" s="1765"/>
      <c r="E16" s="1765"/>
      <c r="F16" s="1765"/>
      <c r="G16" s="169" t="str">
        <f>+P!$C$4</f>
        <v>m</v>
      </c>
    </row>
    <row r="17" spans="2:7" ht="15" thickBot="1">
      <c r="B17" s="338" t="s">
        <v>896</v>
      </c>
    </row>
    <row r="18" spans="2:7" ht="36" customHeight="1">
      <c r="B18" s="170" t="s">
        <v>897</v>
      </c>
      <c r="C18" s="335" t="s">
        <v>319</v>
      </c>
      <c r="D18" s="335" t="s">
        <v>320</v>
      </c>
      <c r="E18" s="335" t="s">
        <v>898</v>
      </c>
      <c r="F18" s="336" t="s">
        <v>899</v>
      </c>
      <c r="G18" s="139"/>
    </row>
    <row r="19" spans="2:7" ht="32" customHeight="1">
      <c r="B19" s="173" t="s">
        <v>910</v>
      </c>
      <c r="C19" s="174" t="s">
        <v>10</v>
      </c>
      <c r="D19" s="175">
        <v>1</v>
      </c>
      <c r="E19" s="176">
        <f>+MATERIALES!D19</f>
        <v>4598</v>
      </c>
      <c r="F19" s="177">
        <f>+ROUND((D19*E19),0)</f>
        <v>4598</v>
      </c>
      <c r="G19" s="140"/>
    </row>
    <row r="20" spans="2:7" ht="32" customHeight="1">
      <c r="B20" s="173" t="s">
        <v>911</v>
      </c>
      <c r="C20" s="174" t="s">
        <v>23</v>
      </c>
      <c r="D20" s="175">
        <v>1</v>
      </c>
      <c r="E20" s="176">
        <f>+MATERIALES!D22</f>
        <v>8800</v>
      </c>
      <c r="F20" s="177">
        <f>+ROUND((D20*E20),0)</f>
        <v>8800</v>
      </c>
      <c r="G20" s="140"/>
    </row>
    <row r="21" spans="2:7" ht="32" customHeight="1">
      <c r="B21" s="173" t="s">
        <v>912</v>
      </c>
      <c r="C21" s="174" t="s">
        <v>913</v>
      </c>
      <c r="D21" s="175">
        <v>0.01</v>
      </c>
      <c r="E21" s="176">
        <f>+MATERIALES!D23</f>
        <v>5500</v>
      </c>
      <c r="F21" s="177">
        <f>+ROUND((D21*E21),0)</f>
        <v>55</v>
      </c>
      <c r="G21" s="140"/>
    </row>
    <row r="22" spans="2:7" ht="32" customHeight="1" thickBot="1">
      <c r="B22" s="178" t="s">
        <v>914</v>
      </c>
      <c r="C22" s="179" t="s">
        <v>14</v>
      </c>
      <c r="D22" s="180">
        <v>1.6410000000000001E-2</v>
      </c>
      <c r="E22" s="181">
        <f>+'CONCRETOS Y MORTERO'!G92</f>
        <v>525244</v>
      </c>
      <c r="F22" s="182">
        <f>+ROUND((D22*E22),0)</f>
        <v>8619</v>
      </c>
      <c r="G22" s="141"/>
    </row>
    <row r="23" spans="2:7" ht="15" thickBot="1">
      <c r="B23" s="183"/>
      <c r="C23" s="301" t="e">
        <f>+G23/$G$37</f>
        <v>#REF!</v>
      </c>
      <c r="D23" s="185"/>
      <c r="E23" s="65"/>
      <c r="F23" s="212" t="s">
        <v>900</v>
      </c>
      <c r="G23" s="339">
        <f>+ROUND(SUM(F19:F22),0)</f>
        <v>22072</v>
      </c>
    </row>
    <row r="24" spans="2:7" ht="15" thickBot="1">
      <c r="B24" s="183" t="s">
        <v>901</v>
      </c>
    </row>
    <row r="25" spans="2:7">
      <c r="B25" s="170" t="s">
        <v>897</v>
      </c>
      <c r="C25" s="335" t="s">
        <v>319</v>
      </c>
      <c r="D25" s="335" t="s">
        <v>320</v>
      </c>
      <c r="E25" s="335" t="s">
        <v>898</v>
      </c>
      <c r="F25" s="336" t="s">
        <v>899</v>
      </c>
      <c r="G25" s="139"/>
    </row>
    <row r="26" spans="2:7" ht="15" thickBot="1">
      <c r="B26" s="178" t="s">
        <v>915</v>
      </c>
      <c r="C26" s="179" t="s">
        <v>916</v>
      </c>
      <c r="D26" s="180">
        <v>0.02</v>
      </c>
      <c r="E26" s="181">
        <f>+'FP OPERATIVO'!F36</f>
        <v>302186.41694755561</v>
      </c>
      <c r="F26" s="182">
        <f>+ROUND((D26*E26),0)</f>
        <v>6044</v>
      </c>
      <c r="G26" s="142"/>
    </row>
    <row r="27" spans="2:7" ht="15" thickBot="1">
      <c r="B27" s="183"/>
      <c r="C27" s="301" t="e">
        <f>+G27/$G$37</f>
        <v>#REF!</v>
      </c>
      <c r="D27" s="190"/>
      <c r="F27" s="186" t="s">
        <v>900</v>
      </c>
      <c r="G27" s="214">
        <f>+ROUND(SUM(F26),0)</f>
        <v>6044</v>
      </c>
    </row>
    <row r="28" spans="2:7" ht="15" thickBot="1">
      <c r="B28" s="183" t="s">
        <v>917</v>
      </c>
    </row>
    <row r="29" spans="2:7">
      <c r="B29" s="170" t="s">
        <v>897</v>
      </c>
      <c r="C29" s="335" t="s">
        <v>319</v>
      </c>
      <c r="D29" s="335" t="s">
        <v>320</v>
      </c>
      <c r="E29" s="335" t="s">
        <v>898</v>
      </c>
      <c r="F29" s="337" t="s">
        <v>899</v>
      </c>
      <c r="G29" s="143"/>
    </row>
    <row r="30" spans="2:7" ht="15" thickBot="1">
      <c r="B30" s="178" t="s">
        <v>905</v>
      </c>
      <c r="C30" s="179" t="s">
        <v>906</v>
      </c>
      <c r="D30" s="180">
        <v>0.05</v>
      </c>
      <c r="E30" s="192">
        <f>+G27</f>
        <v>6044</v>
      </c>
      <c r="F30" s="193">
        <f>+ROUND((D30*E30),0)</f>
        <v>302</v>
      </c>
      <c r="G30" s="144"/>
    </row>
    <row r="31" spans="2:7" ht="15" thickBot="1">
      <c r="B31" s="183"/>
      <c r="C31" s="301" t="e">
        <f>+G31/$G$37</f>
        <v>#REF!</v>
      </c>
      <c r="D31" s="190"/>
      <c r="F31" s="212" t="s">
        <v>900</v>
      </c>
      <c r="G31" s="191">
        <f>+ROUND(SUM(F30),0)</f>
        <v>302</v>
      </c>
    </row>
    <row r="32" spans="2:7" ht="15" thickBot="1">
      <c r="B32" s="183" t="s">
        <v>907</v>
      </c>
    </row>
    <row r="33" spans="2:7">
      <c r="B33" s="170" t="s">
        <v>897</v>
      </c>
      <c r="C33" s="335" t="s">
        <v>319</v>
      </c>
      <c r="D33" s="335" t="s">
        <v>320</v>
      </c>
      <c r="E33" s="335" t="s">
        <v>898</v>
      </c>
      <c r="F33" s="337" t="s">
        <v>899</v>
      </c>
      <c r="G33" s="139"/>
    </row>
    <row r="34" spans="2:7" ht="102" thickBot="1">
      <c r="B34" s="178" t="s">
        <v>918</v>
      </c>
      <c r="C34" s="179" t="s">
        <v>14</v>
      </c>
      <c r="D34" s="180">
        <v>2.0310000000000002E-2</v>
      </c>
      <c r="E34" s="192" t="e">
        <f>+P!E6</f>
        <v>#REF!</v>
      </c>
      <c r="F34" s="193" t="e">
        <f>+ROUND((D34*E34),0)</f>
        <v>#REF!</v>
      </c>
      <c r="G34" s="142"/>
    </row>
    <row r="35" spans="2:7" ht="15" thickBot="1">
      <c r="C35" s="301" t="e">
        <f>+G35/$G$37</f>
        <v>#REF!</v>
      </c>
      <c r="F35" s="212" t="s">
        <v>900</v>
      </c>
      <c r="G35" s="214" t="e">
        <f>+ROUND(SUM(F34),0)</f>
        <v>#REF!</v>
      </c>
    </row>
    <row r="36" spans="2:7" ht="15" thickBot="1">
      <c r="F36" s="186"/>
      <c r="G36" s="194"/>
    </row>
    <row r="37" spans="2:7" ht="15" thickBot="1">
      <c r="B37" s="195"/>
      <c r="C37" s="196"/>
      <c r="D37" s="197" t="s">
        <v>908</v>
      </c>
      <c r="E37" s="198"/>
      <c r="F37" s="198"/>
      <c r="G37" s="153" t="e">
        <f>ROUNDUP(SUM(G18:G35),0)</f>
        <v>#REF!</v>
      </c>
    </row>
    <row r="38" spans="2:7">
      <c r="B38" s="199"/>
      <c r="C38" s="201"/>
      <c r="D38" s="253"/>
      <c r="E38" s="253"/>
      <c r="F38" s="253"/>
      <c r="G38" s="196"/>
    </row>
    <row r="39" spans="2:7" ht="15" thickBot="1">
      <c r="B39" s="2075" t="s">
        <v>1177</v>
      </c>
      <c r="C39" s="2076"/>
      <c r="D39" s="2076"/>
      <c r="E39" s="2076"/>
      <c r="F39" s="2076"/>
      <c r="G39" s="2077"/>
    </row>
    <row r="40" spans="2:7" ht="25.25" customHeight="1">
      <c r="B40" s="1721"/>
      <c r="C40" s="1770" t="s">
        <v>1175</v>
      </c>
      <c r="D40" s="1770"/>
      <c r="E40" s="1770"/>
      <c r="F40" s="1770"/>
      <c r="G40" s="1771"/>
    </row>
    <row r="41" spans="2:7" ht="25.25" customHeight="1">
      <c r="B41" s="1722"/>
      <c r="C41" s="1772"/>
      <c r="D41" s="1772"/>
      <c r="E41" s="1772"/>
      <c r="F41" s="1772"/>
      <c r="G41" s="1773"/>
    </row>
    <row r="42" spans="2:7" ht="25.25" customHeight="1">
      <c r="B42" s="1722"/>
      <c r="C42" s="1772"/>
      <c r="D42" s="1772"/>
      <c r="E42" s="1772"/>
      <c r="F42" s="1772"/>
      <c r="G42" s="1773"/>
    </row>
    <row r="43" spans="2:7" ht="25.25" customHeight="1">
      <c r="B43" s="1722"/>
      <c r="C43" s="1772"/>
      <c r="D43" s="1772"/>
      <c r="E43" s="1772"/>
      <c r="F43" s="1772"/>
      <c r="G43" s="1773"/>
    </row>
    <row r="44" spans="2:7" ht="25.25" customHeight="1" thickBot="1">
      <c r="B44" s="1723"/>
      <c r="C44" s="1774"/>
      <c r="D44" s="1774"/>
      <c r="E44" s="1774"/>
      <c r="F44" s="1774"/>
      <c r="G44" s="1775"/>
    </row>
    <row r="45" spans="2:7">
      <c r="B45" s="1724" t="s">
        <v>890</v>
      </c>
      <c r="C45" s="1726"/>
      <c r="D45" s="1726"/>
      <c r="E45" s="1733" t="s">
        <v>891</v>
      </c>
      <c r="F45" s="1735"/>
      <c r="G45" s="1736"/>
    </row>
    <row r="46" spans="2:7">
      <c r="B46" s="1727"/>
      <c r="C46" s="1729"/>
      <c r="D46" s="1729"/>
      <c r="E46" s="1734"/>
      <c r="F46" s="1737"/>
      <c r="G46" s="1738"/>
    </row>
    <row r="47" spans="2:7">
      <c r="B47" s="1727"/>
      <c r="C47" s="1729"/>
      <c r="D47" s="1729"/>
      <c r="E47" s="332" t="s">
        <v>892</v>
      </c>
      <c r="F47" s="1739"/>
      <c r="G47" s="1740"/>
    </row>
    <row r="48" spans="2:7">
      <c r="B48" s="1727"/>
      <c r="C48" s="1729"/>
      <c r="D48" s="1729"/>
      <c r="E48" s="332" t="s">
        <v>893</v>
      </c>
      <c r="F48" s="1739"/>
      <c r="G48" s="1740"/>
    </row>
    <row r="49" spans="2:7">
      <c r="B49" s="1727"/>
      <c r="C49" s="1729"/>
      <c r="D49" s="1729"/>
      <c r="E49" s="1734" t="s">
        <v>894</v>
      </c>
      <c r="F49" s="1742"/>
      <c r="G49" s="1743"/>
    </row>
    <row r="50" spans="2:7" ht="15" thickBot="1">
      <c r="B50" s="1730"/>
      <c r="C50" s="1732"/>
      <c r="D50" s="1732"/>
      <c r="E50" s="1741"/>
      <c r="F50" s="1744"/>
      <c r="G50" s="1745"/>
    </row>
    <row r="51" spans="2:7">
      <c r="B51" s="1755" t="str">
        <f>+PRESUPUESTO!$A$2</f>
        <v>OBJETO: MEJORAMIENTO Y ADECUACIÓN DE LAS VIAS URBANAS DEL MUNICIPIO DE SANTA FE DE ANTIOQUIA</v>
      </c>
      <c r="C51" s="1757"/>
      <c r="D51" s="1757"/>
      <c r="E51" s="1757"/>
      <c r="F51" s="1757"/>
      <c r="G51" s="1758"/>
    </row>
    <row r="52" spans="2:7" ht="15" thickBot="1">
      <c r="B52" s="1759"/>
      <c r="C52" s="1761"/>
      <c r="D52" s="1761"/>
      <c r="E52" s="1761"/>
      <c r="F52" s="1761"/>
      <c r="G52" s="1762"/>
    </row>
    <row r="53" spans="2:7" ht="15" thickBot="1">
      <c r="B53" s="333" t="s">
        <v>1</v>
      </c>
      <c r="C53" s="2069"/>
      <c r="D53" s="2070"/>
      <c r="E53" s="2070"/>
      <c r="F53" s="2071"/>
      <c r="G53" s="334" t="s">
        <v>193</v>
      </c>
    </row>
    <row r="54" spans="2:7" ht="81" customHeight="1" thickBot="1">
      <c r="B54" s="331" t="str">
        <f>+P!A6</f>
        <v>2.1</v>
      </c>
      <c r="C54" s="2072" t="str">
        <f>+P!$B$6</f>
        <v>EXCAVACIÓN MANUAL de material heterogéneo DE 0-2 m., bajo cualquier grado de humedad. Incluye: roca descompuesta, bolas de roca de volumen inferior a 0.35 m³. el cargue, transporte interno del material proveniente de las excavaciones en los sitios donde lo indique la interventoría y su medida será en el sitio. No incluye entibado.</v>
      </c>
      <c r="D54" s="2073"/>
      <c r="E54" s="2073"/>
      <c r="F54" s="2074"/>
      <c r="G54" s="265" t="str">
        <f>+P!$C$6</f>
        <v>m3</v>
      </c>
    </row>
    <row r="55" spans="2:7" ht="15" thickBot="1">
      <c r="B55" s="216" t="s">
        <v>1178</v>
      </c>
    </row>
    <row r="56" spans="2:7">
      <c r="B56" s="170" t="s">
        <v>897</v>
      </c>
      <c r="C56" s="171" t="s">
        <v>319</v>
      </c>
      <c r="D56" s="171" t="s">
        <v>320</v>
      </c>
      <c r="E56" s="171" t="s">
        <v>898</v>
      </c>
      <c r="F56" s="172" t="s">
        <v>899</v>
      </c>
      <c r="G56" s="139"/>
    </row>
    <row r="57" spans="2:7" ht="15" thickBot="1">
      <c r="B57" s="218" t="s">
        <v>1179</v>
      </c>
      <c r="C57" s="202" t="s">
        <v>916</v>
      </c>
      <c r="D57" s="203">
        <v>0.16667000000000001</v>
      </c>
      <c r="E57" s="204">
        <f>+'FP OPERATIVO'!F39</f>
        <v>104704.08071111111</v>
      </c>
      <c r="F57" s="206">
        <f>+ROUND((D57*E57),0)</f>
        <v>17451</v>
      </c>
      <c r="G57" s="142"/>
    </row>
    <row r="58" spans="2:7" ht="15" thickBot="1">
      <c r="B58" s="212"/>
      <c r="C58" s="266" t="e">
        <f>+G58/$G$72</f>
        <v>#REF!</v>
      </c>
      <c r="D58" s="190"/>
      <c r="F58" s="212" t="s">
        <v>900</v>
      </c>
      <c r="G58" s="149">
        <f>+SUM(F57)</f>
        <v>17451</v>
      </c>
    </row>
    <row r="59" spans="2:7" ht="15" thickBot="1">
      <c r="B59" s="216" t="s">
        <v>1180</v>
      </c>
    </row>
    <row r="60" spans="2:7">
      <c r="B60" s="170" t="s">
        <v>897</v>
      </c>
      <c r="C60" s="171" t="s">
        <v>319</v>
      </c>
      <c r="D60" s="171" t="s">
        <v>320</v>
      </c>
      <c r="E60" s="171" t="s">
        <v>898</v>
      </c>
      <c r="F60" s="172" t="s">
        <v>899</v>
      </c>
      <c r="G60" s="139"/>
    </row>
    <row r="61" spans="2:7" ht="15" thickBot="1">
      <c r="B61" s="218" t="s">
        <v>905</v>
      </c>
      <c r="C61" s="202" t="s">
        <v>906</v>
      </c>
      <c r="D61" s="203">
        <v>0.05</v>
      </c>
      <c r="E61" s="204">
        <f>+G58</f>
        <v>17451</v>
      </c>
      <c r="F61" s="206">
        <f>+ROUND((D61*E61),0)</f>
        <v>873</v>
      </c>
      <c r="G61" s="142"/>
    </row>
    <row r="62" spans="2:7" ht="15" thickBot="1">
      <c r="B62" s="212"/>
      <c r="C62" s="266" t="e">
        <f>+G62/$G$72</f>
        <v>#REF!</v>
      </c>
      <c r="D62" s="190"/>
      <c r="F62" s="212" t="s">
        <v>900</v>
      </c>
      <c r="G62" s="149">
        <f>+SUM(F61)</f>
        <v>873</v>
      </c>
    </row>
    <row r="63" spans="2:7" ht="15" thickBot="1">
      <c r="B63" s="216" t="s">
        <v>1181</v>
      </c>
    </row>
    <row r="64" spans="2:7">
      <c r="B64" s="170" t="s">
        <v>897</v>
      </c>
      <c r="C64" s="171" t="s">
        <v>319</v>
      </c>
      <c r="D64" s="171" t="s">
        <v>320</v>
      </c>
      <c r="E64" s="171" t="s">
        <v>898</v>
      </c>
      <c r="F64" s="172" t="s">
        <v>899</v>
      </c>
      <c r="G64" s="139"/>
    </row>
    <row r="65" spans="2:7" ht="44" thickBot="1">
      <c r="B65" s="218" t="s">
        <v>1143</v>
      </c>
      <c r="C65" s="202" t="s">
        <v>198</v>
      </c>
      <c r="D65" s="203">
        <v>2.8570000000000002E-2</v>
      </c>
      <c r="E65" s="204">
        <f>+EQUIPOS!C47</f>
        <v>78950</v>
      </c>
      <c r="F65" s="206">
        <f>+ROUND((D65*E65),0)</f>
        <v>2256</v>
      </c>
      <c r="G65" s="142"/>
    </row>
    <row r="66" spans="2:7" ht="15" thickBot="1">
      <c r="B66" s="212"/>
      <c r="C66" s="266" t="e">
        <f>+G66/$G$72</f>
        <v>#REF!</v>
      </c>
      <c r="D66" s="190"/>
      <c r="F66" s="212" t="s">
        <v>900</v>
      </c>
      <c r="G66" s="149">
        <f>+SUM(F65)</f>
        <v>2256</v>
      </c>
    </row>
    <row r="67" spans="2:7" ht="15" thickBot="1">
      <c r="B67" s="216" t="s">
        <v>1182</v>
      </c>
    </row>
    <row r="68" spans="2:7">
      <c r="B68" s="170" t="s">
        <v>897</v>
      </c>
      <c r="C68" s="171" t="s">
        <v>319</v>
      </c>
      <c r="D68" s="171" t="s">
        <v>320</v>
      </c>
      <c r="E68" s="171" t="s">
        <v>898</v>
      </c>
      <c r="F68" s="172" t="s">
        <v>899</v>
      </c>
      <c r="G68" s="139"/>
    </row>
    <row r="69" spans="2:7" ht="29.5" thickBot="1">
      <c r="B69" s="218" t="s">
        <v>1183</v>
      </c>
      <c r="C69" s="202" t="s">
        <v>14</v>
      </c>
      <c r="D69" s="203">
        <v>1.3</v>
      </c>
      <c r="E69" s="204" t="e">
        <f>+P!E13</f>
        <v>#REF!</v>
      </c>
      <c r="F69" s="206" t="e">
        <f>+ROUND((D69*E69),0)</f>
        <v>#REF!</v>
      </c>
      <c r="G69" s="142"/>
    </row>
    <row r="70" spans="2:7" ht="15" thickBot="1">
      <c r="B70" s="212"/>
      <c r="C70" s="266" t="e">
        <f>+G70/$G$72</f>
        <v>#REF!</v>
      </c>
      <c r="D70" s="190"/>
      <c r="F70" s="212" t="s">
        <v>900</v>
      </c>
      <c r="G70" s="149" t="e">
        <f>+SUM(F69)</f>
        <v>#REF!</v>
      </c>
    </row>
    <row r="71" spans="2:7" ht="15" thickBot="1">
      <c r="B71" s="1"/>
    </row>
    <row r="72" spans="2:7" ht="15" thickBot="1">
      <c r="B72" s="195"/>
      <c r="C72" s="196"/>
      <c r="D72" s="197" t="s">
        <v>908</v>
      </c>
      <c r="E72" s="198"/>
      <c r="F72" s="198"/>
      <c r="G72" s="153" t="e">
        <f>ROUNDUP(SUM(G56:G70),0)</f>
        <v>#REF!</v>
      </c>
    </row>
    <row r="73" spans="2:7" ht="15" thickBot="1">
      <c r="B73" s="199"/>
      <c r="C73" s="201"/>
      <c r="D73" s="253"/>
      <c r="E73" s="253"/>
      <c r="F73" s="253"/>
      <c r="G73" s="196"/>
    </row>
    <row r="74" spans="2:7" ht="21.5" customHeight="1">
      <c r="B74" s="1721"/>
      <c r="C74" s="1770" t="s">
        <v>1175</v>
      </c>
      <c r="D74" s="1770"/>
      <c r="E74" s="1770"/>
      <c r="F74" s="1770"/>
      <c r="G74" s="1771"/>
    </row>
    <row r="75" spans="2:7" ht="21.5" customHeight="1">
      <c r="B75" s="1722"/>
      <c r="C75" s="1772"/>
      <c r="D75" s="1772"/>
      <c r="E75" s="1772"/>
      <c r="F75" s="1772"/>
      <c r="G75" s="1773"/>
    </row>
    <row r="76" spans="2:7" ht="21.5" customHeight="1">
      <c r="B76" s="1722"/>
      <c r="C76" s="1772"/>
      <c r="D76" s="1772"/>
      <c r="E76" s="1772"/>
      <c r="F76" s="1772"/>
      <c r="G76" s="1773"/>
    </row>
    <row r="77" spans="2:7" ht="21.5" customHeight="1">
      <c r="B77" s="1722"/>
      <c r="C77" s="1772"/>
      <c r="D77" s="1772"/>
      <c r="E77" s="1772"/>
      <c r="F77" s="1772"/>
      <c r="G77" s="1773"/>
    </row>
    <row r="78" spans="2:7" ht="21.5" customHeight="1" thickBot="1">
      <c r="B78" s="1723"/>
      <c r="C78" s="1774"/>
      <c r="D78" s="1774"/>
      <c r="E78" s="1774"/>
      <c r="F78" s="1774"/>
      <c r="G78" s="1775"/>
    </row>
    <row r="79" spans="2:7">
      <c r="B79" s="1724" t="s">
        <v>890</v>
      </c>
      <c r="C79" s="1726"/>
      <c r="D79" s="1726"/>
      <c r="E79" s="1733" t="s">
        <v>891</v>
      </c>
      <c r="F79" s="1735"/>
      <c r="G79" s="1736"/>
    </row>
    <row r="80" spans="2:7">
      <c r="B80" s="1727"/>
      <c r="C80" s="1729"/>
      <c r="D80" s="1729"/>
      <c r="E80" s="1734"/>
      <c r="F80" s="1737"/>
      <c r="G80" s="1738"/>
    </row>
    <row r="81" spans="2:7">
      <c r="B81" s="1727"/>
      <c r="C81" s="1729"/>
      <c r="D81" s="1729"/>
      <c r="E81" s="332" t="s">
        <v>892</v>
      </c>
      <c r="F81" s="1739"/>
      <c r="G81" s="1740"/>
    </row>
    <row r="82" spans="2:7">
      <c r="B82" s="1727"/>
      <c r="C82" s="1729"/>
      <c r="D82" s="1729"/>
      <c r="E82" s="332" t="s">
        <v>893</v>
      </c>
      <c r="F82" s="1739"/>
      <c r="G82" s="1740"/>
    </row>
    <row r="83" spans="2:7">
      <c r="B83" s="1727"/>
      <c r="C83" s="1729"/>
      <c r="D83" s="1729"/>
      <c r="E83" s="1734" t="s">
        <v>894</v>
      </c>
      <c r="F83" s="1742"/>
      <c r="G83" s="1743"/>
    </row>
    <row r="84" spans="2:7" ht="15" thickBot="1">
      <c r="B84" s="1730"/>
      <c r="C84" s="1732"/>
      <c r="D84" s="1732"/>
      <c r="E84" s="1741"/>
      <c r="F84" s="1744"/>
      <c r="G84" s="1745"/>
    </row>
    <row r="85" spans="2:7">
      <c r="B85" s="1755" t="str">
        <f>+PRESUPUESTO!$A$2</f>
        <v>OBJETO: MEJORAMIENTO Y ADECUACIÓN DE LAS VIAS URBANAS DEL MUNICIPIO DE SANTA FE DE ANTIOQUIA</v>
      </c>
      <c r="C85" s="1757"/>
      <c r="D85" s="1757"/>
      <c r="E85" s="1757"/>
      <c r="F85" s="1757"/>
      <c r="G85" s="1758"/>
    </row>
    <row r="86" spans="2:7" ht="15" thickBot="1">
      <c r="B86" s="1759"/>
      <c r="C86" s="1761"/>
      <c r="D86" s="1761"/>
      <c r="E86" s="1761"/>
      <c r="F86" s="1761"/>
      <c r="G86" s="1762"/>
    </row>
    <row r="87" spans="2:7" ht="15" thickBot="1">
      <c r="B87" s="167" t="s">
        <v>1</v>
      </c>
      <c r="C87" s="2059"/>
      <c r="D87" s="1763"/>
      <c r="E87" s="1763"/>
      <c r="F87" s="2060"/>
      <c r="G87" s="168" t="s">
        <v>193</v>
      </c>
    </row>
    <row r="88" spans="2:7" ht="62.5" customHeight="1" thickBot="1">
      <c r="B88" s="145" t="str">
        <f>+P!A11</f>
        <v>4.1</v>
      </c>
      <c r="C88" s="2061" t="str">
        <f>+P!B11</f>
        <v>RETIRO DE APARATOS SANITARIOS, incluye el cargue, transporte, botada o recuperación de aparatos sanitarios, lavamanos, lavaderos, orinales. Incluye botada en botaderos oficiales y la recuperación de los materiales aprovechables y/o su transporte hasta la bodega o el sitio que indique la interventoría.</v>
      </c>
      <c r="D88" s="1765"/>
      <c r="E88" s="1765"/>
      <c r="F88" s="2062"/>
      <c r="G88" s="169" t="str">
        <f>+P!C11</f>
        <v>un</v>
      </c>
    </row>
    <row r="89" spans="2:7" ht="15" thickBot="1">
      <c r="B89" s="183" t="s">
        <v>896</v>
      </c>
    </row>
    <row r="90" spans="2:7">
      <c r="B90" s="170" t="s">
        <v>897</v>
      </c>
      <c r="C90" s="171" t="s">
        <v>319</v>
      </c>
      <c r="D90" s="171" t="s">
        <v>320</v>
      </c>
      <c r="E90" s="171" t="s">
        <v>898</v>
      </c>
      <c r="F90" s="187" t="s">
        <v>899</v>
      </c>
      <c r="G90" s="139"/>
    </row>
    <row r="91" spans="2:7" ht="23.5" customHeight="1" thickBot="1">
      <c r="B91" s="188" t="s">
        <v>1184</v>
      </c>
      <c r="C91" s="202" t="s">
        <v>23</v>
      </c>
      <c r="D91" s="203">
        <v>1</v>
      </c>
      <c r="E91" s="204">
        <f>+MATERIALES!D33</f>
        <v>1850</v>
      </c>
      <c r="F91" s="205">
        <f>+ROUND((D91*E91),0)</f>
        <v>1850</v>
      </c>
      <c r="G91" s="142"/>
    </row>
    <row r="92" spans="2:7" ht="15" thickBot="1">
      <c r="B92" s="183"/>
      <c r="C92" s="184" t="e">
        <f>+G92/$G$106</f>
        <v>#REF!</v>
      </c>
      <c r="D92" s="190"/>
      <c r="F92" s="186" t="s">
        <v>900</v>
      </c>
      <c r="G92" s="191">
        <f>+ROUND(SUM(F91),0)</f>
        <v>1850</v>
      </c>
    </row>
    <row r="93" spans="2:7" ht="15" thickBot="1">
      <c r="B93" s="183" t="s">
        <v>901</v>
      </c>
    </row>
    <row r="94" spans="2:7">
      <c r="B94" s="170" t="s">
        <v>897</v>
      </c>
      <c r="C94" s="171" t="s">
        <v>319</v>
      </c>
      <c r="D94" s="171" t="s">
        <v>320</v>
      </c>
      <c r="E94" s="171" t="s">
        <v>898</v>
      </c>
      <c r="F94" s="187" t="s">
        <v>899</v>
      </c>
      <c r="G94" s="139"/>
    </row>
    <row r="95" spans="2:7" ht="15" thickBot="1">
      <c r="B95" s="188" t="s">
        <v>1185</v>
      </c>
      <c r="C95" s="202" t="s">
        <v>916</v>
      </c>
      <c r="D95" s="203">
        <v>0.13074521384749599</v>
      </c>
      <c r="E95" s="204">
        <f>+'FP OPERATIVO'!F35</f>
        <v>295642.2840888889</v>
      </c>
      <c r="F95" s="205">
        <f>+ROUND((D95*E95),0)</f>
        <v>38654</v>
      </c>
      <c r="G95" s="142"/>
    </row>
    <row r="96" spans="2:7" ht="15" thickBot="1">
      <c r="B96" s="183"/>
      <c r="C96" s="184" t="e">
        <f>+G96/$G$106</f>
        <v>#REF!</v>
      </c>
      <c r="D96" s="190"/>
      <c r="F96" s="186" t="s">
        <v>900</v>
      </c>
      <c r="G96" s="191">
        <f>+ROUND(SUM(F95),0)</f>
        <v>38654</v>
      </c>
    </row>
    <row r="97" spans="2:12" ht="15" thickBot="1">
      <c r="B97" s="183" t="s">
        <v>917</v>
      </c>
    </row>
    <row r="98" spans="2:12">
      <c r="B98" s="170" t="s">
        <v>897</v>
      </c>
      <c r="C98" s="171" t="s">
        <v>319</v>
      </c>
      <c r="D98" s="171" t="s">
        <v>320</v>
      </c>
      <c r="E98" s="171" t="s">
        <v>898</v>
      </c>
      <c r="F98" s="187" t="s">
        <v>899</v>
      </c>
      <c r="G98" s="139"/>
    </row>
    <row r="99" spans="2:12" ht="15" thickBot="1">
      <c r="B99" s="188" t="s">
        <v>905</v>
      </c>
      <c r="C99" s="202" t="s">
        <v>906</v>
      </c>
      <c r="D99" s="203">
        <v>0.05</v>
      </c>
      <c r="E99" s="204">
        <f>+G96</f>
        <v>38654</v>
      </c>
      <c r="F99" s="205">
        <f>+ROUND((D99*E99),0)</f>
        <v>1933</v>
      </c>
      <c r="G99" s="142"/>
    </row>
    <row r="100" spans="2:12" ht="15" thickBot="1">
      <c r="B100" s="183"/>
      <c r="C100" s="184" t="e">
        <f>+G100/$G$106</f>
        <v>#REF!</v>
      </c>
      <c r="D100" s="190"/>
      <c r="F100" s="186" t="s">
        <v>900</v>
      </c>
      <c r="G100" s="191">
        <f>+ROUND(SUM(F99),0)</f>
        <v>1933</v>
      </c>
    </row>
    <row r="101" spans="2:12" ht="15" thickBot="1">
      <c r="B101" s="183" t="s">
        <v>1182</v>
      </c>
    </row>
    <row r="102" spans="2:12">
      <c r="B102" s="170" t="s">
        <v>897</v>
      </c>
      <c r="C102" s="171" t="s">
        <v>319</v>
      </c>
      <c r="D102" s="171" t="s">
        <v>320</v>
      </c>
      <c r="E102" s="171" t="s">
        <v>898</v>
      </c>
      <c r="F102" s="187" t="s">
        <v>899</v>
      </c>
      <c r="G102" s="139"/>
    </row>
    <row r="103" spans="2:12" ht="29.5" thickBot="1">
      <c r="B103" s="188" t="s">
        <v>1183</v>
      </c>
      <c r="C103" s="202" t="s">
        <v>14</v>
      </c>
      <c r="D103" s="203">
        <v>0.13</v>
      </c>
      <c r="E103" s="204" t="e">
        <f>+P!E13</f>
        <v>#REF!</v>
      </c>
      <c r="F103" s="205" t="e">
        <f>+ROUND((D103*E103),0)</f>
        <v>#REF!</v>
      </c>
      <c r="G103" s="142"/>
    </row>
    <row r="104" spans="2:12" ht="15" thickBot="1">
      <c r="C104" s="184" t="e">
        <f>+G104/$G$106</f>
        <v>#REF!</v>
      </c>
      <c r="F104" s="186" t="s">
        <v>900</v>
      </c>
      <c r="G104" s="191" t="e">
        <f>+ROUND(SUM(F103),0)</f>
        <v>#REF!</v>
      </c>
    </row>
    <row r="105" spans="2:12" ht="15" thickBot="1">
      <c r="F105" s="186"/>
      <c r="G105" s="194"/>
    </row>
    <row r="106" spans="2:12" ht="15" thickBot="1">
      <c r="B106" s="195"/>
      <c r="C106" s="196"/>
      <c r="D106" s="197" t="s">
        <v>908</v>
      </c>
      <c r="E106" s="198"/>
      <c r="F106" s="198"/>
      <c r="G106" s="153" t="e">
        <f>ROUNDUP(SUM(G90:G104),0)</f>
        <v>#REF!</v>
      </c>
      <c r="I106" s="5"/>
      <c r="L106" s="5"/>
    </row>
    <row r="107" spans="2:12">
      <c r="B107" s="199"/>
      <c r="C107" s="196"/>
      <c r="D107" s="197"/>
      <c r="E107" s="198"/>
      <c r="F107" s="198"/>
      <c r="G107" s="200"/>
    </row>
    <row r="108" spans="2:12" ht="15" thickBot="1">
      <c r="B108" s="2066" t="s">
        <v>1177</v>
      </c>
      <c r="C108" s="2067"/>
      <c r="D108" s="2067"/>
      <c r="E108" s="2067"/>
      <c r="F108" s="2067"/>
      <c r="G108" s="2068"/>
    </row>
    <row r="109" spans="2:12">
      <c r="B109" s="1721"/>
      <c r="C109" s="1770" t="s">
        <v>1175</v>
      </c>
      <c r="D109" s="1770"/>
      <c r="E109" s="1770"/>
      <c r="F109" s="1770"/>
      <c r="G109" s="1771"/>
    </row>
    <row r="110" spans="2:12">
      <c r="B110" s="1722"/>
      <c r="C110" s="1772"/>
      <c r="D110" s="1772"/>
      <c r="E110" s="1772"/>
      <c r="F110" s="1772"/>
      <c r="G110" s="1773"/>
    </row>
    <row r="111" spans="2:12">
      <c r="B111" s="1722"/>
      <c r="C111" s="1772"/>
      <c r="D111" s="1772"/>
      <c r="E111" s="1772"/>
      <c r="F111" s="1772"/>
      <c r="G111" s="1773"/>
    </row>
    <row r="112" spans="2:12">
      <c r="B112" s="1722"/>
      <c r="C112" s="1772"/>
      <c r="D112" s="1772"/>
      <c r="E112" s="1772"/>
      <c r="F112" s="1772"/>
      <c r="G112" s="1773"/>
    </row>
    <row r="113" spans="2:7" ht="44.5" customHeight="1" thickBot="1">
      <c r="B113" s="1723"/>
      <c r="C113" s="1774"/>
      <c r="D113" s="1774"/>
      <c r="E113" s="1774"/>
      <c r="F113" s="1774"/>
      <c r="G113" s="1775"/>
    </row>
    <row r="114" spans="2:7">
      <c r="B114" s="1724" t="s">
        <v>890</v>
      </c>
      <c r="C114" s="1726"/>
      <c r="D114" s="1726"/>
      <c r="E114" s="1733" t="s">
        <v>891</v>
      </c>
      <c r="F114" s="1735"/>
      <c r="G114" s="1736"/>
    </row>
    <row r="115" spans="2:7">
      <c r="B115" s="1727"/>
      <c r="C115" s="1729"/>
      <c r="D115" s="1729"/>
      <c r="E115" s="1734"/>
      <c r="F115" s="1737"/>
      <c r="G115" s="1738"/>
    </row>
    <row r="116" spans="2:7">
      <c r="B116" s="1727"/>
      <c r="C116" s="1729"/>
      <c r="D116" s="1729"/>
      <c r="E116" s="332" t="s">
        <v>892</v>
      </c>
      <c r="F116" s="1739"/>
      <c r="G116" s="1740"/>
    </row>
    <row r="117" spans="2:7">
      <c r="B117" s="1727"/>
      <c r="C117" s="1729"/>
      <c r="D117" s="1729"/>
      <c r="E117" s="332" t="s">
        <v>893</v>
      </c>
      <c r="F117" s="1739"/>
      <c r="G117" s="1740"/>
    </row>
    <row r="118" spans="2:7">
      <c r="B118" s="1727"/>
      <c r="C118" s="1729"/>
      <c r="D118" s="1729"/>
      <c r="E118" s="1734" t="s">
        <v>894</v>
      </c>
      <c r="F118" s="1742"/>
      <c r="G118" s="1743"/>
    </row>
    <row r="119" spans="2:7" ht="15" thickBot="1">
      <c r="B119" s="1730"/>
      <c r="C119" s="1732"/>
      <c r="D119" s="1732"/>
      <c r="E119" s="1741"/>
      <c r="F119" s="1744"/>
      <c r="G119" s="1745"/>
    </row>
    <row r="120" spans="2:7">
      <c r="B120" s="1755" t="str">
        <f>+PRESUPUESTO!$A$2</f>
        <v>OBJETO: MEJORAMIENTO Y ADECUACIÓN DE LAS VIAS URBANAS DEL MUNICIPIO DE SANTA FE DE ANTIOQUIA</v>
      </c>
      <c r="C120" s="1757"/>
      <c r="D120" s="1757"/>
      <c r="E120" s="1757"/>
      <c r="F120" s="1757"/>
      <c r="G120" s="1758"/>
    </row>
    <row r="121" spans="2:7" ht="15" thickBot="1">
      <c r="B121" s="1759"/>
      <c r="C121" s="1761"/>
      <c r="D121" s="1761"/>
      <c r="E121" s="1761"/>
      <c r="F121" s="1761"/>
      <c r="G121" s="1762"/>
    </row>
    <row r="122" spans="2:7" ht="15" thickBot="1">
      <c r="B122" s="167" t="s">
        <v>1</v>
      </c>
      <c r="C122" s="2059"/>
      <c r="D122" s="1763"/>
      <c r="E122" s="1763"/>
      <c r="F122" s="2060"/>
      <c r="G122" s="168" t="s">
        <v>193</v>
      </c>
    </row>
    <row r="123" spans="2:7" ht="60" customHeight="1" thickBot="1">
      <c r="B123" s="145" t="str">
        <f>+P!A12</f>
        <v>4.2</v>
      </c>
      <c r="C123" s="2061" t="str">
        <f>+P!B12</f>
        <v>RETIRO DE PUERTAS (marco y ala) metálicas, en aluminio, en madera o puerta reja. Incluye el retiro, cargue, transporte, botada de escombros en botaderos oficiales y recuperación de los materiales aprovechables y su transporte hasta la bodega o el sitio que lo indique la interventoría. Ancho variable desde 0,60 a 1,20 m.</v>
      </c>
      <c r="D123" s="1765"/>
      <c r="E123" s="1765"/>
      <c r="F123" s="2062"/>
      <c r="G123" s="169" t="str">
        <f>+P!C12</f>
        <v>un</v>
      </c>
    </row>
    <row r="124" spans="2:7" ht="15" thickBot="1">
      <c r="B124" s="183" t="s">
        <v>1178</v>
      </c>
    </row>
    <row r="125" spans="2:7">
      <c r="B125" s="170" t="s">
        <v>897</v>
      </c>
      <c r="C125" s="171" t="s">
        <v>319</v>
      </c>
      <c r="D125" s="171" t="s">
        <v>320</v>
      </c>
      <c r="E125" s="171" t="s">
        <v>898</v>
      </c>
      <c r="F125" s="172" t="s">
        <v>899</v>
      </c>
      <c r="G125" s="139"/>
    </row>
    <row r="126" spans="2:7" ht="15" thickBot="1">
      <c r="B126" s="188" t="s">
        <v>1185</v>
      </c>
      <c r="C126" s="202" t="s">
        <v>916</v>
      </c>
      <c r="D126" s="203">
        <v>5.8823529411764705E-2</v>
      </c>
      <c r="E126" s="204">
        <f>+'FP OPERATIVO'!F35</f>
        <v>295642.2840888889</v>
      </c>
      <c r="F126" s="206">
        <f>+ROUND((D126*E126),0)</f>
        <v>17391</v>
      </c>
      <c r="G126" s="147"/>
    </row>
    <row r="127" spans="2:7" ht="15" thickBot="1">
      <c r="B127" s="183"/>
      <c r="C127" s="184" t="e">
        <f>+G127/$G$139</f>
        <v>#REF!</v>
      </c>
      <c r="D127" s="190"/>
      <c r="F127" s="186" t="s">
        <v>900</v>
      </c>
      <c r="G127" s="191">
        <f>+SUM(F126)</f>
        <v>17391</v>
      </c>
    </row>
    <row r="128" spans="2:7" ht="15" thickBot="1">
      <c r="B128" s="183" t="s">
        <v>1180</v>
      </c>
    </row>
    <row r="129" spans="2:7">
      <c r="B129" s="170" t="s">
        <v>897</v>
      </c>
      <c r="C129" s="171" t="s">
        <v>319</v>
      </c>
      <c r="D129" s="171" t="s">
        <v>320</v>
      </c>
      <c r="E129" s="171" t="s">
        <v>898</v>
      </c>
      <c r="F129" s="172" t="s">
        <v>899</v>
      </c>
      <c r="G129" s="139"/>
    </row>
    <row r="130" spans="2:7" ht="15" thickBot="1">
      <c r="B130" s="188" t="s">
        <v>905</v>
      </c>
      <c r="C130" s="202" t="s">
        <v>906</v>
      </c>
      <c r="D130" s="203">
        <v>0.05</v>
      </c>
      <c r="E130" s="204">
        <f>+G127</f>
        <v>17391</v>
      </c>
      <c r="F130" s="206">
        <f>+ROUND((D130*E130),0)</f>
        <v>870</v>
      </c>
      <c r="G130" s="147"/>
    </row>
    <row r="131" spans="2:7" ht="15" thickBot="1">
      <c r="B131" s="183"/>
      <c r="C131" s="184" t="e">
        <f>+G131/$G$139</f>
        <v>#REF!</v>
      </c>
      <c r="D131" s="190"/>
      <c r="F131" s="186" t="s">
        <v>900</v>
      </c>
      <c r="G131" s="191">
        <f>+SUM(F130)</f>
        <v>870</v>
      </c>
    </row>
    <row r="132" spans="2:7" ht="15" thickBot="1">
      <c r="B132" s="183" t="s">
        <v>1186</v>
      </c>
    </row>
    <row r="133" spans="2:7" ht="21" customHeight="1">
      <c r="B133" s="170" t="s">
        <v>897</v>
      </c>
      <c r="C133" s="171" t="s">
        <v>319</v>
      </c>
      <c r="D133" s="171" t="s">
        <v>320</v>
      </c>
      <c r="E133" s="171" t="s">
        <v>898</v>
      </c>
      <c r="F133" s="172" t="s">
        <v>899</v>
      </c>
      <c r="G133" s="139"/>
    </row>
    <row r="134" spans="2:7" ht="29">
      <c r="B134" s="207" t="s">
        <v>1183</v>
      </c>
      <c r="C134" s="208" t="s">
        <v>14</v>
      </c>
      <c r="D134" s="209">
        <v>0.26400000000000001</v>
      </c>
      <c r="E134" s="210" t="e">
        <f>+P!E13</f>
        <v>#REF!</v>
      </c>
      <c r="F134" s="211" t="e">
        <f>+ROUND((D134*E134),0)</f>
        <v>#REF!</v>
      </c>
      <c r="G134" s="147"/>
    </row>
    <row r="135" spans="2:7" ht="15" thickBot="1">
      <c r="B135" s="188" t="s">
        <v>1187</v>
      </c>
      <c r="C135" s="202" t="s">
        <v>23</v>
      </c>
      <c r="D135" s="203">
        <v>0.90600000000000003</v>
      </c>
      <c r="E135" s="204">
        <v>1000</v>
      </c>
      <c r="F135" s="206">
        <f>+ROUND((D135*E135),0)</f>
        <v>906</v>
      </c>
      <c r="G135" s="142"/>
    </row>
    <row r="136" spans="2:7" ht="15" thickBot="1">
      <c r="B136" s="183"/>
      <c r="C136" s="184" t="e">
        <f>+G136/$G$139</f>
        <v>#REF!</v>
      </c>
      <c r="D136" s="190"/>
      <c r="F136" s="186" t="s">
        <v>900</v>
      </c>
      <c r="G136" s="191" t="e">
        <f>+SUM(F134:F135)</f>
        <v>#REF!</v>
      </c>
    </row>
    <row r="138" spans="2:7" ht="15" thickBot="1">
      <c r="F138" s="186"/>
      <c r="G138" s="194"/>
    </row>
    <row r="139" spans="2:7" ht="15" thickBot="1">
      <c r="B139" s="195"/>
      <c r="C139" s="196"/>
      <c r="D139" s="197" t="s">
        <v>908</v>
      </c>
      <c r="E139" s="198"/>
      <c r="F139" s="198"/>
      <c r="G139" s="153" t="e">
        <f>ROUNDUP(SUM(G125:G137),0)</f>
        <v>#REF!</v>
      </c>
    </row>
    <row r="140" spans="2:7" ht="15" thickBot="1">
      <c r="B140" s="199"/>
      <c r="C140" s="201"/>
      <c r="D140" s="253"/>
      <c r="E140" s="253"/>
      <c r="F140" s="253"/>
      <c r="G140" s="196"/>
    </row>
    <row r="141" spans="2:7" ht="15" thickBot="1">
      <c r="B141" s="2063" t="s">
        <v>1188</v>
      </c>
      <c r="C141" s="2064"/>
      <c r="D141" s="2064"/>
      <c r="E141" s="2064"/>
      <c r="F141" s="2064"/>
      <c r="G141" s="2065"/>
    </row>
    <row r="142" spans="2:7" ht="23.5" customHeight="1">
      <c r="B142" s="1721"/>
      <c r="C142" s="1770" t="s">
        <v>1175</v>
      </c>
      <c r="D142" s="1770"/>
      <c r="E142" s="1770"/>
      <c r="F142" s="1770"/>
      <c r="G142" s="1771"/>
    </row>
    <row r="143" spans="2:7" ht="23.5" customHeight="1">
      <c r="B143" s="1722"/>
      <c r="C143" s="1772"/>
      <c r="D143" s="1772"/>
      <c r="E143" s="1772"/>
      <c r="F143" s="1772"/>
      <c r="G143" s="1773"/>
    </row>
    <row r="144" spans="2:7" ht="23.5" customHeight="1">
      <c r="B144" s="1722"/>
      <c r="C144" s="1772"/>
      <c r="D144" s="1772"/>
      <c r="E144" s="1772"/>
      <c r="F144" s="1772"/>
      <c r="G144" s="1773"/>
    </row>
    <row r="145" spans="2:7" ht="23.5" customHeight="1">
      <c r="B145" s="1722"/>
      <c r="C145" s="1772"/>
      <c r="D145" s="1772"/>
      <c r="E145" s="1772"/>
      <c r="F145" s="1772"/>
      <c r="G145" s="1773"/>
    </row>
    <row r="146" spans="2:7" ht="23.5" customHeight="1" thickBot="1">
      <c r="B146" s="1723"/>
      <c r="C146" s="1774"/>
      <c r="D146" s="1774"/>
      <c r="E146" s="1774"/>
      <c r="F146" s="1774"/>
      <c r="G146" s="1775"/>
    </row>
    <row r="147" spans="2:7">
      <c r="B147" s="1724" t="s">
        <v>890</v>
      </c>
      <c r="C147" s="1726"/>
      <c r="D147" s="1726"/>
      <c r="E147" s="1733" t="s">
        <v>891</v>
      </c>
      <c r="F147" s="1735"/>
      <c r="G147" s="1736"/>
    </row>
    <row r="148" spans="2:7">
      <c r="B148" s="1727"/>
      <c r="C148" s="1729"/>
      <c r="D148" s="1729"/>
      <c r="E148" s="1734"/>
      <c r="F148" s="1737"/>
      <c r="G148" s="1738"/>
    </row>
    <row r="149" spans="2:7">
      <c r="B149" s="1727"/>
      <c r="C149" s="1729"/>
      <c r="D149" s="1729"/>
      <c r="E149" s="332" t="s">
        <v>892</v>
      </c>
      <c r="F149" s="1739"/>
      <c r="G149" s="1740"/>
    </row>
    <row r="150" spans="2:7">
      <c r="B150" s="1727"/>
      <c r="C150" s="1729"/>
      <c r="D150" s="1729"/>
      <c r="E150" s="332" t="s">
        <v>893</v>
      </c>
      <c r="F150" s="1739"/>
      <c r="G150" s="1740"/>
    </row>
    <row r="151" spans="2:7">
      <c r="B151" s="1727"/>
      <c r="C151" s="1729"/>
      <c r="D151" s="1729"/>
      <c r="E151" s="1734" t="s">
        <v>894</v>
      </c>
      <c r="F151" s="1742"/>
      <c r="G151" s="1743"/>
    </row>
    <row r="152" spans="2:7" ht="15" thickBot="1">
      <c r="B152" s="1730"/>
      <c r="C152" s="1732"/>
      <c r="D152" s="1732"/>
      <c r="E152" s="1741"/>
      <c r="F152" s="1744"/>
      <c r="G152" s="1745"/>
    </row>
    <row r="153" spans="2:7">
      <c r="B153" s="1755" t="str">
        <f>+PRESUPUESTO!$A$2</f>
        <v>OBJETO: MEJORAMIENTO Y ADECUACIÓN DE LAS VIAS URBANAS DEL MUNICIPIO DE SANTA FE DE ANTIOQUIA</v>
      </c>
      <c r="C153" s="1757"/>
      <c r="D153" s="1757"/>
      <c r="E153" s="1757"/>
      <c r="F153" s="1757"/>
      <c r="G153" s="1758"/>
    </row>
    <row r="154" spans="2:7" ht="15" thickBot="1">
      <c r="B154" s="1759"/>
      <c r="C154" s="1761"/>
      <c r="D154" s="1761"/>
      <c r="E154" s="1761"/>
      <c r="F154" s="1761"/>
      <c r="G154" s="1762"/>
    </row>
    <row r="155" spans="2:7" ht="15" thickBot="1">
      <c r="B155" s="167" t="s">
        <v>1</v>
      </c>
      <c r="C155" s="2059"/>
      <c r="D155" s="1763"/>
      <c r="E155" s="1763"/>
      <c r="F155" s="2060"/>
      <c r="G155" s="168" t="s">
        <v>193</v>
      </c>
    </row>
    <row r="156" spans="2:7" ht="42.5" customHeight="1" thickBot="1">
      <c r="B156" s="145" t="str">
        <f>+P!A13</f>
        <v>4.3</v>
      </c>
      <c r="C156" s="2061" t="str">
        <f>+P!B13</f>
        <v>RETIRO, CARGUE, TRANSPORTE Y BOTADA DE ESCOMBROS, incluye, el cargue con máquina, repaleo, transporte interno y externo y botada de material tipo escombro en los sitios donde lo indique la interventoría y su medida será en el sitio.</v>
      </c>
      <c r="D156" s="1765"/>
      <c r="E156" s="1765"/>
      <c r="F156" s="2062"/>
      <c r="G156" s="169" t="str">
        <f>+P!C13</f>
        <v>m3</v>
      </c>
    </row>
    <row r="157" spans="2:7" ht="15" thickBot="1">
      <c r="B157" s="183" t="s">
        <v>1178</v>
      </c>
    </row>
    <row r="158" spans="2:7">
      <c r="B158" s="170" t="s">
        <v>897</v>
      </c>
      <c r="C158" s="171" t="s">
        <v>319</v>
      </c>
      <c r="D158" s="171" t="s">
        <v>320</v>
      </c>
      <c r="E158" s="171" t="s">
        <v>898</v>
      </c>
      <c r="F158" s="172" t="s">
        <v>899</v>
      </c>
      <c r="G158" s="139"/>
    </row>
    <row r="159" spans="2:7" ht="15" thickBot="1">
      <c r="B159" s="188" t="s">
        <v>1179</v>
      </c>
      <c r="C159" s="202" t="s">
        <v>916</v>
      </c>
      <c r="D159" s="203">
        <v>6.2500000000000003E-3</v>
      </c>
      <c r="E159" s="204">
        <f>+'FP OPERATIVO'!F39</f>
        <v>104704.08071111111</v>
      </c>
      <c r="F159" s="206">
        <f>+ROUND((D159*E159),0)</f>
        <v>654</v>
      </c>
      <c r="G159" s="147"/>
    </row>
    <row r="160" spans="2:7" ht="15" thickBot="1">
      <c r="B160" s="183"/>
      <c r="C160" s="184">
        <f>+G160/$G$171</f>
        <v>1.0343027945153484E-2</v>
      </c>
      <c r="D160" s="190"/>
      <c r="F160" s="212" t="s">
        <v>900</v>
      </c>
      <c r="G160" s="148">
        <f>+SUM(F159)</f>
        <v>654</v>
      </c>
    </row>
    <row r="161" spans="2:7" ht="15" thickBot="1">
      <c r="B161" s="183" t="s">
        <v>1189</v>
      </c>
    </row>
    <row r="162" spans="2:7">
      <c r="B162" s="170" t="s">
        <v>897</v>
      </c>
      <c r="C162" s="171" t="s">
        <v>319</v>
      </c>
      <c r="D162" s="171" t="s">
        <v>320</v>
      </c>
      <c r="E162" s="171" t="s">
        <v>898</v>
      </c>
      <c r="F162" s="172" t="s">
        <v>899</v>
      </c>
      <c r="G162" s="139"/>
    </row>
    <row r="163" spans="2:7" ht="15" thickBot="1">
      <c r="B163" s="188" t="s">
        <v>1190</v>
      </c>
      <c r="C163" s="202" t="s">
        <v>1191</v>
      </c>
      <c r="D163" s="203">
        <v>0.05</v>
      </c>
      <c r="E163" s="204">
        <f>+EQUIPOS!C7</f>
        <v>131534</v>
      </c>
      <c r="F163" s="206">
        <f>+ROUND((D163*E163),0)</f>
        <v>6577</v>
      </c>
      <c r="G163" s="147"/>
    </row>
    <row r="164" spans="2:7" ht="15" thickBot="1">
      <c r="B164" s="183"/>
      <c r="C164" s="184">
        <f>+G164/$G$171</f>
        <v>0.10401543546678053</v>
      </c>
      <c r="D164" s="190"/>
      <c r="F164" s="212" t="s">
        <v>900</v>
      </c>
      <c r="G164" s="148">
        <f>+SUM(F163)</f>
        <v>6577</v>
      </c>
    </row>
    <row r="165" spans="2:7" ht="15" thickBot="1">
      <c r="B165" s="183" t="s">
        <v>1186</v>
      </c>
    </row>
    <row r="166" spans="2:7">
      <c r="B166" s="170" t="s">
        <v>897</v>
      </c>
      <c r="C166" s="171" t="s">
        <v>319</v>
      </c>
      <c r="D166" s="171" t="s">
        <v>320</v>
      </c>
      <c r="E166" s="171" t="s">
        <v>898</v>
      </c>
      <c r="F166" s="187" t="s">
        <v>899</v>
      </c>
      <c r="G166" s="139"/>
    </row>
    <row r="167" spans="2:7" ht="15" thickBot="1">
      <c r="B167" s="188" t="s">
        <v>1192</v>
      </c>
      <c r="C167" s="202" t="s">
        <v>14</v>
      </c>
      <c r="D167" s="203">
        <v>1</v>
      </c>
      <c r="E167" s="204">
        <f>+EQUIPOS!C29*20</f>
        <v>56000</v>
      </c>
      <c r="F167" s="205">
        <f>+ROUND((D167*E167),0)</f>
        <v>56000</v>
      </c>
      <c r="G167" s="142"/>
    </row>
    <row r="168" spans="2:7" ht="15" thickBot="1">
      <c r="B168" s="183"/>
      <c r="C168" s="184">
        <f>+G168/$G$171</f>
        <v>0.88564153658806599</v>
      </c>
      <c r="D168" s="190"/>
      <c r="F168" s="212" t="s">
        <v>900</v>
      </c>
      <c r="G168" s="148">
        <f>+SUM(F167)</f>
        <v>56000</v>
      </c>
    </row>
    <row r="170" spans="2:7" ht="15" thickBot="1">
      <c r="F170" s="186"/>
      <c r="G170" s="194"/>
    </row>
    <row r="171" spans="2:7" ht="15" thickBot="1">
      <c r="B171" s="195"/>
      <c r="C171" s="196"/>
      <c r="D171" s="197" t="s">
        <v>908</v>
      </c>
      <c r="E171" s="198"/>
      <c r="F171" s="198"/>
      <c r="G171" s="153">
        <f>ROUNDUP(SUM(G158:G168),0)</f>
        <v>63231</v>
      </c>
    </row>
    <row r="172" spans="2:7" ht="15" thickBot="1">
      <c r="B172" s="199"/>
      <c r="C172" s="201"/>
      <c r="D172" s="253"/>
      <c r="E172" s="253"/>
      <c r="F172" s="253"/>
      <c r="G172" s="196"/>
    </row>
    <row r="173" spans="2:7" ht="21.5" customHeight="1">
      <c r="B173" s="1721"/>
      <c r="C173" s="1770" t="s">
        <v>1175</v>
      </c>
      <c r="D173" s="1770"/>
      <c r="E173" s="1770"/>
      <c r="F173" s="1770"/>
      <c r="G173" s="1771"/>
    </row>
    <row r="174" spans="2:7" ht="21.5" customHeight="1">
      <c r="B174" s="1722"/>
      <c r="C174" s="1772"/>
      <c r="D174" s="1772"/>
      <c r="E174" s="1772"/>
      <c r="F174" s="1772"/>
      <c r="G174" s="1773"/>
    </row>
    <row r="175" spans="2:7" ht="21.5" customHeight="1">
      <c r="B175" s="1722"/>
      <c r="C175" s="1772"/>
      <c r="D175" s="1772"/>
      <c r="E175" s="1772"/>
      <c r="F175" s="1772"/>
      <c r="G175" s="1773"/>
    </row>
    <row r="176" spans="2:7" ht="21.5" customHeight="1">
      <c r="B176" s="1722"/>
      <c r="C176" s="1772"/>
      <c r="D176" s="1772"/>
      <c r="E176" s="1772"/>
      <c r="F176" s="1772"/>
      <c r="G176" s="1773"/>
    </row>
    <row r="177" spans="2:7" ht="21.5" customHeight="1" thickBot="1">
      <c r="B177" s="1723"/>
      <c r="C177" s="1774"/>
      <c r="D177" s="1774"/>
      <c r="E177" s="1774"/>
      <c r="F177" s="1774"/>
      <c r="G177" s="1775"/>
    </row>
    <row r="178" spans="2:7">
      <c r="B178" s="1724" t="s">
        <v>890</v>
      </c>
      <c r="C178" s="1726"/>
      <c r="D178" s="1726"/>
      <c r="E178" s="1733" t="s">
        <v>891</v>
      </c>
      <c r="F178" s="1735"/>
      <c r="G178" s="1736"/>
    </row>
    <row r="179" spans="2:7">
      <c r="B179" s="1727"/>
      <c r="C179" s="1729"/>
      <c r="D179" s="1729"/>
      <c r="E179" s="1734"/>
      <c r="F179" s="1737"/>
      <c r="G179" s="1738"/>
    </row>
    <row r="180" spans="2:7">
      <c r="B180" s="1727"/>
      <c r="C180" s="1729"/>
      <c r="D180" s="1729"/>
      <c r="E180" s="332" t="s">
        <v>892</v>
      </c>
      <c r="F180" s="1739"/>
      <c r="G180" s="1740"/>
    </row>
    <row r="181" spans="2:7">
      <c r="B181" s="1727"/>
      <c r="C181" s="1729"/>
      <c r="D181" s="1729"/>
      <c r="E181" s="332" t="s">
        <v>893</v>
      </c>
      <c r="F181" s="1739"/>
      <c r="G181" s="1740"/>
    </row>
    <row r="182" spans="2:7">
      <c r="B182" s="1727"/>
      <c r="C182" s="1729"/>
      <c r="D182" s="1729"/>
      <c r="E182" s="1734" t="s">
        <v>894</v>
      </c>
      <c r="F182" s="1742"/>
      <c r="G182" s="1743"/>
    </row>
    <row r="183" spans="2:7" ht="15" thickBot="1">
      <c r="B183" s="1730"/>
      <c r="C183" s="1732"/>
      <c r="D183" s="1732"/>
      <c r="E183" s="1741"/>
      <c r="F183" s="1744"/>
      <c r="G183" s="1745"/>
    </row>
    <row r="184" spans="2:7">
      <c r="B184" s="1755" t="str">
        <f>+PRESUPUESTO!$A$2</f>
        <v>OBJETO: MEJORAMIENTO Y ADECUACIÓN DE LAS VIAS URBANAS DEL MUNICIPIO DE SANTA FE DE ANTIOQUIA</v>
      </c>
      <c r="C184" s="1757"/>
      <c r="D184" s="1757"/>
      <c r="E184" s="1757"/>
      <c r="F184" s="1757"/>
      <c r="G184" s="1758"/>
    </row>
    <row r="185" spans="2:7" ht="15" thickBot="1">
      <c r="B185" s="1759"/>
      <c r="C185" s="1761"/>
      <c r="D185" s="1761"/>
      <c r="E185" s="1761"/>
      <c r="F185" s="1761"/>
      <c r="G185" s="1762"/>
    </row>
    <row r="186" spans="2:7" ht="15" thickBot="1">
      <c r="B186" s="167" t="s">
        <v>1</v>
      </c>
      <c r="C186" s="2059"/>
      <c r="D186" s="1763"/>
      <c r="E186" s="1763"/>
      <c r="F186" s="2060"/>
      <c r="G186" s="168" t="s">
        <v>193</v>
      </c>
    </row>
    <row r="187" spans="2:7" ht="57" customHeight="1" thickBot="1">
      <c r="B187" s="145" t="str">
        <f>+P!A14</f>
        <v>4.4</v>
      </c>
      <c r="C187" s="2061" t="str">
        <f>+P!B14</f>
        <v>RETIRO DE VENTANAS con vidrio, metálicas, en aluminio, en madera o ventana reja. Incluye botada de escombros en botaderos oficiales y recuperación de los materiales aprovechables y su transporte hasta el sitio que lo indique la interventoría. Dimensión variable.</v>
      </c>
      <c r="D187" s="1765"/>
      <c r="E187" s="1765"/>
      <c r="F187" s="2062"/>
      <c r="G187" s="169" t="str">
        <f>+P!C14</f>
        <v>un</v>
      </c>
    </row>
    <row r="188" spans="2:7" ht="15" thickBot="1">
      <c r="B188" s="183" t="s">
        <v>1178</v>
      </c>
    </row>
    <row r="189" spans="2:7">
      <c r="B189" s="170" t="s">
        <v>897</v>
      </c>
      <c r="C189" s="171" t="s">
        <v>319</v>
      </c>
      <c r="D189" s="171" t="s">
        <v>320</v>
      </c>
      <c r="E189" s="171" t="s">
        <v>898</v>
      </c>
      <c r="F189" s="187" t="s">
        <v>899</v>
      </c>
      <c r="G189" s="139"/>
    </row>
    <row r="190" spans="2:7" ht="15" thickBot="1">
      <c r="B190" s="188" t="s">
        <v>1185</v>
      </c>
      <c r="C190" s="202" t="s">
        <v>916</v>
      </c>
      <c r="D190" s="203">
        <v>7.1429999999999993E-2</v>
      </c>
      <c r="E190" s="204">
        <f>+'FP OPERATIVO'!F35</f>
        <v>295642.2840888889</v>
      </c>
      <c r="F190" s="205">
        <f>+ROUND((D190*E190),0)</f>
        <v>21118</v>
      </c>
      <c r="G190" s="142"/>
    </row>
    <row r="191" spans="2:7" ht="15" thickBot="1">
      <c r="B191" s="183"/>
      <c r="C191" s="184" t="e">
        <f>+G191/$G$202</f>
        <v>#REF!</v>
      </c>
      <c r="D191" s="190"/>
      <c r="F191" s="212" t="s">
        <v>900</v>
      </c>
      <c r="G191" s="148">
        <f>+SUM(F190)</f>
        <v>21118</v>
      </c>
    </row>
    <row r="192" spans="2:7" ht="15" thickBot="1">
      <c r="B192" s="183" t="s">
        <v>1180</v>
      </c>
    </row>
    <row r="193" spans="2:7">
      <c r="B193" s="170" t="s">
        <v>897</v>
      </c>
      <c r="C193" s="171" t="s">
        <v>319</v>
      </c>
      <c r="D193" s="171" t="s">
        <v>320</v>
      </c>
      <c r="E193" s="171" t="s">
        <v>898</v>
      </c>
      <c r="F193" s="187" t="s">
        <v>899</v>
      </c>
      <c r="G193" s="139"/>
    </row>
    <row r="194" spans="2:7" ht="15" thickBot="1">
      <c r="B194" s="188" t="s">
        <v>905</v>
      </c>
      <c r="C194" s="202" t="s">
        <v>906</v>
      </c>
      <c r="D194" s="203">
        <v>0.05</v>
      </c>
      <c r="E194" s="204">
        <f>+G191</f>
        <v>21118</v>
      </c>
      <c r="F194" s="205">
        <f>+ROUND((D194*E194),0)</f>
        <v>1056</v>
      </c>
      <c r="G194" s="142"/>
    </row>
    <row r="195" spans="2:7" ht="20.5" customHeight="1" thickBot="1">
      <c r="B195" s="183"/>
      <c r="C195" s="184" t="e">
        <f>+G195/$G$202</f>
        <v>#REF!</v>
      </c>
      <c r="D195" s="190"/>
      <c r="F195" s="212" t="s">
        <v>900</v>
      </c>
      <c r="G195" s="148">
        <f>+SUM(F194)</f>
        <v>1056</v>
      </c>
    </row>
    <row r="196" spans="2:7" ht="15" thickBot="1">
      <c r="B196" s="183" t="s">
        <v>1186</v>
      </c>
    </row>
    <row r="197" spans="2:7">
      <c r="B197" s="170" t="s">
        <v>897</v>
      </c>
      <c r="C197" s="171" t="s">
        <v>319</v>
      </c>
      <c r="D197" s="171" t="s">
        <v>320</v>
      </c>
      <c r="E197" s="171" t="s">
        <v>898</v>
      </c>
      <c r="F197" s="187" t="s">
        <v>899</v>
      </c>
      <c r="G197" s="139"/>
    </row>
    <row r="198" spans="2:7" ht="29">
      <c r="B198" s="207" t="s">
        <v>1183</v>
      </c>
      <c r="C198" s="208" t="s">
        <v>14</v>
      </c>
      <c r="D198" s="209">
        <v>0.24</v>
      </c>
      <c r="E198" s="210" t="e">
        <f>+P!E13</f>
        <v>#REF!</v>
      </c>
      <c r="F198" s="213" t="e">
        <f>+ROUND((D198*E198),0)</f>
        <v>#REF!</v>
      </c>
      <c r="G198" s="147"/>
    </row>
    <row r="199" spans="2:7" ht="15" thickBot="1">
      <c r="B199" s="188" t="s">
        <v>1187</v>
      </c>
      <c r="C199" s="202" t="s">
        <v>23</v>
      </c>
      <c r="D199" s="203">
        <v>0.90600000000000003</v>
      </c>
      <c r="E199" s="204">
        <v>1000</v>
      </c>
      <c r="F199" s="205">
        <f>+ROUND((D199*E199),0)</f>
        <v>906</v>
      </c>
      <c r="G199" s="142"/>
    </row>
    <row r="200" spans="2:7" ht="15" thickBot="1">
      <c r="C200" s="184" t="e">
        <f>+G200/$G$202</f>
        <v>#REF!</v>
      </c>
      <c r="F200" s="212" t="s">
        <v>900</v>
      </c>
      <c r="G200" s="148" t="e">
        <f>+SUM(F198:F199)</f>
        <v>#REF!</v>
      </c>
    </row>
    <row r="201" spans="2:7" ht="15" thickBot="1">
      <c r="F201" s="186"/>
      <c r="G201" s="194"/>
    </row>
    <row r="202" spans="2:7" ht="15" thickBot="1">
      <c r="B202" s="195"/>
      <c r="C202" s="196"/>
      <c r="D202" s="197" t="s">
        <v>908</v>
      </c>
      <c r="E202" s="198"/>
      <c r="F202" s="198"/>
      <c r="G202" s="153" t="e">
        <f>ROUNDUP(SUM(G189:G200),0)</f>
        <v>#REF!</v>
      </c>
    </row>
    <row r="203" spans="2:7" ht="15" thickBot="1">
      <c r="B203" s="199"/>
      <c r="C203" s="201"/>
      <c r="D203" s="253"/>
      <c r="E203" s="253"/>
      <c r="F203" s="253"/>
      <c r="G203" s="196"/>
    </row>
    <row r="204" spans="2:7" ht="21" customHeight="1">
      <c r="B204" s="1721"/>
      <c r="C204" s="1770" t="s">
        <v>1175</v>
      </c>
      <c r="D204" s="1770"/>
      <c r="E204" s="1770"/>
      <c r="F204" s="1770"/>
      <c r="G204" s="1771"/>
    </row>
    <row r="205" spans="2:7" ht="21" customHeight="1">
      <c r="B205" s="1722"/>
      <c r="C205" s="1772"/>
      <c r="D205" s="1772"/>
      <c r="E205" s="1772"/>
      <c r="F205" s="1772"/>
      <c r="G205" s="1773"/>
    </row>
    <row r="206" spans="2:7" ht="21" customHeight="1">
      <c r="B206" s="1722"/>
      <c r="C206" s="1772"/>
      <c r="D206" s="1772"/>
      <c r="E206" s="1772"/>
      <c r="F206" s="1772"/>
      <c r="G206" s="1773"/>
    </row>
    <row r="207" spans="2:7" ht="21" customHeight="1">
      <c r="B207" s="1722"/>
      <c r="C207" s="1772"/>
      <c r="D207" s="1772"/>
      <c r="E207" s="1772"/>
      <c r="F207" s="1772"/>
      <c r="G207" s="1773"/>
    </row>
    <row r="208" spans="2:7" ht="21" customHeight="1" thickBot="1">
      <c r="B208" s="1723"/>
      <c r="C208" s="1774"/>
      <c r="D208" s="1774"/>
      <c r="E208" s="1774"/>
      <c r="F208" s="1774"/>
      <c r="G208" s="1775"/>
    </row>
    <row r="209" spans="2:7">
      <c r="B209" s="1724" t="s">
        <v>890</v>
      </c>
      <c r="C209" s="1726"/>
      <c r="D209" s="1726"/>
      <c r="E209" s="1733" t="s">
        <v>891</v>
      </c>
      <c r="F209" s="1735"/>
      <c r="G209" s="1736"/>
    </row>
    <row r="210" spans="2:7">
      <c r="B210" s="1727"/>
      <c r="C210" s="1729"/>
      <c r="D210" s="1729"/>
      <c r="E210" s="1734"/>
      <c r="F210" s="1737"/>
      <c r="G210" s="1738"/>
    </row>
    <row r="211" spans="2:7">
      <c r="B211" s="1727"/>
      <c r="C211" s="1729"/>
      <c r="D211" s="1729"/>
      <c r="E211" s="332" t="s">
        <v>892</v>
      </c>
      <c r="F211" s="1739"/>
      <c r="G211" s="1740"/>
    </row>
    <row r="212" spans="2:7">
      <c r="B212" s="1727"/>
      <c r="C212" s="1729"/>
      <c r="D212" s="1729"/>
      <c r="E212" s="332" t="s">
        <v>893</v>
      </c>
      <c r="F212" s="1739"/>
      <c r="G212" s="1740"/>
    </row>
    <row r="213" spans="2:7">
      <c r="B213" s="1727"/>
      <c r="C213" s="1729"/>
      <c r="D213" s="1729"/>
      <c r="E213" s="1734" t="s">
        <v>894</v>
      </c>
      <c r="F213" s="1742"/>
      <c r="G213" s="1743"/>
    </row>
    <row r="214" spans="2:7" ht="15" thickBot="1">
      <c r="B214" s="1730"/>
      <c r="C214" s="1732"/>
      <c r="D214" s="1732"/>
      <c r="E214" s="1741"/>
      <c r="F214" s="1744"/>
      <c r="G214" s="1745"/>
    </row>
    <row r="215" spans="2:7">
      <c r="B215" s="1755" t="str">
        <f>+PRESUPUESTO!$A$2</f>
        <v>OBJETO: MEJORAMIENTO Y ADECUACIÓN DE LAS VIAS URBANAS DEL MUNICIPIO DE SANTA FE DE ANTIOQUIA</v>
      </c>
      <c r="C215" s="1757"/>
      <c r="D215" s="1757"/>
      <c r="E215" s="1757"/>
      <c r="F215" s="1757"/>
      <c r="G215" s="1758"/>
    </row>
    <row r="216" spans="2:7" ht="15" thickBot="1">
      <c r="B216" s="1759"/>
      <c r="C216" s="1761"/>
      <c r="D216" s="1761"/>
      <c r="E216" s="1761"/>
      <c r="F216" s="1761"/>
      <c r="G216" s="1762"/>
    </row>
    <row r="217" spans="2:7" ht="15" thickBot="1">
      <c r="B217" s="167" t="s">
        <v>1</v>
      </c>
      <c r="C217" s="2059"/>
      <c r="D217" s="1763"/>
      <c r="E217" s="1763"/>
      <c r="F217" s="2060"/>
      <c r="G217" s="168" t="s">
        <v>193</v>
      </c>
    </row>
    <row r="218" spans="2:7" ht="68.5" customHeight="1" thickBot="1">
      <c r="B218" s="145" t="str">
        <f>+P!A15</f>
        <v>4.5</v>
      </c>
      <c r="C218" s="2061" t="str">
        <f>+P!B15</f>
        <v>RETIRO DE CANOAS, RUANAS, BAJANTES y TUBERÍAS. Incluye el cargue, transporte, botada escombros en botaderos oficiales, recuperación de los materiales aprovechables y su transporte hasta el sitio que lo indique la interventoría.</v>
      </c>
      <c r="D218" s="1765"/>
      <c r="E218" s="1765"/>
      <c r="F218" s="2062"/>
      <c r="G218" s="169" t="str">
        <f>+P!C15</f>
        <v>m</v>
      </c>
    </row>
    <row r="219" spans="2:7" ht="15" thickBot="1">
      <c r="B219" s="216" t="s">
        <v>1178</v>
      </c>
      <c r="G219" s="196"/>
    </row>
    <row r="220" spans="2:7">
      <c r="B220" s="170" t="s">
        <v>897</v>
      </c>
      <c r="C220" s="224" t="s">
        <v>319</v>
      </c>
      <c r="D220" s="171" t="s">
        <v>320</v>
      </c>
      <c r="E220" s="171" t="s">
        <v>898</v>
      </c>
      <c r="F220" s="172" t="s">
        <v>899</v>
      </c>
      <c r="G220" s="254"/>
    </row>
    <row r="221" spans="2:7" ht="15" thickBot="1">
      <c r="B221" s="218" t="s">
        <v>1185</v>
      </c>
      <c r="C221" s="202" t="s">
        <v>916</v>
      </c>
      <c r="D221" s="203">
        <v>1.6666666666666666E-2</v>
      </c>
      <c r="E221" s="204">
        <f>+'FP OPERATIVO'!F35</f>
        <v>295642.2840888889</v>
      </c>
      <c r="F221" s="206">
        <f>+ROUND((D221*E221),0)</f>
        <v>4927</v>
      </c>
      <c r="G221" s="255"/>
    </row>
    <row r="222" spans="2:7" ht="15" thickBot="1">
      <c r="B222" s="212"/>
      <c r="C222" s="184" t="e">
        <f>+G222/$G$237</f>
        <v>#REF!</v>
      </c>
      <c r="D222" s="190"/>
      <c r="F222" s="212" t="s">
        <v>900</v>
      </c>
      <c r="G222" s="256">
        <f>+SUM(F221)</f>
        <v>4927</v>
      </c>
    </row>
    <row r="223" spans="2:7" ht="15" thickBot="1">
      <c r="B223" s="216" t="s">
        <v>1180</v>
      </c>
      <c r="G223" s="196"/>
    </row>
    <row r="224" spans="2:7">
      <c r="B224" s="170" t="s">
        <v>897</v>
      </c>
      <c r="C224" s="171" t="s">
        <v>319</v>
      </c>
      <c r="D224" s="171" t="s">
        <v>320</v>
      </c>
      <c r="E224" s="171" t="s">
        <v>898</v>
      </c>
      <c r="F224" s="187" t="s">
        <v>899</v>
      </c>
      <c r="G224" s="254"/>
    </row>
    <row r="225" spans="2:7" ht="15" thickBot="1">
      <c r="B225" s="218" t="s">
        <v>905</v>
      </c>
      <c r="C225" s="202" t="s">
        <v>906</v>
      </c>
      <c r="D225" s="203">
        <v>0.05</v>
      </c>
      <c r="E225" s="204">
        <f>+G222</f>
        <v>4927</v>
      </c>
      <c r="F225" s="205">
        <f>+ROUND((D225*E225),0)</f>
        <v>246</v>
      </c>
      <c r="G225" s="255"/>
    </row>
    <row r="226" spans="2:7" ht="15" thickBot="1">
      <c r="B226" s="212"/>
      <c r="C226" s="184" t="e">
        <f>+G226/$G$237</f>
        <v>#REF!</v>
      </c>
      <c r="D226" s="190"/>
      <c r="F226" s="212" t="s">
        <v>900</v>
      </c>
      <c r="G226" s="256">
        <f>+SUM(F225)</f>
        <v>246</v>
      </c>
    </row>
    <row r="227" spans="2:7" ht="15" thickBot="1">
      <c r="B227" s="216" t="s">
        <v>1181</v>
      </c>
      <c r="G227" s="196"/>
    </row>
    <row r="228" spans="2:7">
      <c r="B228" s="170" t="s">
        <v>897</v>
      </c>
      <c r="C228" s="171" t="s">
        <v>319</v>
      </c>
      <c r="D228" s="171" t="s">
        <v>320</v>
      </c>
      <c r="E228" s="171" t="s">
        <v>898</v>
      </c>
      <c r="F228" s="172" t="s">
        <v>899</v>
      </c>
      <c r="G228" s="254"/>
    </row>
    <row r="229" spans="2:7" ht="29">
      <c r="B229" s="217" t="s">
        <v>1193</v>
      </c>
      <c r="C229" s="208" t="s">
        <v>198</v>
      </c>
      <c r="D229" s="209">
        <v>0.05</v>
      </c>
      <c r="E229" s="210">
        <f>+EQUIPOS!C35</f>
        <v>5500</v>
      </c>
      <c r="F229" s="211">
        <f>+ROUND((D229*E229),0)</f>
        <v>275</v>
      </c>
      <c r="G229" s="257"/>
    </row>
    <row r="230" spans="2:7" ht="29.5" thickBot="1">
      <c r="B230" s="218" t="s">
        <v>1194</v>
      </c>
      <c r="C230" s="202" t="s">
        <v>198</v>
      </c>
      <c r="D230" s="203">
        <v>0.15</v>
      </c>
      <c r="E230" s="204">
        <f>+EQUIPOS!C36</f>
        <v>600</v>
      </c>
      <c r="F230" s="206">
        <f>+ROUND((D230*E230),0)</f>
        <v>90</v>
      </c>
      <c r="G230" s="255"/>
    </row>
    <row r="231" spans="2:7" ht="15" thickBot="1">
      <c r="B231" s="212"/>
      <c r="C231" s="184" t="e">
        <f>+G231/$G$237</f>
        <v>#REF!</v>
      </c>
      <c r="D231" s="190"/>
      <c r="F231" s="212" t="s">
        <v>900</v>
      </c>
      <c r="G231" s="256">
        <f>+SUM(F229:F230)</f>
        <v>365</v>
      </c>
    </row>
    <row r="232" spans="2:7" ht="15" thickBot="1">
      <c r="B232" s="216" t="s">
        <v>1182</v>
      </c>
      <c r="G232" s="196"/>
    </row>
    <row r="233" spans="2:7">
      <c r="B233" s="170" t="s">
        <v>897</v>
      </c>
      <c r="C233" s="171" t="s">
        <v>319</v>
      </c>
      <c r="D233" s="171" t="s">
        <v>320</v>
      </c>
      <c r="E233" s="171" t="s">
        <v>898</v>
      </c>
      <c r="F233" s="187" t="s">
        <v>899</v>
      </c>
      <c r="G233" s="254"/>
    </row>
    <row r="234" spans="2:7" ht="29.5" thickBot="1">
      <c r="B234" s="218" t="s">
        <v>1183</v>
      </c>
      <c r="C234" s="202" t="s">
        <v>14</v>
      </c>
      <c r="D234" s="203">
        <v>1.35E-2</v>
      </c>
      <c r="E234" s="204" t="e">
        <f>+P!E13</f>
        <v>#REF!</v>
      </c>
      <c r="F234" s="205" t="e">
        <f>+ROUND((D234*E234),0)</f>
        <v>#REF!</v>
      </c>
      <c r="G234" s="255"/>
    </row>
    <row r="235" spans="2:7" ht="15" thickBot="1">
      <c r="B235" s="212"/>
      <c r="C235" s="184" t="e">
        <f>+G235/$G$237</f>
        <v>#REF!</v>
      </c>
      <c r="D235" s="190"/>
      <c r="F235" s="212" t="s">
        <v>900</v>
      </c>
      <c r="G235" s="256" t="e">
        <f>+SUM(F234)</f>
        <v>#REF!</v>
      </c>
    </row>
    <row r="236" spans="2:7" ht="15" thickBot="1">
      <c r="B236" s="199"/>
      <c r="C236" s="201"/>
      <c r="D236" s="253"/>
      <c r="E236" s="253"/>
      <c r="F236" s="253"/>
      <c r="G236" s="196"/>
    </row>
    <row r="237" spans="2:7" ht="15" thickBot="1">
      <c r="B237" s="195"/>
      <c r="C237" s="196"/>
      <c r="D237" s="197" t="s">
        <v>908</v>
      </c>
      <c r="E237" s="198"/>
      <c r="F237" s="198"/>
      <c r="G237" s="153" t="e">
        <f>ROUNDUP(SUM(G220:G235),0)</f>
        <v>#REF!</v>
      </c>
    </row>
    <row r="238" spans="2:7" ht="15" thickBot="1">
      <c r="B238" s="199"/>
      <c r="C238" s="201"/>
      <c r="D238" s="253"/>
      <c r="E238" s="253"/>
      <c r="F238" s="253"/>
      <c r="G238" s="196"/>
    </row>
    <row r="239" spans="2:7" ht="20.5" customHeight="1">
      <c r="B239" s="1721"/>
      <c r="C239" s="1770" t="s">
        <v>1175</v>
      </c>
      <c r="D239" s="1770"/>
      <c r="E239" s="1770"/>
      <c r="F239" s="1770"/>
      <c r="G239" s="1771"/>
    </row>
    <row r="240" spans="2:7" ht="20.5" customHeight="1">
      <c r="B240" s="1722"/>
      <c r="C240" s="1772"/>
      <c r="D240" s="1772"/>
      <c r="E240" s="1772"/>
      <c r="F240" s="1772"/>
      <c r="G240" s="1773"/>
    </row>
    <row r="241" spans="2:7" ht="20.5" customHeight="1">
      <c r="B241" s="1722"/>
      <c r="C241" s="1772"/>
      <c r="D241" s="1772"/>
      <c r="E241" s="1772"/>
      <c r="F241" s="1772"/>
      <c r="G241" s="1773"/>
    </row>
    <row r="242" spans="2:7" ht="20.5" customHeight="1">
      <c r="B242" s="1722"/>
      <c r="C242" s="1772"/>
      <c r="D242" s="1772"/>
      <c r="E242" s="1772"/>
      <c r="F242" s="1772"/>
      <c r="G242" s="1773"/>
    </row>
    <row r="243" spans="2:7" ht="20.5" customHeight="1" thickBot="1">
      <c r="B243" s="1723"/>
      <c r="C243" s="1774"/>
      <c r="D243" s="1774"/>
      <c r="E243" s="1774"/>
      <c r="F243" s="1774"/>
      <c r="G243" s="1775"/>
    </row>
    <row r="244" spans="2:7">
      <c r="B244" s="1724" t="s">
        <v>890</v>
      </c>
      <c r="C244" s="1726"/>
      <c r="D244" s="1726"/>
      <c r="E244" s="1733" t="s">
        <v>891</v>
      </c>
      <c r="F244" s="1735"/>
      <c r="G244" s="1736"/>
    </row>
    <row r="245" spans="2:7">
      <c r="B245" s="1727"/>
      <c r="C245" s="1729"/>
      <c r="D245" s="1729"/>
      <c r="E245" s="1734"/>
      <c r="F245" s="1737"/>
      <c r="G245" s="1738"/>
    </row>
    <row r="246" spans="2:7">
      <c r="B246" s="1727"/>
      <c r="C246" s="1729"/>
      <c r="D246" s="1729"/>
      <c r="E246" s="332" t="s">
        <v>892</v>
      </c>
      <c r="F246" s="1739"/>
      <c r="G246" s="1740"/>
    </row>
    <row r="247" spans="2:7">
      <c r="B247" s="1727"/>
      <c r="C247" s="1729"/>
      <c r="D247" s="1729"/>
      <c r="E247" s="332" t="s">
        <v>893</v>
      </c>
      <c r="F247" s="1739"/>
      <c r="G247" s="1740"/>
    </row>
    <row r="248" spans="2:7">
      <c r="B248" s="1727"/>
      <c r="C248" s="1729"/>
      <c r="D248" s="1729"/>
      <c r="E248" s="1734" t="s">
        <v>894</v>
      </c>
      <c r="F248" s="1742"/>
      <c r="G248" s="1743"/>
    </row>
    <row r="249" spans="2:7" ht="15" thickBot="1">
      <c r="B249" s="1730"/>
      <c r="C249" s="1732"/>
      <c r="D249" s="1732"/>
      <c r="E249" s="1741"/>
      <c r="F249" s="1744"/>
      <c r="G249" s="1745"/>
    </row>
    <row r="250" spans="2:7">
      <c r="B250" s="1755" t="str">
        <f>+PRESUPUESTO!$A$2</f>
        <v>OBJETO: MEJORAMIENTO Y ADECUACIÓN DE LAS VIAS URBANAS DEL MUNICIPIO DE SANTA FE DE ANTIOQUIA</v>
      </c>
      <c r="C250" s="1757"/>
      <c r="D250" s="1757"/>
      <c r="E250" s="1757"/>
      <c r="F250" s="1757"/>
      <c r="G250" s="1758"/>
    </row>
    <row r="251" spans="2:7" ht="15" thickBot="1">
      <c r="B251" s="1759"/>
      <c r="C251" s="1761"/>
      <c r="D251" s="1761"/>
      <c r="E251" s="1761"/>
      <c r="F251" s="1761"/>
      <c r="G251" s="1762"/>
    </row>
    <row r="252" spans="2:7" ht="15" thickBot="1">
      <c r="B252" s="167" t="s">
        <v>1</v>
      </c>
      <c r="C252" s="2059"/>
      <c r="D252" s="1763"/>
      <c r="E252" s="1763"/>
      <c r="F252" s="2060"/>
      <c r="G252" s="168" t="s">
        <v>193</v>
      </c>
    </row>
    <row r="253" spans="2:7" ht="76.25" customHeight="1" thickBot="1">
      <c r="B253" s="145" t="str">
        <f>+P!A16</f>
        <v>4.6</v>
      </c>
      <c r="C253" s="2061" t="str">
        <f>+P!B16</f>
        <v>RETIRO DE CERRAMIENTO EN MALLA ESLABONADA. Incluye el retiro, cargue y transporte de los materiales, recuperación de los materiales aprovechables como tubería, malla eslabonada y alambre de púas y su transporte hasta el sitio que indique la interventoría, demolición de concreto, cargue, transporte y botada de escombros provenientes de este retiro en botaderos oficiales o donde indique la interventoría.</v>
      </c>
      <c r="D253" s="1765"/>
      <c r="E253" s="1765"/>
      <c r="F253" s="2062"/>
      <c r="G253" s="169" t="str">
        <f>+P!C16</f>
        <v>m2</v>
      </c>
    </row>
    <row r="254" spans="2:7" ht="15" thickBot="1">
      <c r="B254" s="216" t="s">
        <v>1178</v>
      </c>
      <c r="G254" s="196"/>
    </row>
    <row r="255" spans="2:7">
      <c r="B255" s="170" t="s">
        <v>897</v>
      </c>
      <c r="C255" s="171" t="s">
        <v>319</v>
      </c>
      <c r="D255" s="171" t="s">
        <v>320</v>
      </c>
      <c r="E255" s="171" t="s">
        <v>898</v>
      </c>
      <c r="F255" s="172" t="s">
        <v>899</v>
      </c>
      <c r="G255" s="254"/>
    </row>
    <row r="256" spans="2:7" ht="15" thickBot="1">
      <c r="B256" s="218" t="s">
        <v>1185</v>
      </c>
      <c r="C256" s="202" t="s">
        <v>916</v>
      </c>
      <c r="D256" s="203">
        <v>0.1111111111111111</v>
      </c>
      <c r="E256" s="204">
        <f>+'FP OPERATIVO'!F35</f>
        <v>295642.2840888889</v>
      </c>
      <c r="F256" s="206">
        <f>+ROUND((D256*E256),0)</f>
        <v>32849</v>
      </c>
      <c r="G256" s="255"/>
    </row>
    <row r="257" spans="2:7" ht="15" thickBot="1">
      <c r="B257" s="212"/>
      <c r="C257" s="184" t="e">
        <f>+G257/$G$271</f>
        <v>#REF!</v>
      </c>
      <c r="D257" s="190"/>
      <c r="F257" s="212" t="s">
        <v>900</v>
      </c>
      <c r="G257" s="258">
        <f>+SUM(F256)</f>
        <v>32849</v>
      </c>
    </row>
    <row r="258" spans="2:7" ht="15" thickBot="1">
      <c r="B258" s="216" t="s">
        <v>1180</v>
      </c>
      <c r="G258" s="196"/>
    </row>
    <row r="259" spans="2:7">
      <c r="B259" s="170" t="s">
        <v>897</v>
      </c>
      <c r="C259" s="171" t="s">
        <v>319</v>
      </c>
      <c r="D259" s="171" t="s">
        <v>320</v>
      </c>
      <c r="E259" s="171" t="s">
        <v>898</v>
      </c>
      <c r="F259" s="187" t="s">
        <v>899</v>
      </c>
      <c r="G259" s="254"/>
    </row>
    <row r="260" spans="2:7" ht="15" thickBot="1">
      <c r="B260" s="218" t="s">
        <v>905</v>
      </c>
      <c r="C260" s="202" t="s">
        <v>906</v>
      </c>
      <c r="D260" s="203">
        <v>0.05</v>
      </c>
      <c r="E260" s="204">
        <f>+G257</f>
        <v>32849</v>
      </c>
      <c r="F260" s="205">
        <f>+ROUND((D260*E260),0)</f>
        <v>1642</v>
      </c>
      <c r="G260" s="255"/>
    </row>
    <row r="261" spans="2:7" ht="15" thickBot="1">
      <c r="B261" s="212"/>
      <c r="C261" s="184" t="e">
        <f>+G261/$G$271</f>
        <v>#REF!</v>
      </c>
      <c r="D261" s="190"/>
      <c r="F261" s="212" t="s">
        <v>900</v>
      </c>
      <c r="G261" s="258">
        <f>+SUM(F260)</f>
        <v>1642</v>
      </c>
    </row>
    <row r="262" spans="2:7" ht="15" thickBot="1">
      <c r="B262" s="216" t="s">
        <v>1181</v>
      </c>
      <c r="G262" s="196"/>
    </row>
    <row r="263" spans="2:7">
      <c r="B263" s="170" t="s">
        <v>897</v>
      </c>
      <c r="C263" s="171" t="s">
        <v>319</v>
      </c>
      <c r="D263" s="171" t="s">
        <v>320</v>
      </c>
      <c r="E263" s="171" t="s">
        <v>898</v>
      </c>
      <c r="F263" s="187" t="s">
        <v>899</v>
      </c>
      <c r="G263" s="254"/>
    </row>
    <row r="264" spans="2:7" ht="29.5" thickBot="1">
      <c r="B264" s="218" t="s">
        <v>1120</v>
      </c>
      <c r="C264" s="202" t="s">
        <v>198</v>
      </c>
      <c r="D264" s="203">
        <v>0.04</v>
      </c>
      <c r="E264" s="204">
        <f>+EQUIPOS!C26</f>
        <v>98705</v>
      </c>
      <c r="F264" s="205">
        <f>+ROUND((D264*E264),0)</f>
        <v>3948</v>
      </c>
      <c r="G264" s="255"/>
    </row>
    <row r="265" spans="2:7" ht="15" thickBot="1">
      <c r="B265" s="212"/>
      <c r="C265" s="184" t="e">
        <f>+G265/$G$271</f>
        <v>#REF!</v>
      </c>
      <c r="D265" s="190"/>
      <c r="F265" s="212" t="s">
        <v>900</v>
      </c>
      <c r="G265" s="258">
        <f>+SUM(F264)</f>
        <v>3948</v>
      </c>
    </row>
    <row r="266" spans="2:7" ht="15" thickBot="1">
      <c r="B266" s="216" t="s">
        <v>1182</v>
      </c>
      <c r="G266" s="196"/>
    </row>
    <row r="267" spans="2:7">
      <c r="B267" s="170" t="s">
        <v>897</v>
      </c>
      <c r="C267" s="171" t="s">
        <v>319</v>
      </c>
      <c r="D267" s="171" t="s">
        <v>320</v>
      </c>
      <c r="E267" s="171" t="s">
        <v>898</v>
      </c>
      <c r="F267" s="187" t="s">
        <v>899</v>
      </c>
      <c r="G267" s="254"/>
    </row>
    <row r="268" spans="2:7" ht="29.5" thickBot="1">
      <c r="B268" s="218" t="s">
        <v>1183</v>
      </c>
      <c r="C268" s="202" t="s">
        <v>14</v>
      </c>
      <c r="D268" s="203">
        <v>0.18</v>
      </c>
      <c r="E268" s="204" t="e">
        <f>+P!E13</f>
        <v>#REF!</v>
      </c>
      <c r="F268" s="205" t="e">
        <f>+ROUND((D268*E268),0)</f>
        <v>#REF!</v>
      </c>
      <c r="G268" s="255"/>
    </row>
    <row r="269" spans="2:7" ht="15" thickBot="1">
      <c r="B269" s="212"/>
      <c r="C269" s="184" t="e">
        <f>+G269/$G$271</f>
        <v>#REF!</v>
      </c>
      <c r="D269" s="190"/>
      <c r="F269" s="212" t="s">
        <v>900</v>
      </c>
      <c r="G269" s="258" t="e">
        <f>+SUM(F268)</f>
        <v>#REF!</v>
      </c>
    </row>
    <row r="270" spans="2:7" ht="15" thickBot="1">
      <c r="B270" s="199"/>
      <c r="C270" s="201"/>
      <c r="D270" s="253"/>
      <c r="E270" s="253"/>
      <c r="F270" s="253"/>
      <c r="G270" s="196"/>
    </row>
    <row r="271" spans="2:7" ht="15" thickBot="1">
      <c r="B271" s="195"/>
      <c r="C271" s="196"/>
      <c r="D271" s="197" t="s">
        <v>908</v>
      </c>
      <c r="E271" s="198"/>
      <c r="F271" s="198"/>
      <c r="G271" s="153" t="e">
        <f>ROUNDUP(SUM(G255:G269),0)</f>
        <v>#REF!</v>
      </c>
    </row>
    <row r="272" spans="2:7" ht="15" thickBot="1">
      <c r="B272" s="199"/>
      <c r="C272" s="201"/>
      <c r="D272" s="253"/>
      <c r="E272" s="253"/>
      <c r="F272" s="253"/>
      <c r="G272" s="196"/>
    </row>
    <row r="273" spans="2:7" ht="19.25" customHeight="1">
      <c r="B273" s="1721"/>
      <c r="C273" s="1770" t="s">
        <v>1175</v>
      </c>
      <c r="D273" s="1770"/>
      <c r="E273" s="1770"/>
      <c r="F273" s="1770"/>
      <c r="G273" s="1771"/>
    </row>
    <row r="274" spans="2:7" ht="19.25" customHeight="1">
      <c r="B274" s="1722"/>
      <c r="C274" s="1772"/>
      <c r="D274" s="1772"/>
      <c r="E274" s="1772"/>
      <c r="F274" s="1772"/>
      <c r="G274" s="1773"/>
    </row>
    <row r="275" spans="2:7" ht="19.25" customHeight="1">
      <c r="B275" s="1722"/>
      <c r="C275" s="1772"/>
      <c r="D275" s="1772"/>
      <c r="E275" s="1772"/>
      <c r="F275" s="1772"/>
      <c r="G275" s="1773"/>
    </row>
    <row r="276" spans="2:7" ht="19.25" customHeight="1">
      <c r="B276" s="1722"/>
      <c r="C276" s="1772"/>
      <c r="D276" s="1772"/>
      <c r="E276" s="1772"/>
      <c r="F276" s="1772"/>
      <c r="G276" s="1773"/>
    </row>
    <row r="277" spans="2:7" ht="19.25" customHeight="1" thickBot="1">
      <c r="B277" s="1723"/>
      <c r="C277" s="1774"/>
      <c r="D277" s="1774"/>
      <c r="E277" s="1774"/>
      <c r="F277" s="1774"/>
      <c r="G277" s="1775"/>
    </row>
    <row r="278" spans="2:7">
      <c r="B278" s="1724" t="s">
        <v>890</v>
      </c>
      <c r="C278" s="1726"/>
      <c r="D278" s="1726"/>
      <c r="E278" s="1733" t="s">
        <v>891</v>
      </c>
      <c r="F278" s="1735"/>
      <c r="G278" s="1736"/>
    </row>
    <row r="279" spans="2:7">
      <c r="B279" s="1727"/>
      <c r="C279" s="1729"/>
      <c r="D279" s="1729"/>
      <c r="E279" s="1734"/>
      <c r="F279" s="1737"/>
      <c r="G279" s="1738"/>
    </row>
    <row r="280" spans="2:7">
      <c r="B280" s="1727"/>
      <c r="C280" s="1729"/>
      <c r="D280" s="1729"/>
      <c r="E280" s="332" t="s">
        <v>892</v>
      </c>
      <c r="F280" s="1739"/>
      <c r="G280" s="1740"/>
    </row>
    <row r="281" spans="2:7">
      <c r="B281" s="1727"/>
      <c r="C281" s="1729"/>
      <c r="D281" s="1729"/>
      <c r="E281" s="332" t="s">
        <v>893</v>
      </c>
      <c r="F281" s="1739"/>
      <c r="G281" s="1740"/>
    </row>
    <row r="282" spans="2:7">
      <c r="B282" s="1727"/>
      <c r="C282" s="1729"/>
      <c r="D282" s="1729"/>
      <c r="E282" s="1734" t="s">
        <v>894</v>
      </c>
      <c r="F282" s="1742"/>
      <c r="G282" s="1743"/>
    </row>
    <row r="283" spans="2:7" ht="15" thickBot="1">
      <c r="B283" s="1730"/>
      <c r="C283" s="1732"/>
      <c r="D283" s="1732"/>
      <c r="E283" s="1741"/>
      <c r="F283" s="1744"/>
      <c r="G283" s="1745"/>
    </row>
    <row r="284" spans="2:7">
      <c r="B284" s="1755" t="str">
        <f>+PRESUPUESTO!$A$2</f>
        <v>OBJETO: MEJORAMIENTO Y ADECUACIÓN DE LAS VIAS URBANAS DEL MUNICIPIO DE SANTA FE DE ANTIOQUIA</v>
      </c>
      <c r="C284" s="1757"/>
      <c r="D284" s="1757"/>
      <c r="E284" s="1757"/>
      <c r="F284" s="1757"/>
      <c r="G284" s="1758"/>
    </row>
    <row r="285" spans="2:7" ht="15" thickBot="1">
      <c r="B285" s="1759"/>
      <c r="C285" s="1761"/>
      <c r="D285" s="1761"/>
      <c r="E285" s="1761"/>
      <c r="F285" s="1761"/>
      <c r="G285" s="1762"/>
    </row>
    <row r="286" spans="2:7" ht="15" thickBot="1">
      <c r="B286" s="167" t="s">
        <v>1</v>
      </c>
      <c r="C286" s="2059"/>
      <c r="D286" s="1763"/>
      <c r="E286" s="1763"/>
      <c r="F286" s="2060"/>
      <c r="G286" s="168" t="s">
        <v>193</v>
      </c>
    </row>
    <row r="287" spans="2:7" ht="85.25" customHeight="1" thickBot="1">
      <c r="B287" s="145" t="str">
        <f>+P!A17</f>
        <v>4.7</v>
      </c>
      <c r="C287" s="2061" t="str">
        <f>+P!B17</f>
        <v>RETIRO DE CUBIERTA EN TEJA DE ASBESTO - CEMENTO, teja plástica o teja similar. Incluye cargue, transporte, botada o recuperación de tablilla, alfardas, cargueras y soleras, cargue, transporte y botada de escombros en botaderos oficiales, recuperación de los materiales aprovechables o su transporte hasta el sitio que lo indique la interventoría. Medido en proyección horizontal.</v>
      </c>
      <c r="D287" s="1765"/>
      <c r="E287" s="1765"/>
      <c r="F287" s="2062"/>
      <c r="G287" s="169" t="str">
        <f>+P!C17</f>
        <v>m2</v>
      </c>
    </row>
    <row r="288" spans="2:7" ht="15" thickBot="1">
      <c r="B288" s="216" t="s">
        <v>1178</v>
      </c>
      <c r="G288" s="196"/>
    </row>
    <row r="289" spans="2:7">
      <c r="B289" s="170" t="s">
        <v>897</v>
      </c>
      <c r="C289" s="171" t="s">
        <v>319</v>
      </c>
      <c r="D289" s="171" t="s">
        <v>320</v>
      </c>
      <c r="E289" s="171" t="s">
        <v>898</v>
      </c>
      <c r="F289" s="172" t="s">
        <v>899</v>
      </c>
      <c r="G289" s="254"/>
    </row>
    <row r="290" spans="2:7" ht="15" thickBot="1">
      <c r="B290" s="218" t="s">
        <v>1195</v>
      </c>
      <c r="C290" s="202" t="s">
        <v>916</v>
      </c>
      <c r="D290" s="203">
        <v>8.8099470699785173E-2</v>
      </c>
      <c r="E290" s="204">
        <f>+'FP OPERATIVO'!F37</f>
        <v>400346.36479999998</v>
      </c>
      <c r="F290" s="206">
        <f>+ROUND((D290*E290),0)</f>
        <v>35270</v>
      </c>
      <c r="G290" s="255"/>
    </row>
    <row r="291" spans="2:7" ht="15" thickBot="1">
      <c r="B291" s="212"/>
      <c r="C291" s="184" t="e">
        <f>+G291/$G$306</f>
        <v>#REF!</v>
      </c>
      <c r="D291" s="190"/>
      <c r="F291" s="212" t="s">
        <v>900</v>
      </c>
      <c r="G291" s="256">
        <f>+SUM(F290)</f>
        <v>35270</v>
      </c>
    </row>
    <row r="292" spans="2:7" ht="15" thickBot="1">
      <c r="B292" s="216" t="s">
        <v>1180</v>
      </c>
      <c r="G292" s="196"/>
    </row>
    <row r="293" spans="2:7">
      <c r="B293" s="170" t="s">
        <v>897</v>
      </c>
      <c r="C293" s="171" t="s">
        <v>319</v>
      </c>
      <c r="D293" s="171" t="s">
        <v>320</v>
      </c>
      <c r="E293" s="171" t="s">
        <v>898</v>
      </c>
      <c r="F293" s="172" t="s">
        <v>899</v>
      </c>
      <c r="G293" s="254"/>
    </row>
    <row r="294" spans="2:7" ht="15" thickBot="1">
      <c r="B294" s="218" t="s">
        <v>905</v>
      </c>
      <c r="C294" s="202" t="s">
        <v>906</v>
      </c>
      <c r="D294" s="203">
        <f>0.05</f>
        <v>0.05</v>
      </c>
      <c r="E294" s="204">
        <f>+G291</f>
        <v>35270</v>
      </c>
      <c r="F294" s="206">
        <f>+ROUND((D294*E294),0)</f>
        <v>1764</v>
      </c>
      <c r="G294" s="255"/>
    </row>
    <row r="295" spans="2:7" ht="15" thickBot="1">
      <c r="B295" s="212"/>
      <c r="C295" s="184" t="e">
        <f>+G295/$G$306</f>
        <v>#REF!</v>
      </c>
      <c r="D295" s="190"/>
      <c r="F295" s="212" t="s">
        <v>900</v>
      </c>
      <c r="G295" s="256">
        <f>+SUM(F294)</f>
        <v>1764</v>
      </c>
    </row>
    <row r="296" spans="2:7" ht="15" thickBot="1">
      <c r="B296" s="216" t="s">
        <v>1181</v>
      </c>
      <c r="G296" s="196"/>
    </row>
    <row r="297" spans="2:7">
      <c r="B297" s="170" t="s">
        <v>897</v>
      </c>
      <c r="C297" s="171" t="s">
        <v>319</v>
      </c>
      <c r="D297" s="171" t="s">
        <v>320</v>
      </c>
      <c r="E297" s="171" t="s">
        <v>898</v>
      </c>
      <c r="F297" s="172" t="s">
        <v>899</v>
      </c>
      <c r="G297" s="254"/>
    </row>
    <row r="298" spans="2:7" ht="29">
      <c r="B298" s="217" t="s">
        <v>1193</v>
      </c>
      <c r="C298" s="208" t="s">
        <v>198</v>
      </c>
      <c r="D298" s="209">
        <v>0.18182000000000001</v>
      </c>
      <c r="E298" s="210">
        <f>+EQUIPOS!C35</f>
        <v>5500</v>
      </c>
      <c r="F298" s="211">
        <f>+ROUND((D298*E298),0)</f>
        <v>1000</v>
      </c>
      <c r="G298" s="257"/>
    </row>
    <row r="299" spans="2:7" ht="29.5" thickBot="1">
      <c r="B299" s="218" t="s">
        <v>1194</v>
      </c>
      <c r="C299" s="202" t="s">
        <v>198</v>
      </c>
      <c r="D299" s="203">
        <v>0.36364000000000002</v>
      </c>
      <c r="E299" s="204">
        <f>+EQUIPOS!C36</f>
        <v>600</v>
      </c>
      <c r="F299" s="206">
        <f>+ROUND((D299*E299),0)</f>
        <v>218</v>
      </c>
      <c r="G299" s="255"/>
    </row>
    <row r="300" spans="2:7" ht="15" thickBot="1">
      <c r="B300" s="212"/>
      <c r="C300" s="184" t="e">
        <f>+G300/$G$306</f>
        <v>#REF!</v>
      </c>
      <c r="D300" s="190"/>
      <c r="F300" s="212" t="s">
        <v>900</v>
      </c>
      <c r="G300" s="256">
        <f>+SUM(F298:F299)</f>
        <v>1218</v>
      </c>
    </row>
    <row r="301" spans="2:7" ht="15" thickBot="1">
      <c r="B301" s="216" t="s">
        <v>1182</v>
      </c>
      <c r="G301" s="196"/>
    </row>
    <row r="302" spans="2:7">
      <c r="B302" s="170" t="s">
        <v>897</v>
      </c>
      <c r="C302" s="171" t="s">
        <v>319</v>
      </c>
      <c r="D302" s="171" t="s">
        <v>320</v>
      </c>
      <c r="E302" s="171" t="s">
        <v>898</v>
      </c>
      <c r="F302" s="172" t="s">
        <v>899</v>
      </c>
      <c r="G302" s="254"/>
    </row>
    <row r="303" spans="2:7" ht="29.5" thickBot="1">
      <c r="B303" s="218" t="s">
        <v>1183</v>
      </c>
      <c r="C303" s="202" t="s">
        <v>14</v>
      </c>
      <c r="D303" s="203">
        <v>8.133E-2</v>
      </c>
      <c r="E303" s="204" t="e">
        <f>+P!E13</f>
        <v>#REF!</v>
      </c>
      <c r="F303" s="206" t="e">
        <f>+ROUND((D303*E303),0)</f>
        <v>#REF!</v>
      </c>
      <c r="G303" s="255"/>
    </row>
    <row r="304" spans="2:7" ht="15" thickBot="1">
      <c r="B304" s="212"/>
      <c r="C304" s="184" t="e">
        <f>+G304/$G$306</f>
        <v>#REF!</v>
      </c>
      <c r="D304" s="190"/>
      <c r="F304" s="212" t="s">
        <v>900</v>
      </c>
      <c r="G304" s="256" t="e">
        <f>+SUM(F303)</f>
        <v>#REF!</v>
      </c>
    </row>
    <row r="305" spans="2:11" ht="15" thickBot="1">
      <c r="B305" s="199"/>
      <c r="C305" s="201"/>
      <c r="D305" s="253"/>
      <c r="E305" s="253"/>
      <c r="F305" s="253"/>
      <c r="G305" s="196"/>
    </row>
    <row r="306" spans="2:11" ht="15" thickBot="1">
      <c r="B306" s="195"/>
      <c r="C306" s="196"/>
      <c r="D306" s="197" t="s">
        <v>908</v>
      </c>
      <c r="E306" s="198"/>
      <c r="F306" s="198"/>
      <c r="G306" s="153" t="e">
        <f>ROUNDUP(SUM(G289:G304),0)</f>
        <v>#REF!</v>
      </c>
      <c r="I306" s="63"/>
      <c r="J306" s="5"/>
      <c r="K306" s="5"/>
    </row>
    <row r="307" spans="2:11" ht="15" thickBot="1">
      <c r="B307" s="199"/>
      <c r="C307" s="201"/>
      <c r="D307" s="253"/>
      <c r="E307" s="253"/>
      <c r="F307" s="253"/>
      <c r="G307" s="196"/>
    </row>
    <row r="308" spans="2:11" ht="18.5" customHeight="1">
      <c r="B308" s="1721"/>
      <c r="C308" s="1770" t="s">
        <v>1175</v>
      </c>
      <c r="D308" s="1770"/>
      <c r="E308" s="1770"/>
      <c r="F308" s="1770"/>
      <c r="G308" s="1771"/>
    </row>
    <row r="309" spans="2:11" ht="18.5" customHeight="1">
      <c r="B309" s="1722"/>
      <c r="C309" s="1772"/>
      <c r="D309" s="1772"/>
      <c r="E309" s="1772"/>
      <c r="F309" s="1772"/>
      <c r="G309" s="1773"/>
    </row>
    <row r="310" spans="2:11" ht="18.5" customHeight="1">
      <c r="B310" s="1722"/>
      <c r="C310" s="1772"/>
      <c r="D310" s="1772"/>
      <c r="E310" s="1772"/>
      <c r="F310" s="1772"/>
      <c r="G310" s="1773"/>
    </row>
    <row r="311" spans="2:11" ht="18.5" customHeight="1">
      <c r="B311" s="1722"/>
      <c r="C311" s="1772"/>
      <c r="D311" s="1772"/>
      <c r="E311" s="1772"/>
      <c r="F311" s="1772"/>
      <c r="G311" s="1773"/>
    </row>
    <row r="312" spans="2:11" ht="18.5" customHeight="1" thickBot="1">
      <c r="B312" s="1723"/>
      <c r="C312" s="1774"/>
      <c r="D312" s="1774"/>
      <c r="E312" s="1774"/>
      <c r="F312" s="1774"/>
      <c r="G312" s="1775"/>
    </row>
    <row r="313" spans="2:11">
      <c r="B313" s="1724" t="s">
        <v>890</v>
      </c>
      <c r="C313" s="1726"/>
      <c r="D313" s="1726"/>
      <c r="E313" s="1733" t="s">
        <v>891</v>
      </c>
      <c r="F313" s="1735"/>
      <c r="G313" s="1736"/>
    </row>
    <row r="314" spans="2:11">
      <c r="B314" s="1727"/>
      <c r="C314" s="1729"/>
      <c r="D314" s="1729"/>
      <c r="E314" s="1734"/>
      <c r="F314" s="1737"/>
      <c r="G314" s="1738"/>
    </row>
    <row r="315" spans="2:11">
      <c r="B315" s="1727"/>
      <c r="C315" s="1729"/>
      <c r="D315" s="1729"/>
      <c r="E315" s="332" t="s">
        <v>892</v>
      </c>
      <c r="F315" s="1739"/>
      <c r="G315" s="1740"/>
    </row>
    <row r="316" spans="2:11">
      <c r="B316" s="1727"/>
      <c r="C316" s="1729"/>
      <c r="D316" s="1729"/>
      <c r="E316" s="332" t="s">
        <v>893</v>
      </c>
      <c r="F316" s="1739"/>
      <c r="G316" s="1740"/>
    </row>
    <row r="317" spans="2:11">
      <c r="B317" s="1727"/>
      <c r="C317" s="1729"/>
      <c r="D317" s="1729"/>
      <c r="E317" s="1734" t="s">
        <v>894</v>
      </c>
      <c r="F317" s="1742"/>
      <c r="G317" s="1743"/>
    </row>
    <row r="318" spans="2:11" ht="15" thickBot="1">
      <c r="B318" s="1730"/>
      <c r="C318" s="1732"/>
      <c r="D318" s="1732"/>
      <c r="E318" s="1741"/>
      <c r="F318" s="1744"/>
      <c r="G318" s="1745"/>
    </row>
    <row r="319" spans="2:11">
      <c r="B319" s="1755" t="str">
        <f>+PRESUPUESTO!$A$2</f>
        <v>OBJETO: MEJORAMIENTO Y ADECUACIÓN DE LAS VIAS URBANAS DEL MUNICIPIO DE SANTA FE DE ANTIOQUIA</v>
      </c>
      <c r="C319" s="1757"/>
      <c r="D319" s="1757"/>
      <c r="E319" s="1757"/>
      <c r="F319" s="1757"/>
      <c r="G319" s="1758"/>
    </row>
    <row r="320" spans="2:11" ht="15" thickBot="1">
      <c r="B320" s="1759"/>
      <c r="C320" s="1761"/>
      <c r="D320" s="1761"/>
      <c r="E320" s="1761"/>
      <c r="F320" s="1761"/>
      <c r="G320" s="1762"/>
    </row>
    <row r="321" spans="2:7" ht="15" thickBot="1">
      <c r="B321" s="167" t="s">
        <v>1</v>
      </c>
      <c r="C321" s="2059"/>
      <c r="D321" s="1763"/>
      <c r="E321" s="1763"/>
      <c r="F321" s="2060"/>
      <c r="G321" s="168" t="s">
        <v>193</v>
      </c>
    </row>
    <row r="322" spans="2:7" ht="47.5" customHeight="1" thickBot="1">
      <c r="B322" s="145" t="str">
        <f>+P!A18</f>
        <v>4.8</v>
      </c>
      <c r="C322" s="2061" t="str">
        <f>+P!B18</f>
        <v>RETIRO DE PIEDRA DE ENTRESUELO para su reutilización en la obra. Incluye cargue, transporte interno para su almacenaje y botada de la arenilla y del material que no se pueda recuperar.</v>
      </c>
      <c r="D322" s="1765"/>
      <c r="E322" s="1765"/>
      <c r="F322" s="2062"/>
      <c r="G322" s="169" t="str">
        <f>+P!C18</f>
        <v>m2</v>
      </c>
    </row>
    <row r="323" spans="2:7" ht="15" thickBot="1">
      <c r="B323" s="216" t="s">
        <v>1178</v>
      </c>
      <c r="G323" s="196"/>
    </row>
    <row r="324" spans="2:7">
      <c r="B324" s="170" t="s">
        <v>897</v>
      </c>
      <c r="C324" s="171" t="s">
        <v>319</v>
      </c>
      <c r="D324" s="171" t="s">
        <v>320</v>
      </c>
      <c r="E324" s="171" t="s">
        <v>898</v>
      </c>
      <c r="F324" s="172" t="s">
        <v>899</v>
      </c>
      <c r="G324" s="254"/>
    </row>
    <row r="325" spans="2:7" ht="15" thickBot="1">
      <c r="B325" s="218" t="s">
        <v>1185</v>
      </c>
      <c r="C325" s="202" t="s">
        <v>916</v>
      </c>
      <c r="D325" s="203">
        <v>2.5000000000000001E-2</v>
      </c>
      <c r="E325" s="204">
        <f>+'FP OPERATIVO'!F35</f>
        <v>295642.2840888889</v>
      </c>
      <c r="F325" s="206">
        <f>+ROUND((D325*E325),0)</f>
        <v>7391</v>
      </c>
      <c r="G325" s="255"/>
    </row>
    <row r="326" spans="2:7" ht="15" thickBot="1">
      <c r="B326" s="212"/>
      <c r="C326" s="184" t="e">
        <f>+G326/$G$337</f>
        <v>#REF!</v>
      </c>
      <c r="D326" s="190"/>
      <c r="F326" s="212" t="s">
        <v>900</v>
      </c>
      <c r="G326" s="256">
        <f>+SUM(F325)</f>
        <v>7391</v>
      </c>
    </row>
    <row r="327" spans="2:7" ht="15" thickBot="1">
      <c r="B327" s="216" t="s">
        <v>1180</v>
      </c>
      <c r="G327" s="196"/>
    </row>
    <row r="328" spans="2:7">
      <c r="B328" s="170" t="s">
        <v>897</v>
      </c>
      <c r="C328" s="171" t="s">
        <v>319</v>
      </c>
      <c r="D328" s="171" t="s">
        <v>320</v>
      </c>
      <c r="E328" s="171" t="s">
        <v>898</v>
      </c>
      <c r="F328" s="187" t="s">
        <v>899</v>
      </c>
      <c r="G328" s="254"/>
    </row>
    <row r="329" spans="2:7" ht="15" thickBot="1">
      <c r="B329" s="218" t="s">
        <v>905</v>
      </c>
      <c r="C329" s="202" t="s">
        <v>906</v>
      </c>
      <c r="D329" s="203">
        <v>0.05</v>
      </c>
      <c r="E329" s="204">
        <f>+G326</f>
        <v>7391</v>
      </c>
      <c r="F329" s="205">
        <f>+ROUND((D329*E329),0)</f>
        <v>370</v>
      </c>
      <c r="G329" s="255"/>
    </row>
    <row r="330" spans="2:7" ht="15" thickBot="1">
      <c r="B330" s="212"/>
      <c r="C330" s="184" t="e">
        <f>+G330/$G$337</f>
        <v>#REF!</v>
      </c>
      <c r="D330" s="190"/>
      <c r="F330" s="212" t="s">
        <v>900</v>
      </c>
      <c r="G330" s="256">
        <f>+SUM(F329)</f>
        <v>370</v>
      </c>
    </row>
    <row r="331" spans="2:7" ht="15" thickBot="1">
      <c r="B331" s="216" t="s">
        <v>1186</v>
      </c>
      <c r="G331" s="196"/>
    </row>
    <row r="332" spans="2:7">
      <c r="B332" s="170" t="s">
        <v>897</v>
      </c>
      <c r="C332" s="171" t="s">
        <v>319</v>
      </c>
      <c r="D332" s="171" t="s">
        <v>320</v>
      </c>
      <c r="E332" s="171" t="s">
        <v>898</v>
      </c>
      <c r="F332" s="172" t="s">
        <v>899</v>
      </c>
      <c r="G332" s="254"/>
    </row>
    <row r="333" spans="2:7">
      <c r="B333" s="217" t="s">
        <v>1196</v>
      </c>
      <c r="C333" s="208" t="s">
        <v>14</v>
      </c>
      <c r="D333" s="209">
        <v>0.15</v>
      </c>
      <c r="E333" s="210">
        <v>8168</v>
      </c>
      <c r="F333" s="211">
        <f>+ROUND((D333*E333),0)</f>
        <v>1225</v>
      </c>
      <c r="G333" s="257"/>
    </row>
    <row r="334" spans="2:7" ht="29.5" thickBot="1">
      <c r="B334" s="218" t="s">
        <v>1183</v>
      </c>
      <c r="C334" s="202" t="s">
        <v>14</v>
      </c>
      <c r="D334" s="203">
        <v>0.104</v>
      </c>
      <c r="E334" s="204" t="e">
        <f>+P!E13</f>
        <v>#REF!</v>
      </c>
      <c r="F334" s="206" t="e">
        <f>+ROUND((D334*E334),0)</f>
        <v>#REF!</v>
      </c>
      <c r="G334" s="255"/>
    </row>
    <row r="335" spans="2:7" ht="15" thickBot="1">
      <c r="B335" s="212"/>
      <c r="C335" s="184" t="e">
        <f>+G335/$G$337</f>
        <v>#REF!</v>
      </c>
      <c r="D335" s="190"/>
      <c r="F335" s="212" t="s">
        <v>900</v>
      </c>
      <c r="G335" s="256" t="e">
        <f>+SUM(F333:F334)</f>
        <v>#REF!</v>
      </c>
    </row>
    <row r="336" spans="2:7" ht="15" thickBot="1">
      <c r="B336" s="199"/>
      <c r="C336" s="201"/>
      <c r="D336" s="253"/>
      <c r="E336" s="253"/>
      <c r="F336" s="253"/>
      <c r="G336" s="196"/>
    </row>
    <row r="337" spans="2:7" ht="15" thickBot="1">
      <c r="B337" s="195"/>
      <c r="C337" s="196"/>
      <c r="D337" s="197" t="s">
        <v>908</v>
      </c>
      <c r="E337" s="198"/>
      <c r="F337" s="198"/>
      <c r="G337" s="153" t="e">
        <f>ROUNDUP(SUM(G324:G335),0)</f>
        <v>#REF!</v>
      </c>
    </row>
    <row r="338" spans="2:7" ht="15" thickBot="1">
      <c r="B338" s="199"/>
      <c r="C338" s="201"/>
      <c r="D338" s="253"/>
      <c r="E338" s="253"/>
      <c r="F338" s="253"/>
      <c r="G338" s="196"/>
    </row>
    <row r="339" spans="2:7" ht="15" thickBot="1">
      <c r="B339" s="2063" t="s">
        <v>1197</v>
      </c>
      <c r="C339" s="2064"/>
      <c r="D339" s="2064"/>
      <c r="E339" s="2064"/>
      <c r="F339" s="2064"/>
      <c r="G339" s="2065"/>
    </row>
    <row r="340" spans="2:7" ht="21.5" customHeight="1">
      <c r="B340" s="1721"/>
      <c r="C340" s="1770" t="s">
        <v>1175</v>
      </c>
      <c r="D340" s="1770"/>
      <c r="E340" s="1770"/>
      <c r="F340" s="1770"/>
      <c r="G340" s="1771"/>
    </row>
    <row r="341" spans="2:7" ht="21.5" customHeight="1">
      <c r="B341" s="1722"/>
      <c r="C341" s="1772"/>
      <c r="D341" s="1772"/>
      <c r="E341" s="1772"/>
      <c r="F341" s="1772"/>
      <c r="G341" s="1773"/>
    </row>
    <row r="342" spans="2:7" ht="21.5" customHeight="1">
      <c r="B342" s="1722"/>
      <c r="C342" s="1772"/>
      <c r="D342" s="1772"/>
      <c r="E342" s="1772"/>
      <c r="F342" s="1772"/>
      <c r="G342" s="1773"/>
    </row>
    <row r="343" spans="2:7" ht="21.5" customHeight="1">
      <c r="B343" s="1722"/>
      <c r="C343" s="1772"/>
      <c r="D343" s="1772"/>
      <c r="E343" s="1772"/>
      <c r="F343" s="1772"/>
      <c r="G343" s="1773"/>
    </row>
    <row r="344" spans="2:7" ht="21.5" customHeight="1" thickBot="1">
      <c r="B344" s="1723"/>
      <c r="C344" s="1774"/>
      <c r="D344" s="1774"/>
      <c r="E344" s="1774"/>
      <c r="F344" s="1774"/>
      <c r="G344" s="1775"/>
    </row>
    <row r="345" spans="2:7">
      <c r="B345" s="1724" t="s">
        <v>890</v>
      </c>
      <c r="C345" s="1726"/>
      <c r="D345" s="1726"/>
      <c r="E345" s="1733" t="s">
        <v>891</v>
      </c>
      <c r="F345" s="1735"/>
      <c r="G345" s="1736"/>
    </row>
    <row r="346" spans="2:7">
      <c r="B346" s="1727"/>
      <c r="C346" s="1729"/>
      <c r="D346" s="1729"/>
      <c r="E346" s="1734"/>
      <c r="F346" s="1737"/>
      <c r="G346" s="1738"/>
    </row>
    <row r="347" spans="2:7">
      <c r="B347" s="1727"/>
      <c r="C347" s="1729"/>
      <c r="D347" s="1729"/>
      <c r="E347" s="332" t="s">
        <v>892</v>
      </c>
      <c r="F347" s="1739"/>
      <c r="G347" s="1740"/>
    </row>
    <row r="348" spans="2:7">
      <c r="B348" s="1727"/>
      <c r="C348" s="1729"/>
      <c r="D348" s="1729"/>
      <c r="E348" s="332" t="s">
        <v>893</v>
      </c>
      <c r="F348" s="1739"/>
      <c r="G348" s="1740"/>
    </row>
    <row r="349" spans="2:7">
      <c r="B349" s="1727"/>
      <c r="C349" s="1729"/>
      <c r="D349" s="1729"/>
      <c r="E349" s="1734" t="s">
        <v>894</v>
      </c>
      <c r="F349" s="1742"/>
      <c r="G349" s="1743"/>
    </row>
    <row r="350" spans="2:7" ht="15" thickBot="1">
      <c r="B350" s="1730"/>
      <c r="C350" s="1732"/>
      <c r="D350" s="1732"/>
      <c r="E350" s="1741"/>
      <c r="F350" s="1744"/>
      <c r="G350" s="1745"/>
    </row>
    <row r="351" spans="2:7">
      <c r="B351" s="1755" t="str">
        <f>+PRESUPUESTO!$A$2</f>
        <v>OBJETO: MEJORAMIENTO Y ADECUACIÓN DE LAS VIAS URBANAS DEL MUNICIPIO DE SANTA FE DE ANTIOQUIA</v>
      </c>
      <c r="C351" s="1757"/>
      <c r="D351" s="1757"/>
      <c r="E351" s="1757"/>
      <c r="F351" s="1757"/>
      <c r="G351" s="1758"/>
    </row>
    <row r="352" spans="2:7" ht="15" thickBot="1">
      <c r="B352" s="1759"/>
      <c r="C352" s="1761"/>
      <c r="D352" s="1761"/>
      <c r="E352" s="1761"/>
      <c r="F352" s="1761"/>
      <c r="G352" s="1762"/>
    </row>
    <row r="353" spans="2:7" ht="15" thickBot="1">
      <c r="B353" s="167" t="s">
        <v>1</v>
      </c>
      <c r="C353" s="2059"/>
      <c r="D353" s="1763"/>
      <c r="E353" s="1763"/>
      <c r="F353" s="2060"/>
      <c r="G353" s="168" t="s">
        <v>193</v>
      </c>
    </row>
    <row r="354" spans="2:7" ht="110.5" customHeight="1" thickBot="1">
      <c r="B354" s="145" t="str">
        <f>+P!A20</f>
        <v>5.1</v>
      </c>
      <c r="C354" s="2061" t="str">
        <f>+P!B20</f>
        <v>DEMOLICIÓN ANDENES O PISOS, cargue, transporte y botada de escombros de ESPESOR MÁXIMO DE 0.20m, en CONCRETO. Incluye retiro de cordones, retiro de enchape (baldosa, baldosín forros en arenón, madera, vinilo, granito esmerilado, concreto, pisos en gres, entre otros), placa de concreto si existe, entresuelo de recebo; retiro y reinstalación de tapas de medidores de acueducto cualquier diámetro, tapas de energía y tapas cajas de teléfono. Incluye compresor neumático con martillo, además recuperación de los materiales aprovechables o su transporte hasta el sitio que lo indique la interventoría.</v>
      </c>
      <c r="D354" s="1765"/>
      <c r="E354" s="1765"/>
      <c r="F354" s="2062"/>
      <c r="G354" s="169" t="str">
        <f>+P!C20</f>
        <v>m2</v>
      </c>
    </row>
    <row r="355" spans="2:7" ht="15" thickBot="1">
      <c r="B355" s="183" t="s">
        <v>1178</v>
      </c>
    </row>
    <row r="356" spans="2:7">
      <c r="B356" s="170" t="s">
        <v>897</v>
      </c>
      <c r="C356" s="171" t="s">
        <v>319</v>
      </c>
      <c r="D356" s="171" t="s">
        <v>320</v>
      </c>
      <c r="E356" s="171" t="s">
        <v>898</v>
      </c>
      <c r="F356" s="172" t="s">
        <v>899</v>
      </c>
      <c r="G356" s="139"/>
    </row>
    <row r="357" spans="2:7" ht="15" thickBot="1">
      <c r="B357" s="188" t="s">
        <v>1195</v>
      </c>
      <c r="C357" s="202" t="s">
        <v>916</v>
      </c>
      <c r="D357" s="203">
        <v>1.3899999999999999E-2</v>
      </c>
      <c r="E357" s="204">
        <f>+'FP OPERATIVO'!F37</f>
        <v>400346.36479999998</v>
      </c>
      <c r="F357" s="206">
        <f>+ROUND((D357*E357),0)</f>
        <v>5565</v>
      </c>
      <c r="G357" s="142"/>
    </row>
    <row r="358" spans="2:7" ht="15" thickBot="1">
      <c r="B358" s="183"/>
      <c r="C358" s="184" t="e">
        <f>+G358/$G$374</f>
        <v>#REF!</v>
      </c>
      <c r="D358" s="190"/>
      <c r="E358" s="212"/>
      <c r="F358" s="212" t="s">
        <v>900</v>
      </c>
      <c r="G358" s="149">
        <f>+ROUND(SUM(F357),0)</f>
        <v>5565</v>
      </c>
    </row>
    <row r="359" spans="2:7" ht="15" thickBot="1">
      <c r="B359" s="183" t="s">
        <v>1180</v>
      </c>
    </row>
    <row r="360" spans="2:7">
      <c r="B360" s="170" t="s">
        <v>897</v>
      </c>
      <c r="C360" s="171" t="s">
        <v>319</v>
      </c>
      <c r="D360" s="171" t="s">
        <v>320</v>
      </c>
      <c r="E360" s="171" t="s">
        <v>898</v>
      </c>
      <c r="F360" s="187" t="s">
        <v>899</v>
      </c>
      <c r="G360" s="139"/>
    </row>
    <row r="361" spans="2:7" ht="15" thickBot="1">
      <c r="B361" s="188" t="s">
        <v>905</v>
      </c>
      <c r="C361" s="202" t="s">
        <v>906</v>
      </c>
      <c r="D361" s="203">
        <v>0.05</v>
      </c>
      <c r="E361" s="204">
        <f>+G358</f>
        <v>5565</v>
      </c>
      <c r="F361" s="205">
        <f>+ROUND((D361*E361),0)</f>
        <v>278</v>
      </c>
      <c r="G361" s="142"/>
    </row>
    <row r="362" spans="2:7" ht="15" thickBot="1">
      <c r="B362" s="183"/>
      <c r="C362" s="184" t="e">
        <f>+G362/$G$374</f>
        <v>#REF!</v>
      </c>
      <c r="D362" s="190"/>
      <c r="F362" s="212" t="s">
        <v>900</v>
      </c>
      <c r="G362" s="149">
        <f>+SUM(F361)</f>
        <v>278</v>
      </c>
    </row>
    <row r="363" spans="2:7" ht="15" thickBot="1">
      <c r="B363" s="183" t="s">
        <v>1181</v>
      </c>
    </row>
    <row r="364" spans="2:7">
      <c r="B364" s="170" t="s">
        <v>897</v>
      </c>
      <c r="C364" s="171" t="s">
        <v>319</v>
      </c>
      <c r="D364" s="171" t="s">
        <v>320</v>
      </c>
      <c r="E364" s="171" t="s">
        <v>898</v>
      </c>
      <c r="F364" s="172" t="s">
        <v>899</v>
      </c>
      <c r="G364" s="139"/>
    </row>
    <row r="365" spans="2:7" ht="29.5" thickBot="1">
      <c r="B365" s="188" t="s">
        <v>1120</v>
      </c>
      <c r="C365" s="202" t="s">
        <v>198</v>
      </c>
      <c r="D365" s="203">
        <v>0.1</v>
      </c>
      <c r="E365" s="204">
        <f>+EQUIPOS!C26</f>
        <v>98705</v>
      </c>
      <c r="F365" s="206">
        <f>+ROUND((D365*E365),0)</f>
        <v>9871</v>
      </c>
      <c r="G365" s="142"/>
    </row>
    <row r="366" spans="2:7" ht="15" thickBot="1">
      <c r="B366" s="183"/>
      <c r="C366" s="184" t="e">
        <f>+G366/$G$374</f>
        <v>#REF!</v>
      </c>
      <c r="D366" s="190"/>
      <c r="F366" s="212" t="s">
        <v>900</v>
      </c>
      <c r="G366" s="149">
        <f>+SUM(F365)</f>
        <v>9871</v>
      </c>
    </row>
    <row r="368" spans="2:7" ht="15" thickBot="1">
      <c r="B368" s="183" t="s">
        <v>1182</v>
      </c>
    </row>
    <row r="369" spans="2:10">
      <c r="B369" s="170" t="s">
        <v>897</v>
      </c>
      <c r="C369" s="171" t="s">
        <v>319</v>
      </c>
      <c r="D369" s="171" t="s">
        <v>320</v>
      </c>
      <c r="E369" s="171" t="s">
        <v>898</v>
      </c>
      <c r="F369" s="187" t="s">
        <v>899</v>
      </c>
      <c r="G369" s="139"/>
    </row>
    <row r="370" spans="2:10" ht="29.5" thickBot="1">
      <c r="B370" s="188" t="s">
        <v>1183</v>
      </c>
      <c r="C370" s="202" t="s">
        <v>14</v>
      </c>
      <c r="D370" s="203">
        <v>0.33750000000000002</v>
      </c>
      <c r="E370" s="204" t="e">
        <f>+P!E13</f>
        <v>#REF!</v>
      </c>
      <c r="F370" s="205" t="e">
        <f>+ROUND((D370*E370),0)</f>
        <v>#REF!</v>
      </c>
      <c r="G370" s="142"/>
    </row>
    <row r="371" spans="2:10" ht="15" thickBot="1">
      <c r="B371" s="183"/>
      <c r="C371" s="184" t="e">
        <f>+G371/$G$374</f>
        <v>#REF!</v>
      </c>
      <c r="D371" s="190"/>
      <c r="E371" s="212"/>
      <c r="F371" s="212" t="s">
        <v>900</v>
      </c>
      <c r="G371" s="149" t="e">
        <f>+SUM(F370)</f>
        <v>#REF!</v>
      </c>
    </row>
    <row r="372" spans="2:10" ht="23.5" customHeight="1"/>
    <row r="373" spans="2:10" ht="15" thickBot="1">
      <c r="F373" s="186"/>
      <c r="G373" s="194"/>
    </row>
    <row r="374" spans="2:10" ht="15" thickBot="1">
      <c r="B374" s="195"/>
      <c r="C374" s="196"/>
      <c r="D374" s="197" t="s">
        <v>908</v>
      </c>
      <c r="E374" s="198"/>
      <c r="F374" s="198"/>
      <c r="G374" s="153" t="e">
        <f>ROUNDUP(SUM(G356:G371),0)</f>
        <v>#REF!</v>
      </c>
      <c r="J374" s="63"/>
    </row>
    <row r="375" spans="2:10" ht="15" thickBot="1">
      <c r="B375" s="199"/>
      <c r="C375" s="201"/>
      <c r="D375" s="253"/>
      <c r="E375" s="253"/>
      <c r="F375" s="253"/>
      <c r="G375" s="196"/>
    </row>
    <row r="376" spans="2:10" ht="18.5" customHeight="1">
      <c r="B376" s="1721"/>
      <c r="C376" s="1770" t="s">
        <v>1175</v>
      </c>
      <c r="D376" s="1770"/>
      <c r="E376" s="1770"/>
      <c r="F376" s="1770"/>
      <c r="G376" s="1771"/>
    </row>
    <row r="377" spans="2:10" ht="18.5" customHeight="1">
      <c r="B377" s="1722"/>
      <c r="C377" s="1772"/>
      <c r="D377" s="1772"/>
      <c r="E377" s="1772"/>
      <c r="F377" s="1772"/>
      <c r="G377" s="1773"/>
    </row>
    <row r="378" spans="2:10" ht="18.5" customHeight="1">
      <c r="B378" s="1722"/>
      <c r="C378" s="1772"/>
      <c r="D378" s="1772"/>
      <c r="E378" s="1772"/>
      <c r="F378" s="1772"/>
      <c r="G378" s="1773"/>
    </row>
    <row r="379" spans="2:10" ht="18.5" customHeight="1">
      <c r="B379" s="1722"/>
      <c r="C379" s="1772"/>
      <c r="D379" s="1772"/>
      <c r="E379" s="1772"/>
      <c r="F379" s="1772"/>
      <c r="G379" s="1773"/>
    </row>
    <row r="380" spans="2:10" ht="18.5" customHeight="1" thickBot="1">
      <c r="B380" s="1723"/>
      <c r="C380" s="1774"/>
      <c r="D380" s="1774"/>
      <c r="E380" s="1774"/>
      <c r="F380" s="1774"/>
      <c r="G380" s="1775"/>
    </row>
    <row r="381" spans="2:10">
      <c r="B381" s="1724" t="s">
        <v>890</v>
      </c>
      <c r="C381" s="1726"/>
      <c r="D381" s="1726"/>
      <c r="E381" s="1733" t="s">
        <v>891</v>
      </c>
      <c r="F381" s="1735"/>
      <c r="G381" s="1736"/>
    </row>
    <row r="382" spans="2:10">
      <c r="B382" s="1727"/>
      <c r="C382" s="1729"/>
      <c r="D382" s="1729"/>
      <c r="E382" s="1734"/>
      <c r="F382" s="1737"/>
      <c r="G382" s="1738"/>
    </row>
    <row r="383" spans="2:10">
      <c r="B383" s="1727"/>
      <c r="C383" s="1729"/>
      <c r="D383" s="1729"/>
      <c r="E383" s="332" t="s">
        <v>892</v>
      </c>
      <c r="F383" s="1739"/>
      <c r="G383" s="1740"/>
    </row>
    <row r="384" spans="2:10">
      <c r="B384" s="1727"/>
      <c r="C384" s="1729"/>
      <c r="D384" s="1729"/>
      <c r="E384" s="332" t="s">
        <v>893</v>
      </c>
      <c r="F384" s="1739"/>
      <c r="G384" s="1740"/>
    </row>
    <row r="385" spans="2:7">
      <c r="B385" s="1727"/>
      <c r="C385" s="1729"/>
      <c r="D385" s="1729"/>
      <c r="E385" s="1734" t="s">
        <v>894</v>
      </c>
      <c r="F385" s="1742"/>
      <c r="G385" s="1743"/>
    </row>
    <row r="386" spans="2:7" ht="15" thickBot="1">
      <c r="B386" s="1730"/>
      <c r="C386" s="1732"/>
      <c r="D386" s="1732"/>
      <c r="E386" s="1741"/>
      <c r="F386" s="1744"/>
      <c r="G386" s="1745"/>
    </row>
    <row r="387" spans="2:7">
      <c r="B387" s="1755" t="str">
        <f>+PRESUPUESTO!$A$2</f>
        <v>OBJETO: MEJORAMIENTO Y ADECUACIÓN DE LAS VIAS URBANAS DEL MUNICIPIO DE SANTA FE DE ANTIOQUIA</v>
      </c>
      <c r="C387" s="1757"/>
      <c r="D387" s="1757"/>
      <c r="E387" s="1757"/>
      <c r="F387" s="1757"/>
      <c r="G387" s="1758"/>
    </row>
    <row r="388" spans="2:7" ht="15" thickBot="1">
      <c r="B388" s="1759"/>
      <c r="C388" s="1761"/>
      <c r="D388" s="1761"/>
      <c r="E388" s="1761"/>
      <c r="F388" s="1761"/>
      <c r="G388" s="1762"/>
    </row>
    <row r="389" spans="2:7" ht="15" thickBot="1">
      <c r="B389" s="167" t="s">
        <v>1</v>
      </c>
      <c r="C389" s="2059"/>
      <c r="D389" s="1763"/>
      <c r="E389" s="1763"/>
      <c r="F389" s="2060"/>
      <c r="G389" s="168" t="s">
        <v>193</v>
      </c>
    </row>
    <row r="390" spans="2:7" ht="91.25" customHeight="1" thickBot="1">
      <c r="B390" s="145" t="str">
        <f>+P!A21</f>
        <v>5.2</v>
      </c>
      <c r="C390" s="2061" t="str">
        <f>+P!B21</f>
        <v>DEMOLICIÓN LOSAS DE CONCRETO cargue, transporte y botada de escombros, manual o mecánicamente, de cualquier resistencia, reforzado o ciclópeo, y en cualquier clase de estructura. Incluye retiro de refuerzo y cualquier tipo de acabado (revoques y enchapes) o piso (en losas) e instalaciones embebidas, compresor neumático con martillo, además recuperación de los materiales aprovechables o su transporte hasta el sitio que lo indique la interventoría.</v>
      </c>
      <c r="D390" s="1765"/>
      <c r="E390" s="1765"/>
      <c r="F390" s="2062"/>
      <c r="G390" s="169" t="str">
        <f>+P!C67</f>
        <v xml:space="preserve"> </v>
      </c>
    </row>
    <row r="391" spans="2:7" ht="15" thickBot="1">
      <c r="B391" s="183" t="s">
        <v>1178</v>
      </c>
    </row>
    <row r="392" spans="2:7">
      <c r="B392" s="170" t="s">
        <v>897</v>
      </c>
      <c r="C392" s="171" t="s">
        <v>319</v>
      </c>
      <c r="D392" s="171" t="s">
        <v>320</v>
      </c>
      <c r="E392" s="171" t="s">
        <v>898</v>
      </c>
      <c r="F392" s="172" t="s">
        <v>899</v>
      </c>
      <c r="G392" s="139"/>
    </row>
    <row r="393" spans="2:7" ht="15" thickBot="1">
      <c r="B393" s="188" t="s">
        <v>1195</v>
      </c>
      <c r="C393" s="202" t="s">
        <v>916</v>
      </c>
      <c r="D393" s="203">
        <v>0.22222222222222221</v>
      </c>
      <c r="E393" s="204">
        <f>+'FP OPERATIVO'!F37</f>
        <v>400346.36479999998</v>
      </c>
      <c r="F393" s="206">
        <f>+ROUND((D393*E393),0)</f>
        <v>88966</v>
      </c>
      <c r="G393" s="142"/>
    </row>
    <row r="394" spans="2:7" ht="15" thickBot="1">
      <c r="B394" s="183"/>
      <c r="C394" s="184" t="e">
        <f>+G394/$G$409</f>
        <v>#REF!</v>
      </c>
      <c r="D394" s="190"/>
      <c r="F394" s="212" t="s">
        <v>900</v>
      </c>
      <c r="G394" s="191">
        <f>+SUM(F393)</f>
        <v>88966</v>
      </c>
    </row>
    <row r="395" spans="2:7" ht="15" thickBot="1">
      <c r="B395" s="183" t="s">
        <v>1180</v>
      </c>
    </row>
    <row r="396" spans="2:7">
      <c r="B396" s="170" t="s">
        <v>897</v>
      </c>
      <c r="C396" s="171" t="s">
        <v>319</v>
      </c>
      <c r="D396" s="171" t="s">
        <v>320</v>
      </c>
      <c r="E396" s="171" t="s">
        <v>898</v>
      </c>
      <c r="F396" s="171" t="s">
        <v>899</v>
      </c>
      <c r="G396" s="139"/>
    </row>
    <row r="397" spans="2:7" ht="15" thickBot="1">
      <c r="B397" s="188" t="s">
        <v>905</v>
      </c>
      <c r="C397" s="202" t="s">
        <v>906</v>
      </c>
      <c r="D397" s="203">
        <v>0.05</v>
      </c>
      <c r="E397" s="204">
        <f>+G394</f>
        <v>88966</v>
      </c>
      <c r="F397" s="204">
        <f>+ROUND((D397*E397),0)</f>
        <v>4448</v>
      </c>
      <c r="G397" s="142"/>
    </row>
    <row r="398" spans="2:7" ht="15" thickBot="1">
      <c r="B398" s="183"/>
      <c r="C398" s="184" t="e">
        <f>+G398/$G$409</f>
        <v>#REF!</v>
      </c>
      <c r="D398" s="190"/>
      <c r="F398" s="212" t="s">
        <v>900</v>
      </c>
      <c r="G398" s="214">
        <f>+SUM(F397)</f>
        <v>4448</v>
      </c>
    </row>
    <row r="399" spans="2:7" ht="24" customHeight="1" thickBot="1">
      <c r="B399" s="183" t="s">
        <v>1181</v>
      </c>
    </row>
    <row r="400" spans="2:7">
      <c r="B400" s="170" t="s">
        <v>897</v>
      </c>
      <c r="C400" s="171" t="s">
        <v>319</v>
      </c>
      <c r="D400" s="171" t="s">
        <v>320</v>
      </c>
      <c r="E400" s="171" t="s">
        <v>898</v>
      </c>
      <c r="F400" s="187" t="s">
        <v>899</v>
      </c>
      <c r="G400" s="139"/>
    </row>
    <row r="401" spans="2:10" ht="42" customHeight="1" thickBot="1">
      <c r="B401" s="188" t="s">
        <v>1120</v>
      </c>
      <c r="C401" s="202" t="s">
        <v>198</v>
      </c>
      <c r="D401" s="203">
        <v>0.4</v>
      </c>
      <c r="E401" s="204">
        <f>+EQUIPOS!C26</f>
        <v>98705</v>
      </c>
      <c r="F401" s="205">
        <f>+ROUND((D401*E401),0)</f>
        <v>39482</v>
      </c>
      <c r="G401" s="142"/>
    </row>
    <row r="402" spans="2:10" ht="26.5" customHeight="1" thickBot="1">
      <c r="B402" s="183"/>
      <c r="C402" s="184" t="e">
        <f>+G402/$G$409</f>
        <v>#REF!</v>
      </c>
      <c r="D402" s="190"/>
      <c r="F402" s="212" t="s">
        <v>900</v>
      </c>
      <c r="G402" s="214">
        <f>+SUM(F401)</f>
        <v>39482</v>
      </c>
    </row>
    <row r="403" spans="2:10" ht="15" thickBot="1">
      <c r="B403" s="183" t="s">
        <v>1182</v>
      </c>
    </row>
    <row r="404" spans="2:10">
      <c r="B404" s="170" t="s">
        <v>897</v>
      </c>
      <c r="C404" s="171" t="s">
        <v>319</v>
      </c>
      <c r="D404" s="171" t="s">
        <v>320</v>
      </c>
      <c r="E404" s="171" t="s">
        <v>898</v>
      </c>
      <c r="F404" s="187" t="s">
        <v>899</v>
      </c>
      <c r="G404" s="139"/>
    </row>
    <row r="405" spans="2:10" ht="29.5" thickBot="1">
      <c r="B405" s="188" t="s">
        <v>1183</v>
      </c>
      <c r="C405" s="202" t="s">
        <v>14</v>
      </c>
      <c r="D405" s="203">
        <v>1.3</v>
      </c>
      <c r="E405" s="204" t="e">
        <f>+P!E13</f>
        <v>#REF!</v>
      </c>
      <c r="F405" s="205" t="e">
        <f>+ROUND((D405*E405),0)</f>
        <v>#REF!</v>
      </c>
      <c r="G405" s="147"/>
    </row>
    <row r="406" spans="2:10" ht="15" thickBot="1">
      <c r="B406" s="183"/>
      <c r="C406" s="184" t="e">
        <f>+G406/$G$409</f>
        <v>#REF!</v>
      </c>
      <c r="D406" s="190"/>
      <c r="F406" s="212" t="s">
        <v>900</v>
      </c>
      <c r="G406" s="214" t="e">
        <f>+SUM(F405:F405)</f>
        <v>#REF!</v>
      </c>
    </row>
    <row r="408" spans="2:10" ht="15" thickBot="1">
      <c r="F408" s="186"/>
      <c r="G408" s="194"/>
    </row>
    <row r="409" spans="2:10" ht="15" thickBot="1">
      <c r="B409" s="195"/>
      <c r="C409" s="196"/>
      <c r="D409" s="197" t="s">
        <v>908</v>
      </c>
      <c r="E409" s="198"/>
      <c r="F409" s="198"/>
      <c r="G409" s="153" t="e">
        <f>ROUNDUP(SUM(G392:G406),0)</f>
        <v>#REF!</v>
      </c>
      <c r="J409" s="63"/>
    </row>
    <row r="410" spans="2:10" ht="15" thickBot="1">
      <c r="B410" s="199"/>
      <c r="C410" s="201"/>
      <c r="D410" s="253"/>
      <c r="E410" s="253"/>
      <c r="F410" s="253"/>
      <c r="G410" s="196"/>
    </row>
    <row r="411" spans="2:10" ht="20.5" customHeight="1">
      <c r="B411" s="1721"/>
      <c r="C411" s="1770" t="s">
        <v>1175</v>
      </c>
      <c r="D411" s="1770"/>
      <c r="E411" s="1770"/>
      <c r="F411" s="1770"/>
      <c r="G411" s="1771"/>
    </row>
    <row r="412" spans="2:10" ht="20.5" customHeight="1">
      <c r="B412" s="1722"/>
      <c r="C412" s="1772"/>
      <c r="D412" s="1772"/>
      <c r="E412" s="1772"/>
      <c r="F412" s="1772"/>
      <c r="G412" s="1773"/>
    </row>
    <row r="413" spans="2:10" ht="20.5" customHeight="1">
      <c r="B413" s="1722"/>
      <c r="C413" s="1772"/>
      <c r="D413" s="1772"/>
      <c r="E413" s="1772"/>
      <c r="F413" s="1772"/>
      <c r="G413" s="1773"/>
    </row>
    <row r="414" spans="2:10" ht="20.5" customHeight="1">
      <c r="B414" s="1722"/>
      <c r="C414" s="1772"/>
      <c r="D414" s="1772"/>
      <c r="E414" s="1772"/>
      <c r="F414" s="1772"/>
      <c r="G414" s="1773"/>
    </row>
    <row r="415" spans="2:10" ht="20.5" customHeight="1" thickBot="1">
      <c r="B415" s="1723"/>
      <c r="C415" s="1774"/>
      <c r="D415" s="1774"/>
      <c r="E415" s="1774"/>
      <c r="F415" s="1774"/>
      <c r="G415" s="1775"/>
    </row>
    <row r="416" spans="2:10">
      <c r="B416" s="1724" t="s">
        <v>890</v>
      </c>
      <c r="C416" s="1726"/>
      <c r="D416" s="1726"/>
      <c r="E416" s="1733" t="s">
        <v>891</v>
      </c>
      <c r="F416" s="1735"/>
      <c r="G416" s="1736"/>
    </row>
    <row r="417" spans="2:7">
      <c r="B417" s="1727"/>
      <c r="C417" s="1729"/>
      <c r="D417" s="1729"/>
      <c r="E417" s="1734"/>
      <c r="F417" s="1737"/>
      <c r="G417" s="1738"/>
    </row>
    <row r="418" spans="2:7">
      <c r="B418" s="1727"/>
      <c r="C418" s="1729"/>
      <c r="D418" s="1729"/>
      <c r="E418" s="332" t="s">
        <v>892</v>
      </c>
      <c r="F418" s="1739"/>
      <c r="G418" s="1740"/>
    </row>
    <row r="419" spans="2:7">
      <c r="B419" s="1727"/>
      <c r="C419" s="1729"/>
      <c r="D419" s="1729"/>
      <c r="E419" s="332" t="s">
        <v>893</v>
      </c>
      <c r="F419" s="1739"/>
      <c r="G419" s="1740"/>
    </row>
    <row r="420" spans="2:7">
      <c r="B420" s="1727"/>
      <c r="C420" s="1729"/>
      <c r="D420" s="1729"/>
      <c r="E420" s="1734" t="s">
        <v>894</v>
      </c>
      <c r="F420" s="1742"/>
      <c r="G420" s="1743"/>
    </row>
    <row r="421" spans="2:7" ht="15" thickBot="1">
      <c r="B421" s="1730"/>
      <c r="C421" s="1732"/>
      <c r="D421" s="1732"/>
      <c r="E421" s="1741"/>
      <c r="F421" s="1744"/>
      <c r="G421" s="1745"/>
    </row>
    <row r="422" spans="2:7">
      <c r="B422" s="1755" t="str">
        <f>+PRESUPUESTO!$A$2</f>
        <v>OBJETO: MEJORAMIENTO Y ADECUACIÓN DE LAS VIAS URBANAS DEL MUNICIPIO DE SANTA FE DE ANTIOQUIA</v>
      </c>
      <c r="C422" s="1757"/>
      <c r="D422" s="1757"/>
      <c r="E422" s="1757"/>
      <c r="F422" s="1757"/>
      <c r="G422" s="1758"/>
    </row>
    <row r="423" spans="2:7" ht="25.25" customHeight="1" thickBot="1">
      <c r="B423" s="1759"/>
      <c r="C423" s="1761"/>
      <c r="D423" s="1761"/>
      <c r="E423" s="1761"/>
      <c r="F423" s="1761"/>
      <c r="G423" s="1762"/>
    </row>
    <row r="424" spans="2:7" ht="15" thickBot="1">
      <c r="B424" s="167" t="s">
        <v>1</v>
      </c>
      <c r="C424" s="2059"/>
      <c r="D424" s="1763"/>
      <c r="E424" s="1763"/>
      <c r="F424" s="2060"/>
      <c r="G424" s="168" t="s">
        <v>193</v>
      </c>
    </row>
    <row r="425" spans="2:7" ht="93" customHeight="1" thickBot="1">
      <c r="B425" s="145" t="str">
        <f>+P!A22</f>
        <v>5.3</v>
      </c>
      <c r="C425" s="2061" t="str">
        <f>+P!B22</f>
        <v>DEMOLICIÓN MAMPOSTERÍA EN LADRILLO DE 10 a 15 cm DE ESPESOR, incluye cargue, transporte y botada de escombros en botaderos oficiales, demolición de revoques y enchapes aplicados en el muro a demoler e instalaciones embebidas, además recuperación de los materiales aprovechables o su transporte hasta el sitio que lo indique la interventoría; se debe de utilizar cortadora para garantizar que los filetes de la demolición queden ortogonales.</v>
      </c>
      <c r="D425" s="1765"/>
      <c r="E425" s="1765"/>
      <c r="F425" s="2062"/>
      <c r="G425" s="169" t="str">
        <f>+P!C22</f>
        <v>m2</v>
      </c>
    </row>
    <row r="426" spans="2:7" ht="15" thickBot="1">
      <c r="B426" s="183" t="s">
        <v>1178</v>
      </c>
    </row>
    <row r="427" spans="2:7">
      <c r="B427" s="170" t="s">
        <v>897</v>
      </c>
      <c r="C427" s="171" t="s">
        <v>319</v>
      </c>
      <c r="D427" s="171" t="s">
        <v>320</v>
      </c>
      <c r="E427" s="171" t="s">
        <v>898</v>
      </c>
      <c r="F427" s="187" t="s">
        <v>899</v>
      </c>
      <c r="G427" s="139"/>
    </row>
    <row r="428" spans="2:7" ht="15" thickBot="1">
      <c r="B428" s="188" t="s">
        <v>1195</v>
      </c>
      <c r="C428" s="202" t="s">
        <v>916</v>
      </c>
      <c r="D428" s="203">
        <v>0.05</v>
      </c>
      <c r="E428" s="204">
        <f>+'FP OPERATIVO'!F37</f>
        <v>400346.36479999998</v>
      </c>
      <c r="F428" s="205">
        <f>+ROUND((D428*E428),0)</f>
        <v>20017</v>
      </c>
      <c r="G428" s="142"/>
    </row>
    <row r="429" spans="2:7" ht="15" thickBot="1">
      <c r="B429" s="183"/>
      <c r="C429" s="184" t="e">
        <f>+G429/$G$447</f>
        <v>#REF!</v>
      </c>
      <c r="D429" s="190"/>
      <c r="F429" s="212" t="s">
        <v>900</v>
      </c>
      <c r="G429" s="148">
        <f>+SUM(F428)</f>
        <v>20017</v>
      </c>
    </row>
    <row r="430" spans="2:7" ht="15" thickBot="1">
      <c r="B430" s="183" t="s">
        <v>1180</v>
      </c>
    </row>
    <row r="431" spans="2:7">
      <c r="B431" s="170" t="s">
        <v>897</v>
      </c>
      <c r="C431" s="171" t="s">
        <v>319</v>
      </c>
      <c r="D431" s="171" t="s">
        <v>320</v>
      </c>
      <c r="E431" s="171" t="s">
        <v>898</v>
      </c>
      <c r="F431" s="187" t="s">
        <v>899</v>
      </c>
      <c r="G431" s="139"/>
    </row>
    <row r="432" spans="2:7" ht="15" thickBot="1">
      <c r="B432" s="188" t="s">
        <v>905</v>
      </c>
      <c r="C432" s="202" t="s">
        <v>906</v>
      </c>
      <c r="D432" s="203">
        <v>0.05</v>
      </c>
      <c r="E432" s="204">
        <f>+G429</f>
        <v>20017</v>
      </c>
      <c r="F432" s="205">
        <f>+ROUND((D432*E432),0)</f>
        <v>1001</v>
      </c>
      <c r="G432" s="142"/>
    </row>
    <row r="433" spans="2:7" ht="15" thickBot="1">
      <c r="B433" s="183"/>
      <c r="C433" s="184" t="e">
        <f>+G433/$G$447</f>
        <v>#REF!</v>
      </c>
      <c r="D433" s="190"/>
      <c r="F433" s="212" t="s">
        <v>900</v>
      </c>
      <c r="G433" s="148">
        <f>+SUM(F432)</f>
        <v>1001</v>
      </c>
    </row>
    <row r="434" spans="2:7" ht="15" thickBot="1">
      <c r="B434" s="183" t="s">
        <v>1181</v>
      </c>
    </row>
    <row r="435" spans="2:7">
      <c r="B435" s="170" t="s">
        <v>897</v>
      </c>
      <c r="C435" s="171" t="s">
        <v>319</v>
      </c>
      <c r="D435" s="171" t="s">
        <v>320</v>
      </c>
      <c r="E435" s="171" t="s">
        <v>898</v>
      </c>
      <c r="F435" s="187" t="s">
        <v>899</v>
      </c>
      <c r="G435" s="139"/>
    </row>
    <row r="436" spans="2:7" ht="29">
      <c r="B436" s="207" t="s">
        <v>1193</v>
      </c>
      <c r="C436" s="208" t="s">
        <v>198</v>
      </c>
      <c r="D436" s="209">
        <v>0.11111</v>
      </c>
      <c r="E436" s="210">
        <f>+EQUIPOS!C35</f>
        <v>5500</v>
      </c>
      <c r="F436" s="213">
        <f>+ROUND((D436*E436),0)</f>
        <v>611</v>
      </c>
      <c r="G436" s="147"/>
    </row>
    <row r="437" spans="2:7" ht="29">
      <c r="B437" s="207" t="s">
        <v>1194</v>
      </c>
      <c r="C437" s="208" t="s">
        <v>198</v>
      </c>
      <c r="D437" s="209">
        <v>0.33333000000000002</v>
      </c>
      <c r="E437" s="210">
        <f>+EQUIPOS!C36</f>
        <v>600</v>
      </c>
      <c r="F437" s="213">
        <f>+ROUND((D437*E437),0)</f>
        <v>200</v>
      </c>
      <c r="G437" s="147"/>
    </row>
    <row r="438" spans="2:7">
      <c r="B438" s="207" t="s">
        <v>1133</v>
      </c>
      <c r="C438" s="208" t="s">
        <v>198</v>
      </c>
      <c r="D438" s="209">
        <v>3.3329999999999999E-2</v>
      </c>
      <c r="E438" s="210">
        <f>+EQUIPOS!C37</f>
        <v>38500</v>
      </c>
      <c r="F438" s="213">
        <f>+ROUND((D438*E438),0)</f>
        <v>1283</v>
      </c>
      <c r="G438" s="147"/>
    </row>
    <row r="439" spans="2:7" ht="15" thickBot="1">
      <c r="B439" s="188" t="s">
        <v>1134</v>
      </c>
      <c r="C439" s="202" t="s">
        <v>198</v>
      </c>
      <c r="D439" s="203">
        <v>3.3329999999999999E-2</v>
      </c>
      <c r="E439" s="204">
        <f>+EQUIPOS!C38</f>
        <v>12500</v>
      </c>
      <c r="F439" s="205">
        <f>+ROUND((D439*E439),0)</f>
        <v>417</v>
      </c>
      <c r="G439" s="142"/>
    </row>
    <row r="440" spans="2:7" ht="15" thickBot="1">
      <c r="B440" s="183"/>
      <c r="C440" s="184" t="e">
        <f>+G440/$G$447</f>
        <v>#REF!</v>
      </c>
      <c r="D440" s="190"/>
      <c r="F440" s="212" t="s">
        <v>900</v>
      </c>
      <c r="G440" s="149">
        <f>+SUM(F436:F439)</f>
        <v>2511</v>
      </c>
    </row>
    <row r="441" spans="2:7" ht="15" thickBot="1">
      <c r="B441" s="183" t="s">
        <v>1182</v>
      </c>
    </row>
    <row r="442" spans="2:7">
      <c r="B442" s="170" t="s">
        <v>897</v>
      </c>
      <c r="C442" s="171" t="s">
        <v>319</v>
      </c>
      <c r="D442" s="171" t="s">
        <v>320</v>
      </c>
      <c r="E442" s="171" t="s">
        <v>898</v>
      </c>
      <c r="F442" s="187" t="s">
        <v>899</v>
      </c>
      <c r="G442" s="139"/>
    </row>
    <row r="443" spans="2:7" ht="48" customHeight="1">
      <c r="B443" s="207" t="s">
        <v>1183</v>
      </c>
      <c r="C443" s="208" t="s">
        <v>14</v>
      </c>
      <c r="D443" s="209">
        <v>0.19500000000000001</v>
      </c>
      <c r="E443" s="210" t="e">
        <f>+P!E13</f>
        <v>#REF!</v>
      </c>
      <c r="F443" s="213" t="e">
        <f>+ROUND((D443*E443),0)</f>
        <v>#REF!</v>
      </c>
      <c r="G443" s="147"/>
    </row>
    <row r="444" spans="2:7" ht="15" thickBot="1">
      <c r="B444" s="188" t="s">
        <v>1196</v>
      </c>
      <c r="C444" s="202" t="s">
        <v>14</v>
      </c>
      <c r="D444" s="203">
        <v>0.19500000000000001</v>
      </c>
      <c r="E444" s="204">
        <v>8168</v>
      </c>
      <c r="F444" s="205">
        <f>+ROUND((D444*E444),0)</f>
        <v>1593</v>
      </c>
      <c r="G444" s="142"/>
    </row>
    <row r="445" spans="2:7" ht="15" thickBot="1">
      <c r="B445" s="183"/>
      <c r="C445" s="184" t="e">
        <f>+G445/$G$447</f>
        <v>#REF!</v>
      </c>
      <c r="D445" s="190"/>
      <c r="F445" s="212" t="s">
        <v>900</v>
      </c>
      <c r="G445" s="149" t="e">
        <f>+SUM(F443:F444)</f>
        <v>#REF!</v>
      </c>
    </row>
    <row r="446" spans="2:7" ht="15" thickBot="1">
      <c r="F446" s="186"/>
      <c r="G446" s="194"/>
    </row>
    <row r="447" spans="2:7" ht="15" thickBot="1">
      <c r="B447" s="195"/>
      <c r="C447" s="196"/>
      <c r="D447" s="197" t="s">
        <v>908</v>
      </c>
      <c r="E447" s="198"/>
      <c r="F447" s="198"/>
      <c r="G447" s="153" t="e">
        <f>ROUNDUP(SUM(G427:G445),0)</f>
        <v>#REF!</v>
      </c>
    </row>
    <row r="448" spans="2:7" ht="15" thickBot="1">
      <c r="B448" s="199"/>
      <c r="C448" s="201"/>
      <c r="D448" s="253"/>
      <c r="E448" s="253"/>
      <c r="F448" s="253"/>
      <c r="G448" s="196"/>
    </row>
    <row r="449" spans="2:7" ht="20" customHeight="1">
      <c r="B449" s="1721"/>
      <c r="C449" s="1770" t="s">
        <v>1175</v>
      </c>
      <c r="D449" s="1770"/>
      <c r="E449" s="1770"/>
      <c r="F449" s="1770"/>
      <c r="G449" s="1771"/>
    </row>
    <row r="450" spans="2:7" ht="20" customHeight="1">
      <c r="B450" s="1722"/>
      <c r="C450" s="1772"/>
      <c r="D450" s="1772"/>
      <c r="E450" s="1772"/>
      <c r="F450" s="1772"/>
      <c r="G450" s="1773"/>
    </row>
    <row r="451" spans="2:7" ht="20" customHeight="1">
      <c r="B451" s="1722"/>
      <c r="C451" s="1772"/>
      <c r="D451" s="1772"/>
      <c r="E451" s="1772"/>
      <c r="F451" s="1772"/>
      <c r="G451" s="1773"/>
    </row>
    <row r="452" spans="2:7" ht="20" customHeight="1">
      <c r="B452" s="1722"/>
      <c r="C452" s="1772"/>
      <c r="D452" s="1772"/>
      <c r="E452" s="1772"/>
      <c r="F452" s="1772"/>
      <c r="G452" s="1773"/>
    </row>
    <row r="453" spans="2:7" ht="20" customHeight="1" thickBot="1">
      <c r="B453" s="1723"/>
      <c r="C453" s="1774"/>
      <c r="D453" s="1774"/>
      <c r="E453" s="1774"/>
      <c r="F453" s="1774"/>
      <c r="G453" s="1775"/>
    </row>
    <row r="454" spans="2:7">
      <c r="B454" s="1724" t="s">
        <v>890</v>
      </c>
      <c r="C454" s="1726"/>
      <c r="D454" s="1726"/>
      <c r="E454" s="1733" t="s">
        <v>891</v>
      </c>
      <c r="F454" s="1735"/>
      <c r="G454" s="1736"/>
    </row>
    <row r="455" spans="2:7">
      <c r="B455" s="1727"/>
      <c r="C455" s="1729"/>
      <c r="D455" s="1729"/>
      <c r="E455" s="1734"/>
      <c r="F455" s="1737"/>
      <c r="G455" s="1738"/>
    </row>
    <row r="456" spans="2:7">
      <c r="B456" s="1727"/>
      <c r="C456" s="1729"/>
      <c r="D456" s="1729"/>
      <c r="E456" s="332" t="s">
        <v>892</v>
      </c>
      <c r="F456" s="1739"/>
      <c r="G456" s="1740"/>
    </row>
    <row r="457" spans="2:7">
      <c r="B457" s="1727"/>
      <c r="C457" s="1729"/>
      <c r="D457" s="1729"/>
      <c r="E457" s="332" t="s">
        <v>893</v>
      </c>
      <c r="F457" s="1739"/>
      <c r="G457" s="1740"/>
    </row>
    <row r="458" spans="2:7">
      <c r="B458" s="1727"/>
      <c r="C458" s="1729"/>
      <c r="D458" s="1729"/>
      <c r="E458" s="1734" t="s">
        <v>894</v>
      </c>
      <c r="F458" s="1742"/>
      <c r="G458" s="1743"/>
    </row>
    <row r="459" spans="2:7" ht="15" thickBot="1">
      <c r="B459" s="1730"/>
      <c r="C459" s="1732"/>
      <c r="D459" s="1732"/>
      <c r="E459" s="1741"/>
      <c r="F459" s="1744"/>
      <c r="G459" s="1745"/>
    </row>
    <row r="460" spans="2:7">
      <c r="B460" s="1755" t="str">
        <f>+PRESUPUESTO!$A$2</f>
        <v>OBJETO: MEJORAMIENTO Y ADECUACIÓN DE LAS VIAS URBANAS DEL MUNICIPIO DE SANTA FE DE ANTIOQUIA</v>
      </c>
      <c r="C460" s="1757"/>
      <c r="D460" s="1757"/>
      <c r="E460" s="1757"/>
      <c r="F460" s="1757"/>
      <c r="G460" s="1758"/>
    </row>
    <row r="461" spans="2:7" ht="15" thickBot="1">
      <c r="B461" s="1759"/>
      <c r="C461" s="1761"/>
      <c r="D461" s="1761"/>
      <c r="E461" s="1761"/>
      <c r="F461" s="1761"/>
      <c r="G461" s="1762"/>
    </row>
    <row r="462" spans="2:7" ht="15" thickBot="1">
      <c r="B462" s="167" t="s">
        <v>1</v>
      </c>
      <c r="C462" s="2059"/>
      <c r="D462" s="1763"/>
      <c r="E462" s="1763"/>
      <c r="F462" s="2060"/>
      <c r="G462" s="168" t="s">
        <v>193</v>
      </c>
    </row>
    <row r="463" spans="2:7" ht="50" customHeight="1" thickBot="1">
      <c r="B463" s="145" t="str">
        <f>+P!A23</f>
        <v>5.4</v>
      </c>
      <c r="C463" s="2061" t="str">
        <f>+P!B23</f>
        <v>DEMOLICIÓN MESÓN EN GRANO, cargue, transporte y botada de escombros. Incluye refuerzo e instalaciones embebidas. Además  su transporte hasta el sitio que lo indique la interventoría.</v>
      </c>
      <c r="D463" s="1765"/>
      <c r="E463" s="1765"/>
      <c r="F463" s="2062"/>
      <c r="G463" s="169" t="str">
        <f>+P!C23</f>
        <v>m</v>
      </c>
    </row>
    <row r="464" spans="2:7" ht="15" thickBot="1">
      <c r="B464" s="183" t="s">
        <v>1178</v>
      </c>
    </row>
    <row r="465" spans="2:7">
      <c r="B465" s="170" t="s">
        <v>897</v>
      </c>
      <c r="C465" s="171" t="s">
        <v>319</v>
      </c>
      <c r="D465" s="171" t="s">
        <v>320</v>
      </c>
      <c r="E465" s="171" t="s">
        <v>898</v>
      </c>
      <c r="F465" s="187" t="s">
        <v>899</v>
      </c>
      <c r="G465" s="139"/>
    </row>
    <row r="466" spans="2:7" ht="15" thickBot="1">
      <c r="B466" s="188" t="s">
        <v>1195</v>
      </c>
      <c r="C466" s="202" t="s">
        <v>916</v>
      </c>
      <c r="D466" s="203">
        <v>0.1</v>
      </c>
      <c r="E466" s="204">
        <f>+'FP OPERATIVO'!F37</f>
        <v>400346.36479999998</v>
      </c>
      <c r="F466" s="205">
        <f>+ROUND((D466*E466),0)</f>
        <v>40035</v>
      </c>
      <c r="G466" s="142"/>
    </row>
    <row r="467" spans="2:7" ht="15" thickBot="1">
      <c r="B467" s="183"/>
      <c r="C467" s="184" t="e">
        <f>+G467/$G$478</f>
        <v>#REF!</v>
      </c>
      <c r="D467" s="190"/>
      <c r="F467" s="212" t="s">
        <v>900</v>
      </c>
      <c r="G467" s="148">
        <f>+SUM(F466)</f>
        <v>40035</v>
      </c>
    </row>
    <row r="468" spans="2:7" ht="15" thickBot="1">
      <c r="B468" s="183" t="s">
        <v>1180</v>
      </c>
    </row>
    <row r="469" spans="2:7">
      <c r="B469" s="170" t="s">
        <v>897</v>
      </c>
      <c r="C469" s="171" t="s">
        <v>319</v>
      </c>
      <c r="D469" s="171" t="s">
        <v>320</v>
      </c>
      <c r="E469" s="171" t="s">
        <v>898</v>
      </c>
      <c r="F469" s="187" t="s">
        <v>899</v>
      </c>
      <c r="G469" s="139"/>
    </row>
    <row r="470" spans="2:7" ht="15" thickBot="1">
      <c r="B470" s="188" t="s">
        <v>905</v>
      </c>
      <c r="C470" s="202" t="s">
        <v>906</v>
      </c>
      <c r="D470" s="203">
        <v>0.05</v>
      </c>
      <c r="E470" s="204">
        <f>+G467</f>
        <v>40035</v>
      </c>
      <c r="F470" s="205">
        <f>+ROUND((D470*E470),0)</f>
        <v>2002</v>
      </c>
      <c r="G470" s="142"/>
    </row>
    <row r="471" spans="2:7" ht="15" thickBot="1">
      <c r="B471" s="183"/>
      <c r="C471" s="184" t="e">
        <f>+G471/$G$478</f>
        <v>#REF!</v>
      </c>
      <c r="D471" s="190"/>
      <c r="F471" s="212" t="s">
        <v>900</v>
      </c>
      <c r="G471" s="148">
        <f>+SUM(F470)</f>
        <v>2002</v>
      </c>
    </row>
    <row r="472" spans="2:7" ht="15" thickBot="1">
      <c r="B472" s="183" t="s">
        <v>1186</v>
      </c>
    </row>
    <row r="473" spans="2:7">
      <c r="B473" s="170" t="s">
        <v>897</v>
      </c>
      <c r="C473" s="171" t="s">
        <v>319</v>
      </c>
      <c r="D473" s="171" t="s">
        <v>320</v>
      </c>
      <c r="E473" s="171" t="s">
        <v>898</v>
      </c>
      <c r="F473" s="172" t="s">
        <v>899</v>
      </c>
      <c r="G473" s="139"/>
    </row>
    <row r="474" spans="2:7" ht="29">
      <c r="B474" s="207" t="s">
        <v>1183</v>
      </c>
      <c r="C474" s="208" t="s">
        <v>14</v>
      </c>
      <c r="D474" s="209">
        <v>6.5000000000000002E-2</v>
      </c>
      <c r="E474" s="210" t="e">
        <f>+P!E13</f>
        <v>#REF!</v>
      </c>
      <c r="F474" s="211" t="e">
        <f>+ROUND((D474*E474),0)</f>
        <v>#REF!</v>
      </c>
      <c r="G474" s="147"/>
    </row>
    <row r="475" spans="2:7" ht="15" thickBot="1">
      <c r="B475" s="188" t="s">
        <v>1196</v>
      </c>
      <c r="C475" s="202" t="s">
        <v>14</v>
      </c>
      <c r="D475" s="203">
        <v>6.2E-2</v>
      </c>
      <c r="E475" s="204">
        <v>8168</v>
      </c>
      <c r="F475" s="206">
        <f>+ROUND((D475*E475),0)</f>
        <v>506</v>
      </c>
      <c r="G475" s="142"/>
    </row>
    <row r="476" spans="2:7" ht="15" thickBot="1">
      <c r="B476" s="183"/>
      <c r="C476" s="184" t="e">
        <f>+G476/$G$478</f>
        <v>#REF!</v>
      </c>
      <c r="D476" s="190"/>
      <c r="F476" s="212" t="s">
        <v>900</v>
      </c>
      <c r="G476" s="191" t="e">
        <f>+SUM(F474:F475)</f>
        <v>#REF!</v>
      </c>
    </row>
    <row r="477" spans="2:7" ht="15" thickBot="1">
      <c r="F477" s="186"/>
      <c r="G477" s="194"/>
    </row>
    <row r="478" spans="2:7" ht="15" thickBot="1">
      <c r="B478" s="195"/>
      <c r="C478" s="196"/>
      <c r="D478" s="197" t="s">
        <v>908</v>
      </c>
      <c r="E478" s="198"/>
      <c r="F478" s="198"/>
      <c r="G478" s="153" t="e">
        <f>ROUNDUP(SUM(G465:G476),0)</f>
        <v>#REF!</v>
      </c>
    </row>
    <row r="479" spans="2:7" ht="15" thickBot="1">
      <c r="B479" s="199"/>
      <c r="C479" s="201"/>
      <c r="D479" s="253"/>
      <c r="E479" s="253"/>
      <c r="F479" s="253"/>
      <c r="G479" s="196"/>
    </row>
    <row r="480" spans="2:7" ht="18.5" customHeight="1">
      <c r="B480" s="1721"/>
      <c r="C480" s="1770" t="s">
        <v>1175</v>
      </c>
      <c r="D480" s="1770"/>
      <c r="E480" s="1770"/>
      <c r="F480" s="1770"/>
      <c r="G480" s="1771"/>
    </row>
    <row r="481" spans="2:7" ht="18.5" customHeight="1">
      <c r="B481" s="1722"/>
      <c r="C481" s="1772"/>
      <c r="D481" s="1772"/>
      <c r="E481" s="1772"/>
      <c r="F481" s="1772"/>
      <c r="G481" s="1773"/>
    </row>
    <row r="482" spans="2:7" ht="18.5" customHeight="1">
      <c r="B482" s="1722"/>
      <c r="C482" s="1772"/>
      <c r="D482" s="1772"/>
      <c r="E482" s="1772"/>
      <c r="F482" s="1772"/>
      <c r="G482" s="1773"/>
    </row>
    <row r="483" spans="2:7" ht="18.5" customHeight="1">
      <c r="B483" s="1722"/>
      <c r="C483" s="1772"/>
      <c r="D483" s="1772"/>
      <c r="E483" s="1772"/>
      <c r="F483" s="1772"/>
      <c r="G483" s="1773"/>
    </row>
    <row r="484" spans="2:7" ht="18.5" customHeight="1" thickBot="1">
      <c r="B484" s="1723"/>
      <c r="C484" s="1774"/>
      <c r="D484" s="1774"/>
      <c r="E484" s="1774"/>
      <c r="F484" s="1774"/>
      <c r="G484" s="1775"/>
    </row>
    <row r="485" spans="2:7">
      <c r="B485" s="1724" t="s">
        <v>890</v>
      </c>
      <c r="C485" s="1726"/>
      <c r="D485" s="1726"/>
      <c r="E485" s="1733" t="s">
        <v>891</v>
      </c>
      <c r="F485" s="1735"/>
      <c r="G485" s="1736"/>
    </row>
    <row r="486" spans="2:7">
      <c r="B486" s="1727"/>
      <c r="C486" s="1729"/>
      <c r="D486" s="1729"/>
      <c r="E486" s="1734"/>
      <c r="F486" s="1737"/>
      <c r="G486" s="1738"/>
    </row>
    <row r="487" spans="2:7">
      <c r="B487" s="1727"/>
      <c r="C487" s="1729"/>
      <c r="D487" s="1729"/>
      <c r="E487" s="332" t="s">
        <v>892</v>
      </c>
      <c r="F487" s="1739"/>
      <c r="G487" s="1740"/>
    </row>
    <row r="488" spans="2:7">
      <c r="B488" s="1727"/>
      <c r="C488" s="1729"/>
      <c r="D488" s="1729"/>
      <c r="E488" s="332" t="s">
        <v>893</v>
      </c>
      <c r="F488" s="1739"/>
      <c r="G488" s="1740"/>
    </row>
    <row r="489" spans="2:7">
      <c r="B489" s="1727"/>
      <c r="C489" s="1729"/>
      <c r="D489" s="1729"/>
      <c r="E489" s="1734" t="s">
        <v>894</v>
      </c>
      <c r="F489" s="1742"/>
      <c r="G489" s="1743"/>
    </row>
    <row r="490" spans="2:7" ht="15" thickBot="1">
      <c r="B490" s="1730"/>
      <c r="C490" s="1732"/>
      <c r="D490" s="1732"/>
      <c r="E490" s="1741"/>
      <c r="F490" s="1744"/>
      <c r="G490" s="1745"/>
    </row>
    <row r="491" spans="2:7">
      <c r="B491" s="1755" t="str">
        <f>+PRESUPUESTO!$A$2</f>
        <v>OBJETO: MEJORAMIENTO Y ADECUACIÓN DE LAS VIAS URBANAS DEL MUNICIPIO DE SANTA FE DE ANTIOQUIA</v>
      </c>
      <c r="C491" s="1757"/>
      <c r="D491" s="1757"/>
      <c r="E491" s="1757"/>
      <c r="F491" s="1757"/>
      <c r="G491" s="1758"/>
    </row>
    <row r="492" spans="2:7" ht="15" thickBot="1">
      <c r="B492" s="1759"/>
      <c r="C492" s="1761"/>
      <c r="D492" s="1761"/>
      <c r="E492" s="1761"/>
      <c r="F492" s="1761"/>
      <c r="G492" s="1762"/>
    </row>
    <row r="493" spans="2:7" ht="15" thickBot="1">
      <c r="B493" s="167" t="s">
        <v>1</v>
      </c>
      <c r="C493" s="2059"/>
      <c r="D493" s="1763"/>
      <c r="E493" s="1763"/>
      <c r="F493" s="2060"/>
      <c r="G493" s="168" t="s">
        <v>193</v>
      </c>
    </row>
    <row r="494" spans="2:7" ht="66.5" customHeight="1" thickBot="1">
      <c r="B494" s="145" t="str">
        <f>+P!A24</f>
        <v>5.5</v>
      </c>
      <c r="C494" s="2061" t="str">
        <f>+P!B24</f>
        <v>DEMOLICIÓN DE ENCHAPE, espesores entre 0.03 y 0.05 m. Incluye cargue, transporte y botada de escombros en botaderos oficiales, demolición de revoques y enchapes aplicados en el muro a demoler e instalaciones embebidas, además recuperación de los materiales aprovechables o su transporte hasta el sitio que lo indique la interventoría.</v>
      </c>
      <c r="D494" s="1765"/>
      <c r="E494" s="1765"/>
      <c r="F494" s="2062"/>
      <c r="G494" s="169" t="str">
        <f>+P!C24</f>
        <v>m2</v>
      </c>
    </row>
    <row r="495" spans="2:7" ht="15" thickBot="1">
      <c r="B495" s="183" t="s">
        <v>1178</v>
      </c>
    </row>
    <row r="496" spans="2:7">
      <c r="B496" s="170" t="s">
        <v>897</v>
      </c>
      <c r="C496" s="171" t="s">
        <v>319</v>
      </c>
      <c r="D496" s="171" t="s">
        <v>320</v>
      </c>
      <c r="E496" s="171" t="s">
        <v>898</v>
      </c>
      <c r="F496" s="172" t="s">
        <v>899</v>
      </c>
      <c r="G496" s="139"/>
    </row>
    <row r="497" spans="2:7" ht="27" customHeight="1" thickBot="1">
      <c r="B497" s="188" t="s">
        <v>1195</v>
      </c>
      <c r="C497" s="202" t="s">
        <v>916</v>
      </c>
      <c r="D497" s="203">
        <v>6.6989795943741701E-2</v>
      </c>
      <c r="E497" s="204">
        <f>+'FP OPERATIVO'!F37</f>
        <v>400346.36479999998</v>
      </c>
      <c r="F497" s="206">
        <f>+ROUND((D497*E497),0)</f>
        <v>26819</v>
      </c>
      <c r="G497" s="142"/>
    </row>
    <row r="498" spans="2:7" ht="15" thickBot="1">
      <c r="B498" s="183"/>
      <c r="C498" s="184" t="e">
        <f>+G498/$G$514</f>
        <v>#REF!</v>
      </c>
      <c r="D498" s="190"/>
      <c r="F498" s="212" t="s">
        <v>900</v>
      </c>
      <c r="G498" s="149">
        <f>+SUM(F497)</f>
        <v>26819</v>
      </c>
    </row>
    <row r="499" spans="2:7" ht="15" thickBot="1">
      <c r="B499" s="183" t="s">
        <v>1180</v>
      </c>
    </row>
    <row r="500" spans="2:7">
      <c r="B500" s="170" t="s">
        <v>897</v>
      </c>
      <c r="C500" s="171" t="s">
        <v>319</v>
      </c>
      <c r="D500" s="171" t="s">
        <v>320</v>
      </c>
      <c r="E500" s="171" t="s">
        <v>898</v>
      </c>
      <c r="F500" s="172" t="s">
        <v>899</v>
      </c>
      <c r="G500" s="139"/>
    </row>
    <row r="501" spans="2:7" ht="15" thickBot="1">
      <c r="B501" s="188" t="s">
        <v>905</v>
      </c>
      <c r="C501" s="202" t="s">
        <v>906</v>
      </c>
      <c r="D501" s="203">
        <v>0.05</v>
      </c>
      <c r="E501" s="204">
        <f>+G498</f>
        <v>26819</v>
      </c>
      <c r="F501" s="206">
        <f>+ROUND((D501*E501),0)</f>
        <v>1341</v>
      </c>
      <c r="G501" s="142"/>
    </row>
    <row r="502" spans="2:7" ht="15" thickBot="1">
      <c r="B502" s="183"/>
      <c r="C502" s="184" t="e">
        <f>+G502/$G$514</f>
        <v>#REF!</v>
      </c>
      <c r="D502" s="190"/>
      <c r="F502" s="212" t="s">
        <v>900</v>
      </c>
      <c r="G502" s="149">
        <f>+SUM(F501)</f>
        <v>1341</v>
      </c>
    </row>
    <row r="503" spans="2:7" ht="15" thickBot="1">
      <c r="B503" s="183" t="s">
        <v>1181</v>
      </c>
    </row>
    <row r="504" spans="2:7">
      <c r="B504" s="170" t="s">
        <v>897</v>
      </c>
      <c r="C504" s="171" t="s">
        <v>319</v>
      </c>
      <c r="D504" s="171" t="s">
        <v>320</v>
      </c>
      <c r="E504" s="171" t="s">
        <v>898</v>
      </c>
      <c r="F504" s="172" t="s">
        <v>899</v>
      </c>
      <c r="G504" s="139"/>
    </row>
    <row r="505" spans="2:7" ht="29">
      <c r="B505" s="207" t="s">
        <v>1193</v>
      </c>
      <c r="C505" s="208" t="s">
        <v>198</v>
      </c>
      <c r="D505" s="209">
        <v>0.11111</v>
      </c>
      <c r="E505" s="210">
        <f>+EQUIPOS!C35</f>
        <v>5500</v>
      </c>
      <c r="F505" s="211">
        <f>+ROUND((D505*E505),0)</f>
        <v>611</v>
      </c>
      <c r="G505" s="147"/>
    </row>
    <row r="506" spans="2:7" ht="29.5" thickBot="1">
      <c r="B506" s="188" t="s">
        <v>1194</v>
      </c>
      <c r="C506" s="202" t="s">
        <v>198</v>
      </c>
      <c r="D506" s="203">
        <v>0.33333000000000002</v>
      </c>
      <c r="E506" s="204">
        <f>+EQUIPOS!C36</f>
        <v>600</v>
      </c>
      <c r="F506" s="206">
        <f>+ROUND((D506*E506),0)</f>
        <v>200</v>
      </c>
      <c r="G506" s="142"/>
    </row>
    <row r="507" spans="2:7" ht="15" thickBot="1">
      <c r="B507" s="183"/>
      <c r="C507" s="184" t="e">
        <f>+G507/$G$514</f>
        <v>#REF!</v>
      </c>
      <c r="D507" s="190"/>
      <c r="F507" s="212" t="s">
        <v>900</v>
      </c>
      <c r="G507" s="149">
        <f>+SUM(F505:F506)</f>
        <v>811</v>
      </c>
    </row>
    <row r="508" spans="2:7" ht="15" thickBot="1">
      <c r="B508" s="183" t="s">
        <v>1182</v>
      </c>
    </row>
    <row r="509" spans="2:7">
      <c r="B509" s="170" t="s">
        <v>897</v>
      </c>
      <c r="C509" s="171" t="s">
        <v>319</v>
      </c>
      <c r="D509" s="171" t="s">
        <v>320</v>
      </c>
      <c r="E509" s="171" t="s">
        <v>898</v>
      </c>
      <c r="F509" s="172" t="s">
        <v>899</v>
      </c>
      <c r="G509" s="139"/>
    </row>
    <row r="510" spans="2:7" ht="29">
      <c r="B510" s="207" t="s">
        <v>1183</v>
      </c>
      <c r="C510" s="208" t="s">
        <v>14</v>
      </c>
      <c r="D510" s="209">
        <f>1*0.03*1.05</f>
        <v>3.15E-2</v>
      </c>
      <c r="E510" s="210" t="e">
        <f>+P!E13</f>
        <v>#REF!</v>
      </c>
      <c r="F510" s="211" t="e">
        <f>+ROUND((D510*E510),0)</f>
        <v>#REF!</v>
      </c>
      <c r="G510" s="147"/>
    </row>
    <row r="511" spans="2:7" ht="15" thickBot="1">
      <c r="B511" s="188" t="s">
        <v>1196</v>
      </c>
      <c r="C511" s="202" t="s">
        <v>14</v>
      </c>
      <c r="D511" s="203">
        <v>5.1999999999999998E-2</v>
      </c>
      <c r="E511" s="204">
        <v>8168</v>
      </c>
      <c r="F511" s="206">
        <f>+ROUND((D511*E511),0)</f>
        <v>425</v>
      </c>
      <c r="G511" s="142"/>
    </row>
    <row r="512" spans="2:7" ht="15" thickBot="1">
      <c r="B512" s="183"/>
      <c r="C512" s="184" t="e">
        <f>+G512/$G$514</f>
        <v>#REF!</v>
      </c>
      <c r="D512" s="190"/>
      <c r="F512" s="212" t="s">
        <v>900</v>
      </c>
      <c r="G512" s="149" t="e">
        <f>+SUM(F510:F511)</f>
        <v>#REF!</v>
      </c>
    </row>
    <row r="513" spans="2:11" ht="15" thickBot="1"/>
    <row r="514" spans="2:11" ht="15" thickBot="1">
      <c r="B514" s="195"/>
      <c r="C514" s="196"/>
      <c r="D514" s="197" t="s">
        <v>908</v>
      </c>
      <c r="E514" s="198"/>
      <c r="F514" s="198"/>
      <c r="G514" s="153" t="e">
        <f>ROUNDUP(SUM(G496:G512),0)</f>
        <v>#REF!</v>
      </c>
      <c r="I514" s="5"/>
      <c r="K514" s="5"/>
    </row>
    <row r="515" spans="2:11" ht="15" thickBot="1">
      <c r="B515" s="199"/>
      <c r="C515" s="201"/>
      <c r="D515" s="253"/>
      <c r="E515" s="253"/>
      <c r="F515" s="253"/>
      <c r="G515" s="196"/>
    </row>
    <row r="516" spans="2:11" ht="15" thickBot="1">
      <c r="B516" s="2063" t="s">
        <v>1198</v>
      </c>
      <c r="C516" s="2064"/>
      <c r="D516" s="2064"/>
      <c r="E516" s="2064"/>
      <c r="F516" s="2064"/>
      <c r="G516" s="2065"/>
    </row>
    <row r="517" spans="2:11" ht="20" customHeight="1">
      <c r="B517" s="1721"/>
      <c r="C517" s="1770" t="s">
        <v>1175</v>
      </c>
      <c r="D517" s="1770"/>
      <c r="E517" s="1770"/>
      <c r="F517" s="1770"/>
      <c r="G517" s="1771"/>
    </row>
    <row r="518" spans="2:11" ht="20" customHeight="1">
      <c r="B518" s="1722"/>
      <c r="C518" s="1772"/>
      <c r="D518" s="1772"/>
      <c r="E518" s="1772"/>
      <c r="F518" s="1772"/>
      <c r="G518" s="1773"/>
    </row>
    <row r="519" spans="2:11" ht="20" customHeight="1">
      <c r="B519" s="1722"/>
      <c r="C519" s="1772"/>
      <c r="D519" s="1772"/>
      <c r="E519" s="1772"/>
      <c r="F519" s="1772"/>
      <c r="G519" s="1773"/>
    </row>
    <row r="520" spans="2:11" ht="20" customHeight="1">
      <c r="B520" s="1722"/>
      <c r="C520" s="1772"/>
      <c r="D520" s="1772"/>
      <c r="E520" s="1772"/>
      <c r="F520" s="1772"/>
      <c r="G520" s="1773"/>
    </row>
    <row r="521" spans="2:11" ht="20" customHeight="1" thickBot="1">
      <c r="B521" s="1723"/>
      <c r="C521" s="1774"/>
      <c r="D521" s="1774"/>
      <c r="E521" s="1774"/>
      <c r="F521" s="1774"/>
      <c r="G521" s="1775"/>
    </row>
    <row r="522" spans="2:11">
      <c r="B522" s="1724" t="s">
        <v>890</v>
      </c>
      <c r="C522" s="1726"/>
      <c r="D522" s="1726"/>
      <c r="E522" s="1733" t="s">
        <v>891</v>
      </c>
      <c r="F522" s="1735"/>
      <c r="G522" s="1736"/>
    </row>
    <row r="523" spans="2:11">
      <c r="B523" s="1727"/>
      <c r="C523" s="1729"/>
      <c r="D523" s="1729"/>
      <c r="E523" s="1734"/>
      <c r="F523" s="1737"/>
      <c r="G523" s="1738"/>
    </row>
    <row r="524" spans="2:11">
      <c r="B524" s="1727"/>
      <c r="C524" s="1729"/>
      <c r="D524" s="1729"/>
      <c r="E524" s="332" t="s">
        <v>892</v>
      </c>
      <c r="F524" s="1739"/>
      <c r="G524" s="1740"/>
    </row>
    <row r="525" spans="2:11">
      <c r="B525" s="1727"/>
      <c r="C525" s="1729"/>
      <c r="D525" s="1729"/>
      <c r="E525" s="332" t="s">
        <v>893</v>
      </c>
      <c r="F525" s="1739"/>
      <c r="G525" s="1740"/>
    </row>
    <row r="526" spans="2:11">
      <c r="B526" s="1727"/>
      <c r="C526" s="1729"/>
      <c r="D526" s="1729"/>
      <c r="E526" s="1734" t="s">
        <v>894</v>
      </c>
      <c r="F526" s="1742"/>
      <c r="G526" s="1743"/>
    </row>
    <row r="527" spans="2:11" ht="15" thickBot="1">
      <c r="B527" s="1730"/>
      <c r="C527" s="1732"/>
      <c r="D527" s="1732"/>
      <c r="E527" s="1741"/>
      <c r="F527" s="1744"/>
      <c r="G527" s="1745"/>
    </row>
    <row r="528" spans="2:11">
      <c r="B528" s="1755" t="str">
        <f>+PRESUPUESTO!$A$2</f>
        <v>OBJETO: MEJORAMIENTO Y ADECUACIÓN DE LAS VIAS URBANAS DEL MUNICIPIO DE SANTA FE DE ANTIOQUIA</v>
      </c>
      <c r="C528" s="1757"/>
      <c r="D528" s="1757"/>
      <c r="E528" s="1757"/>
      <c r="F528" s="1757"/>
      <c r="G528" s="1758"/>
    </row>
    <row r="529" spans="2:7" ht="15" thickBot="1">
      <c r="B529" s="1759"/>
      <c r="C529" s="1761"/>
      <c r="D529" s="1761"/>
      <c r="E529" s="1761"/>
      <c r="F529" s="1761"/>
      <c r="G529" s="1762"/>
    </row>
    <row r="530" spans="2:7" ht="15" thickBot="1">
      <c r="B530" s="167" t="s">
        <v>1</v>
      </c>
      <c r="C530" s="2059"/>
      <c r="D530" s="1763"/>
      <c r="E530" s="1763"/>
      <c r="F530" s="2060"/>
      <c r="G530" s="168" t="s">
        <v>193</v>
      </c>
    </row>
    <row r="531" spans="2:7" ht="99.5" customHeight="1" thickBot="1">
      <c r="B531" s="145" t="str">
        <f>+P!A26</f>
        <v>6.1</v>
      </c>
      <c r="C531" s="2061" t="str">
        <f>+P!B26</f>
        <v>Construcción de ANDÉN en concreto de 21 Mpa. espesor de 0.10m., con vaciado alternado cada metro. Incluye suministro y transporte de los materiales, nivelación del terreno y adecuación de la superficie, acabado escobillado y llaneado 0.10m en los bordes, entresuelo, formaleta en súper T para acabado a la vista, curado y todo lo necesario para su correcta construcción y funcionamiento. Según diseño. Las excavaciones o descapotes se pagarán en su ítem respectivo.</v>
      </c>
      <c r="D531" s="1765"/>
      <c r="E531" s="1765"/>
      <c r="F531" s="2062"/>
      <c r="G531" s="169" t="str">
        <f>+P!C26</f>
        <v>m2</v>
      </c>
    </row>
    <row r="532" spans="2:7" ht="15" thickBot="1">
      <c r="B532" s="183" t="s">
        <v>896</v>
      </c>
    </row>
    <row r="533" spans="2:7">
      <c r="B533" s="170" t="s">
        <v>897</v>
      </c>
      <c r="C533" s="171" t="s">
        <v>319</v>
      </c>
      <c r="D533" s="171" t="s">
        <v>320</v>
      </c>
      <c r="E533" s="171" t="s">
        <v>898</v>
      </c>
      <c r="F533" s="187" t="s">
        <v>899</v>
      </c>
      <c r="G533" s="139"/>
    </row>
    <row r="534" spans="2:7">
      <c r="B534" s="207" t="s">
        <v>1199</v>
      </c>
      <c r="C534" s="208" t="s">
        <v>14</v>
      </c>
      <c r="D534" s="209">
        <v>0.105</v>
      </c>
      <c r="E534" s="210">
        <f>+'CONCRETOS Y MORTERO'!G75</f>
        <v>591127</v>
      </c>
      <c r="F534" s="213">
        <f t="shared" ref="F534:F538" si="0">+ROUND((D534*E534),0)</f>
        <v>62068</v>
      </c>
      <c r="G534" s="147"/>
    </row>
    <row r="535" spans="2:7">
      <c r="B535" s="207" t="s">
        <v>980</v>
      </c>
      <c r="C535" s="208" t="s">
        <v>10</v>
      </c>
      <c r="D535" s="209">
        <v>0.15</v>
      </c>
      <c r="E535" s="210">
        <f>+MATERIALES!D41</f>
        <v>4500</v>
      </c>
      <c r="F535" s="213">
        <f t="shared" si="0"/>
        <v>675</v>
      </c>
      <c r="G535" s="147"/>
    </row>
    <row r="536" spans="2:7">
      <c r="B536" s="207" t="s">
        <v>1200</v>
      </c>
      <c r="C536" s="208" t="s">
        <v>23</v>
      </c>
      <c r="D536" s="209">
        <v>2.4109999999999999E-2</v>
      </c>
      <c r="E536" s="210">
        <f>+MATERIALES!D40</f>
        <v>275000</v>
      </c>
      <c r="F536" s="213">
        <f t="shared" si="0"/>
        <v>6630</v>
      </c>
      <c r="G536" s="147"/>
    </row>
    <row r="537" spans="2:7" ht="72.5">
      <c r="B537" s="207" t="s">
        <v>984</v>
      </c>
      <c r="C537" s="208" t="s">
        <v>23</v>
      </c>
      <c r="D537" s="209">
        <v>1.2E-4</v>
      </c>
      <c r="E537" s="210">
        <f>+MATERIALES!D44</f>
        <v>380900</v>
      </c>
      <c r="F537" s="213">
        <f t="shared" si="0"/>
        <v>46</v>
      </c>
      <c r="G537" s="147"/>
    </row>
    <row r="538" spans="2:7" ht="15" thickBot="1">
      <c r="B538" s="188" t="s">
        <v>1201</v>
      </c>
      <c r="C538" s="202" t="s">
        <v>913</v>
      </c>
      <c r="D538" s="203">
        <v>0.13</v>
      </c>
      <c r="E538" s="204">
        <f>+MATERIALES!D23</f>
        <v>5500</v>
      </c>
      <c r="F538" s="205">
        <f t="shared" si="0"/>
        <v>715</v>
      </c>
      <c r="G538" s="142"/>
    </row>
    <row r="539" spans="2:7" ht="15" thickBot="1">
      <c r="B539" s="183"/>
      <c r="C539" s="184">
        <f>+G539/$G$558</f>
        <v>0.4572236963055199</v>
      </c>
      <c r="D539" s="190"/>
      <c r="F539" s="212" t="s">
        <v>900</v>
      </c>
      <c r="G539" s="148">
        <f>+SUM(F534:F538)</f>
        <v>70134</v>
      </c>
    </row>
    <row r="540" spans="2:7" ht="15" thickBot="1">
      <c r="B540" s="183" t="s">
        <v>901</v>
      </c>
    </row>
    <row r="541" spans="2:7">
      <c r="B541" s="170" t="s">
        <v>897</v>
      </c>
      <c r="C541" s="171" t="s">
        <v>319</v>
      </c>
      <c r="D541" s="171" t="s">
        <v>320</v>
      </c>
      <c r="E541" s="171" t="s">
        <v>898</v>
      </c>
      <c r="F541" s="172" t="s">
        <v>899</v>
      </c>
      <c r="G541" s="139"/>
    </row>
    <row r="542" spans="2:7" ht="15" thickBot="1">
      <c r="B542" s="188" t="s">
        <v>1202</v>
      </c>
      <c r="C542" s="202" t="s">
        <v>916</v>
      </c>
      <c r="D542" s="203">
        <v>0.25</v>
      </c>
      <c r="E542" s="204">
        <f>+'FP OPERATIVO'!F35</f>
        <v>295642.2840888889</v>
      </c>
      <c r="F542" s="206">
        <f>+ROUND((D542*E542),0)</f>
        <v>73911</v>
      </c>
      <c r="G542" s="142"/>
    </row>
    <row r="543" spans="2:7" ht="15" thickBot="1">
      <c r="B543" s="183"/>
      <c r="C543" s="184">
        <f>+G543/$G$558</f>
        <v>0.48184704448109733</v>
      </c>
      <c r="D543" s="190"/>
      <c r="F543" s="212" t="s">
        <v>900</v>
      </c>
      <c r="G543" s="148">
        <f>+SUM(F542)</f>
        <v>73911</v>
      </c>
    </row>
    <row r="544" spans="2:7" ht="15" thickBot="1">
      <c r="B544" s="183" t="s">
        <v>917</v>
      </c>
    </row>
    <row r="545" spans="2:10">
      <c r="B545" s="170" t="s">
        <v>897</v>
      </c>
      <c r="C545" s="171" t="s">
        <v>319</v>
      </c>
      <c r="D545" s="171" t="s">
        <v>320</v>
      </c>
      <c r="E545" s="171" t="s">
        <v>898</v>
      </c>
      <c r="F545" s="187" t="s">
        <v>899</v>
      </c>
      <c r="G545" s="139"/>
    </row>
    <row r="546" spans="2:10" ht="15" thickBot="1">
      <c r="B546" s="188" t="s">
        <v>905</v>
      </c>
      <c r="C546" s="202" t="s">
        <v>906</v>
      </c>
      <c r="D546" s="203">
        <v>0.05</v>
      </c>
      <c r="E546" s="204">
        <f>+G543</f>
        <v>73911</v>
      </c>
      <c r="F546" s="205">
        <f>+ROUND((D546*E546),0)</f>
        <v>3696</v>
      </c>
      <c r="G546" s="142"/>
    </row>
    <row r="547" spans="2:10" ht="15" thickBot="1">
      <c r="B547" s="183"/>
      <c r="C547" s="184">
        <f>+G547/$G$558</f>
        <v>2.4095285903345046E-2</v>
      </c>
      <c r="D547" s="190"/>
      <c r="F547" s="212" t="s">
        <v>900</v>
      </c>
      <c r="G547" s="148">
        <f>+SUM(F546)</f>
        <v>3696</v>
      </c>
    </row>
    <row r="548" spans="2:10" ht="15" thickBot="1">
      <c r="B548" s="183" t="s">
        <v>1203</v>
      </c>
    </row>
    <row r="549" spans="2:10">
      <c r="B549" s="170" t="s">
        <v>897</v>
      </c>
      <c r="C549" s="171" t="s">
        <v>319</v>
      </c>
      <c r="D549" s="171" t="s">
        <v>320</v>
      </c>
      <c r="E549" s="171" t="s">
        <v>898</v>
      </c>
      <c r="F549" s="172" t="s">
        <v>899</v>
      </c>
      <c r="G549" s="139"/>
    </row>
    <row r="550" spans="2:10" ht="29">
      <c r="B550" s="207" t="s">
        <v>1204</v>
      </c>
      <c r="C550" s="208" t="s">
        <v>198</v>
      </c>
      <c r="D550" s="209">
        <v>0.01</v>
      </c>
      <c r="E550" s="210">
        <f>+EQUIPOS!C18</f>
        <v>100000</v>
      </c>
      <c r="F550" s="211">
        <f>+ROUND((D550*E550),0)</f>
        <v>1000</v>
      </c>
      <c r="G550" s="147"/>
    </row>
    <row r="551" spans="2:10" ht="15" thickBot="1">
      <c r="B551" s="188" t="s">
        <v>1135</v>
      </c>
      <c r="C551" s="202" t="s">
        <v>198</v>
      </c>
      <c r="D551" s="203">
        <v>2.5000000000000001E-2</v>
      </c>
      <c r="E551" s="204">
        <f>+EQUIPOS!C39</f>
        <v>78500</v>
      </c>
      <c r="F551" s="206">
        <f>+ROUND((D551*E551),0)</f>
        <v>1963</v>
      </c>
      <c r="G551" s="142"/>
    </row>
    <row r="552" spans="2:10" ht="15" thickBot="1">
      <c r="B552" s="183"/>
      <c r="C552" s="184">
        <f>+G552/$G$558</f>
        <v>1.9316648304007405E-2</v>
      </c>
      <c r="D552" s="190"/>
      <c r="F552" s="212" t="s">
        <v>900</v>
      </c>
      <c r="G552" s="149">
        <f>+SUM(F550:F551)</f>
        <v>2963</v>
      </c>
    </row>
    <row r="553" spans="2:10" ht="15" thickBot="1">
      <c r="B553" s="183" t="s">
        <v>1205</v>
      </c>
    </row>
    <row r="554" spans="2:10">
      <c r="B554" s="170" t="s">
        <v>897</v>
      </c>
      <c r="C554" s="171" t="s">
        <v>319</v>
      </c>
      <c r="D554" s="171" t="s">
        <v>320</v>
      </c>
      <c r="E554" s="171" t="s">
        <v>898</v>
      </c>
      <c r="F554" s="187" t="s">
        <v>899</v>
      </c>
      <c r="G554" s="139"/>
    </row>
    <row r="555" spans="2:10" ht="15" thickBot="1">
      <c r="B555" s="188" t="s">
        <v>1196</v>
      </c>
      <c r="C555" s="202" t="s">
        <v>14</v>
      </c>
      <c r="D555" s="203">
        <v>0.32900000000000001</v>
      </c>
      <c r="E555" s="204">
        <v>8168</v>
      </c>
      <c r="F555" s="205">
        <f>+ROUND((D555*E555),0)</f>
        <v>2687</v>
      </c>
      <c r="G555" s="142"/>
    </row>
    <row r="556" spans="2:10" ht="15" thickBot="1">
      <c r="B556" s="183"/>
      <c r="C556" s="184">
        <f>+G556/$G$558</f>
        <v>1.751732500603034E-2</v>
      </c>
      <c r="D556" s="190"/>
      <c r="E556" s="212" t="s">
        <v>900</v>
      </c>
      <c r="F556" s="194">
        <v>2687</v>
      </c>
      <c r="G556" s="148">
        <f>+SUM(F555)</f>
        <v>2687</v>
      </c>
    </row>
    <row r="557" spans="2:10" ht="15" thickBot="1"/>
    <row r="558" spans="2:10" ht="15" thickBot="1">
      <c r="B558" s="195"/>
      <c r="C558" s="196"/>
      <c r="D558" s="197" t="s">
        <v>908</v>
      </c>
      <c r="E558" s="198"/>
      <c r="F558" s="198"/>
      <c r="G558" s="153">
        <f>ROUNDUP(SUM(G533:G556),0)</f>
        <v>153391</v>
      </c>
      <c r="J558" s="63"/>
    </row>
    <row r="559" spans="2:10" ht="15" thickBot="1">
      <c r="B559" s="340"/>
      <c r="C559" s="201"/>
      <c r="D559" s="253"/>
      <c r="E559" s="253"/>
      <c r="F559" s="253"/>
      <c r="G559" s="196"/>
    </row>
    <row r="560" spans="2:10" ht="19.25" customHeight="1">
      <c r="B560" s="1721"/>
      <c r="C560" s="1770" t="s">
        <v>1175</v>
      </c>
      <c r="D560" s="1770"/>
      <c r="E560" s="1770"/>
      <c r="F560" s="1770"/>
      <c r="G560" s="1771"/>
    </row>
    <row r="561" spans="2:7" ht="19.25" customHeight="1">
      <c r="B561" s="1722"/>
      <c r="C561" s="1772"/>
      <c r="D561" s="1772"/>
      <c r="E561" s="1772"/>
      <c r="F561" s="1772"/>
      <c r="G561" s="1773"/>
    </row>
    <row r="562" spans="2:7" ht="19.25" customHeight="1">
      <c r="B562" s="1722"/>
      <c r="C562" s="1772"/>
      <c r="D562" s="1772"/>
      <c r="E562" s="1772"/>
      <c r="F562" s="1772"/>
      <c r="G562" s="1773"/>
    </row>
    <row r="563" spans="2:7" ht="19.25" customHeight="1">
      <c r="B563" s="1722"/>
      <c r="C563" s="1772"/>
      <c r="D563" s="1772"/>
      <c r="E563" s="1772"/>
      <c r="F563" s="1772"/>
      <c r="G563" s="1773"/>
    </row>
    <row r="564" spans="2:7" ht="19.25" customHeight="1" thickBot="1">
      <c r="B564" s="1723"/>
      <c r="C564" s="1774"/>
      <c r="D564" s="1774"/>
      <c r="E564" s="1774"/>
      <c r="F564" s="1774"/>
      <c r="G564" s="1775"/>
    </row>
    <row r="565" spans="2:7">
      <c r="B565" s="1724" t="s">
        <v>890</v>
      </c>
      <c r="C565" s="1726"/>
      <c r="D565" s="1726"/>
      <c r="E565" s="1733" t="s">
        <v>891</v>
      </c>
      <c r="F565" s="1735"/>
      <c r="G565" s="1736"/>
    </row>
    <row r="566" spans="2:7">
      <c r="B566" s="1727"/>
      <c r="C566" s="1729"/>
      <c r="D566" s="1729"/>
      <c r="E566" s="1734"/>
      <c r="F566" s="1737"/>
      <c r="G566" s="1738"/>
    </row>
    <row r="567" spans="2:7">
      <c r="B567" s="1727"/>
      <c r="C567" s="1729"/>
      <c r="D567" s="1729"/>
      <c r="E567" s="332" t="s">
        <v>892</v>
      </c>
      <c r="F567" s="1739"/>
      <c r="G567" s="1740"/>
    </row>
    <row r="568" spans="2:7">
      <c r="B568" s="1727"/>
      <c r="C568" s="1729"/>
      <c r="D568" s="1729"/>
      <c r="E568" s="332" t="s">
        <v>893</v>
      </c>
      <c r="F568" s="1739"/>
      <c r="G568" s="1740"/>
    </row>
    <row r="569" spans="2:7">
      <c r="B569" s="1727"/>
      <c r="C569" s="1729"/>
      <c r="D569" s="1729"/>
      <c r="E569" s="1734" t="s">
        <v>894</v>
      </c>
      <c r="F569" s="1742"/>
      <c r="G569" s="1743"/>
    </row>
    <row r="570" spans="2:7" ht="15" thickBot="1">
      <c r="B570" s="1730"/>
      <c r="C570" s="1732"/>
      <c r="D570" s="1732"/>
      <c r="E570" s="1741"/>
      <c r="F570" s="1744"/>
      <c r="G570" s="1745"/>
    </row>
    <row r="571" spans="2:7">
      <c r="B571" s="1755" t="str">
        <f>+PRESUPUESTO!$A$2</f>
        <v>OBJETO: MEJORAMIENTO Y ADECUACIÓN DE LAS VIAS URBANAS DEL MUNICIPIO DE SANTA FE DE ANTIOQUIA</v>
      </c>
      <c r="C571" s="1757"/>
      <c r="D571" s="1757"/>
      <c r="E571" s="1757"/>
      <c r="F571" s="1757"/>
      <c r="G571" s="1758"/>
    </row>
    <row r="572" spans="2:7" ht="15" thickBot="1">
      <c r="B572" s="1759"/>
      <c r="C572" s="1761"/>
      <c r="D572" s="1761"/>
      <c r="E572" s="1761"/>
      <c r="F572" s="1761"/>
      <c r="G572" s="1762"/>
    </row>
    <row r="573" spans="2:7" ht="84" customHeight="1" thickBot="1">
      <c r="B573" s="145" t="str">
        <f>+P!A27</f>
        <v>6.2</v>
      </c>
      <c r="C573" s="2061" t="str">
        <f>+P!B27</f>
        <v>Construcción de LOSA DE PISO en concreto de 21 MPa. con un ESPESOR DE 0.12 m. Incluye suministro, transporte,  y colocación del concreto, formaleta, vibrado, protección antisol, curado y todos los demás elementos necesarios para su correcta construcción. El entresuelo y el acero de refuerzo se pagará en su respectivo ítem.</v>
      </c>
      <c r="D573" s="1765"/>
      <c r="E573" s="1765"/>
      <c r="F573" s="2062"/>
      <c r="G573" s="169" t="str">
        <f>+P!C27</f>
        <v>m2</v>
      </c>
    </row>
    <row r="574" spans="2:7" ht="15" thickBot="1">
      <c r="B574" s="183" t="s">
        <v>896</v>
      </c>
    </row>
    <row r="575" spans="2:7">
      <c r="B575" s="170" t="s">
        <v>897</v>
      </c>
      <c r="C575" s="171" t="s">
        <v>319</v>
      </c>
      <c r="D575" s="171" t="s">
        <v>320</v>
      </c>
      <c r="E575" s="171" t="s">
        <v>898</v>
      </c>
      <c r="F575" s="187" t="s">
        <v>899</v>
      </c>
      <c r="G575" s="139"/>
    </row>
    <row r="576" spans="2:7">
      <c r="B576" s="207" t="s">
        <v>1199</v>
      </c>
      <c r="C576" s="174" t="s">
        <v>14</v>
      </c>
      <c r="D576" s="175">
        <f>1*1*0.15*1.07</f>
        <v>0.1605</v>
      </c>
      <c r="E576" s="176">
        <f>+'CONCRETOS Y MORTERO'!G75</f>
        <v>591127</v>
      </c>
      <c r="F576" s="215">
        <f t="shared" ref="F576:F581" si="1">+ROUND((D576*E576),0)</f>
        <v>94876</v>
      </c>
      <c r="G576" s="147"/>
    </row>
    <row r="577" spans="2:7" ht="71.5" customHeight="1">
      <c r="B577" s="207" t="s">
        <v>984</v>
      </c>
      <c r="C577" s="174" t="s">
        <v>69</v>
      </c>
      <c r="D577" s="175">
        <v>1.2E-4</v>
      </c>
      <c r="E577" s="176">
        <f>+MATERIALES!D44</f>
        <v>380900</v>
      </c>
      <c r="F577" s="215">
        <f t="shared" si="1"/>
        <v>46</v>
      </c>
      <c r="G577" s="147"/>
    </row>
    <row r="578" spans="2:7">
      <c r="B578" s="207" t="s">
        <v>969</v>
      </c>
      <c r="C578" s="174" t="s">
        <v>69</v>
      </c>
      <c r="D578" s="175">
        <v>1.1200000000000001</v>
      </c>
      <c r="E578" s="176">
        <f>+MATERIALES!D30</f>
        <v>17500</v>
      </c>
      <c r="F578" s="215">
        <f t="shared" si="1"/>
        <v>19600</v>
      </c>
      <c r="G578" s="147"/>
    </row>
    <row r="579" spans="2:7" ht="43.5">
      <c r="B579" s="207" t="s">
        <v>1117</v>
      </c>
      <c r="C579" s="174" t="s">
        <v>198</v>
      </c>
      <c r="D579" s="175">
        <v>0.02</v>
      </c>
      <c r="E579" s="176">
        <f>+EQUIPOS!C18</f>
        <v>100000</v>
      </c>
      <c r="F579" s="215">
        <f t="shared" si="1"/>
        <v>2000</v>
      </c>
      <c r="G579" s="147"/>
    </row>
    <row r="580" spans="2:7" ht="29">
      <c r="B580" s="207" t="s">
        <v>1206</v>
      </c>
      <c r="C580" s="174" t="s">
        <v>23</v>
      </c>
      <c r="D580" s="175">
        <v>0.23649999999999999</v>
      </c>
      <c r="E580" s="176">
        <f>+MATERIALES!D37</f>
        <v>11000</v>
      </c>
      <c r="F580" s="215">
        <f t="shared" si="1"/>
        <v>2602</v>
      </c>
      <c r="G580" s="147"/>
    </row>
    <row r="581" spans="2:7" ht="23" customHeight="1" thickBot="1">
      <c r="B581" s="188" t="s">
        <v>912</v>
      </c>
      <c r="C581" s="179" t="s">
        <v>913</v>
      </c>
      <c r="D581" s="180">
        <v>0.1</v>
      </c>
      <c r="E581" s="181">
        <f>+MATERIALES!D23</f>
        <v>5500</v>
      </c>
      <c r="F581" s="189">
        <f t="shared" si="1"/>
        <v>550</v>
      </c>
      <c r="G581" s="142"/>
    </row>
    <row r="582" spans="2:7" ht="15" thickBot="1">
      <c r="B582" s="183"/>
      <c r="C582" s="184">
        <f>+G582/$G$600</f>
        <v>0.67370732119233256</v>
      </c>
      <c r="D582" s="190"/>
      <c r="F582" s="212" t="s">
        <v>900</v>
      </c>
      <c r="G582" s="148">
        <f>+SUM(F576:F581)</f>
        <v>119674</v>
      </c>
    </row>
    <row r="583" spans="2:7" ht="15" thickBot="1">
      <c r="B583" s="183" t="s">
        <v>901</v>
      </c>
    </row>
    <row r="584" spans="2:7">
      <c r="B584" s="170" t="s">
        <v>897</v>
      </c>
      <c r="C584" s="171" t="s">
        <v>319</v>
      </c>
      <c r="D584" s="171" t="s">
        <v>320</v>
      </c>
      <c r="E584" s="171" t="s">
        <v>898</v>
      </c>
      <c r="F584" s="187" t="s">
        <v>899</v>
      </c>
      <c r="G584" s="139"/>
    </row>
    <row r="585" spans="2:7" ht="15" thickBot="1">
      <c r="B585" s="188" t="s">
        <v>1207</v>
      </c>
      <c r="C585" s="202" t="s">
        <v>916</v>
      </c>
      <c r="D585" s="203">
        <v>0.173139100632271</v>
      </c>
      <c r="E585" s="204">
        <f>+'FP OPERATIVO'!F35</f>
        <v>295642.2840888889</v>
      </c>
      <c r="F585" s="205">
        <f>+ROUND((D585*E585),0)</f>
        <v>51187</v>
      </c>
      <c r="G585" s="142"/>
    </row>
    <row r="586" spans="2:7" ht="15" thickBot="1">
      <c r="B586" s="183"/>
      <c r="C586" s="184">
        <f>+G586/$G$600</f>
        <v>0.28815830213640331</v>
      </c>
      <c r="D586" s="190"/>
      <c r="F586" s="212" t="s">
        <v>900</v>
      </c>
      <c r="G586" s="148">
        <f>+SUM(F585)</f>
        <v>51187</v>
      </c>
    </row>
    <row r="587" spans="2:7" ht="15" thickBot="1">
      <c r="B587" s="183" t="s">
        <v>917</v>
      </c>
    </row>
    <row r="588" spans="2:7">
      <c r="B588" s="170" t="s">
        <v>897</v>
      </c>
      <c r="C588" s="171" t="s">
        <v>319</v>
      </c>
      <c r="D588" s="171" t="s">
        <v>320</v>
      </c>
      <c r="E588" s="171" t="s">
        <v>898</v>
      </c>
      <c r="F588" s="187" t="s">
        <v>899</v>
      </c>
      <c r="G588" s="139"/>
    </row>
    <row r="589" spans="2:7" ht="15" thickBot="1">
      <c r="B589" s="188" t="s">
        <v>905</v>
      </c>
      <c r="C589" s="202" t="s">
        <v>906</v>
      </c>
      <c r="D589" s="203">
        <v>0.05</v>
      </c>
      <c r="E589" s="204">
        <f>+G586</f>
        <v>51187</v>
      </c>
      <c r="F589" s="205">
        <f>+ROUND((D589*E589),0)</f>
        <v>2559</v>
      </c>
      <c r="G589" s="142"/>
    </row>
    <row r="590" spans="2:7" ht="15" thickBot="1">
      <c r="B590" s="183"/>
      <c r="C590" s="184">
        <f>+G590/$G$600</f>
        <v>1.4405944774396938E-2</v>
      </c>
      <c r="D590" s="190"/>
      <c r="F590" s="212" t="s">
        <v>900</v>
      </c>
      <c r="G590" s="148">
        <f>+SUM(F589)</f>
        <v>2559</v>
      </c>
    </row>
    <row r="591" spans="2:7" ht="15" thickBot="1">
      <c r="B591" s="183" t="s">
        <v>1203</v>
      </c>
    </row>
    <row r="592" spans="2:7">
      <c r="B592" s="170" t="s">
        <v>897</v>
      </c>
      <c r="C592" s="171" t="s">
        <v>319</v>
      </c>
      <c r="D592" s="171" t="s">
        <v>320</v>
      </c>
      <c r="E592" s="171" t="s">
        <v>898</v>
      </c>
      <c r="F592" s="187" t="s">
        <v>899</v>
      </c>
      <c r="G592" s="139"/>
    </row>
    <row r="593" spans="2:11" ht="29.5" thickBot="1">
      <c r="B593" s="188" t="s">
        <v>1204</v>
      </c>
      <c r="C593" s="202" t="s">
        <v>198</v>
      </c>
      <c r="D593" s="203">
        <v>2.5000000000000001E-2</v>
      </c>
      <c r="E593" s="204">
        <f>+EQUIPOS!C18</f>
        <v>100000</v>
      </c>
      <c r="F593" s="205">
        <f>+ROUND((D593*E593),0)</f>
        <v>2500</v>
      </c>
      <c r="G593" s="142"/>
    </row>
    <row r="594" spans="2:11" ht="15" thickBot="1">
      <c r="B594" s="183"/>
      <c r="C594" s="184">
        <f>+G594/$G$600</f>
        <v>1.4073803023052889E-2</v>
      </c>
      <c r="D594" s="190"/>
      <c r="F594" s="212" t="s">
        <v>900</v>
      </c>
      <c r="G594" s="148">
        <f>+SUM(F593)</f>
        <v>2500</v>
      </c>
    </row>
    <row r="595" spans="2:11" ht="15" thickBot="1">
      <c r="B595" s="183" t="s">
        <v>1205</v>
      </c>
    </row>
    <row r="596" spans="2:11">
      <c r="B596" s="170" t="s">
        <v>897</v>
      </c>
      <c r="C596" s="171" t="s">
        <v>319</v>
      </c>
      <c r="D596" s="171" t="s">
        <v>320</v>
      </c>
      <c r="E596" s="171" t="s">
        <v>898</v>
      </c>
      <c r="F596" s="187" t="s">
        <v>899</v>
      </c>
      <c r="G596" s="139"/>
    </row>
    <row r="597" spans="2:11" ht="15" thickBot="1">
      <c r="B597" s="188" t="s">
        <v>1196</v>
      </c>
      <c r="C597" s="202" t="s">
        <v>14</v>
      </c>
      <c r="D597" s="203">
        <v>0.21</v>
      </c>
      <c r="E597" s="204">
        <v>8168</v>
      </c>
      <c r="F597" s="205">
        <f>+ROUND((D597*E597),0)</f>
        <v>1715</v>
      </c>
      <c r="G597" s="142"/>
    </row>
    <row r="598" spans="2:11" ht="15" thickBot="1">
      <c r="B598" s="183"/>
      <c r="C598" s="184">
        <f>+G598/$G$600</f>
        <v>9.6546288738142815E-3</v>
      </c>
      <c r="D598" s="190"/>
      <c r="F598" s="212" t="s">
        <v>900</v>
      </c>
      <c r="G598" s="148">
        <f>+SUM(F597)</f>
        <v>1715</v>
      </c>
    </row>
    <row r="599" spans="2:11" ht="15" thickBot="1"/>
    <row r="600" spans="2:11" ht="15" thickBot="1">
      <c r="B600" s="195"/>
      <c r="C600" s="196"/>
      <c r="D600" s="197" t="s">
        <v>908</v>
      </c>
      <c r="E600" s="198"/>
      <c r="F600" s="198"/>
      <c r="G600" s="153">
        <f>ROUNDUP(SUM(G575:G598),0)</f>
        <v>177635</v>
      </c>
      <c r="I600" s="63"/>
      <c r="J600" s="63"/>
      <c r="K600" s="5"/>
    </row>
    <row r="601" spans="2:11" ht="15" thickBot="1">
      <c r="B601" s="199"/>
      <c r="C601" s="201"/>
      <c r="D601" s="253"/>
      <c r="E601" s="253"/>
      <c r="F601" s="253"/>
    </row>
    <row r="602" spans="2:11" ht="18.5" customHeight="1">
      <c r="B602" s="1721"/>
      <c r="C602" s="1770" t="s">
        <v>1175</v>
      </c>
      <c r="D602" s="1770"/>
      <c r="E602" s="1770"/>
      <c r="F602" s="1770"/>
      <c r="G602" s="1771"/>
    </row>
    <row r="603" spans="2:11" ht="18.5" customHeight="1">
      <c r="B603" s="1722"/>
      <c r="C603" s="1772"/>
      <c r="D603" s="1772"/>
      <c r="E603" s="1772"/>
      <c r="F603" s="1772"/>
      <c r="G603" s="1773"/>
    </row>
    <row r="604" spans="2:11" ht="18.5" customHeight="1">
      <c r="B604" s="1722"/>
      <c r="C604" s="1772"/>
      <c r="D604" s="1772"/>
      <c r="E604" s="1772"/>
      <c r="F604" s="1772"/>
      <c r="G604" s="1773"/>
    </row>
    <row r="605" spans="2:11" ht="18.5" customHeight="1">
      <c r="B605" s="1722"/>
      <c r="C605" s="1772"/>
      <c r="D605" s="1772"/>
      <c r="E605" s="1772"/>
      <c r="F605" s="1772"/>
      <c r="G605" s="1773"/>
    </row>
    <row r="606" spans="2:11" ht="18.5" customHeight="1" thickBot="1">
      <c r="B606" s="1723"/>
      <c r="C606" s="1774"/>
      <c r="D606" s="1774"/>
      <c r="E606" s="1774"/>
      <c r="F606" s="1774"/>
      <c r="G606" s="1775"/>
    </row>
    <row r="607" spans="2:11">
      <c r="B607" s="1724" t="s">
        <v>890</v>
      </c>
      <c r="C607" s="1726"/>
      <c r="D607" s="1726"/>
      <c r="E607" s="1733" t="s">
        <v>891</v>
      </c>
      <c r="F607" s="1735"/>
      <c r="G607" s="1736"/>
    </row>
    <row r="608" spans="2:11">
      <c r="B608" s="1727"/>
      <c r="C608" s="1729"/>
      <c r="D608" s="1729"/>
      <c r="E608" s="1734"/>
      <c r="F608" s="1737"/>
      <c r="G608" s="1738"/>
    </row>
    <row r="609" spans="2:7">
      <c r="B609" s="1727"/>
      <c r="C609" s="1729"/>
      <c r="D609" s="1729"/>
      <c r="E609" s="332" t="s">
        <v>892</v>
      </c>
      <c r="F609" s="1739"/>
      <c r="G609" s="1740"/>
    </row>
    <row r="610" spans="2:7">
      <c r="B610" s="1727"/>
      <c r="C610" s="1729"/>
      <c r="D610" s="1729"/>
      <c r="E610" s="332" t="s">
        <v>893</v>
      </c>
      <c r="F610" s="1739"/>
      <c r="G610" s="1740"/>
    </row>
    <row r="611" spans="2:7">
      <c r="B611" s="1727"/>
      <c r="C611" s="1729"/>
      <c r="D611" s="1729"/>
      <c r="E611" s="1734" t="s">
        <v>894</v>
      </c>
      <c r="F611" s="1742"/>
      <c r="G611" s="1743"/>
    </row>
    <row r="612" spans="2:7" ht="15" thickBot="1">
      <c r="B612" s="1730"/>
      <c r="C612" s="1732"/>
      <c r="D612" s="1732"/>
      <c r="E612" s="1741"/>
      <c r="F612" s="1744"/>
      <c r="G612" s="1745"/>
    </row>
    <row r="613" spans="2:7">
      <c r="B613" s="1755" t="str">
        <f>+PRESUPUESTO!$A$2</f>
        <v>OBJETO: MEJORAMIENTO Y ADECUACIÓN DE LAS VIAS URBANAS DEL MUNICIPIO DE SANTA FE DE ANTIOQUIA</v>
      </c>
      <c r="C613" s="1757"/>
      <c r="D613" s="1757"/>
      <c r="E613" s="1757"/>
      <c r="F613" s="1757"/>
      <c r="G613" s="1758"/>
    </row>
    <row r="614" spans="2:7" ht="15" thickBot="1">
      <c r="B614" s="1759"/>
      <c r="C614" s="1761"/>
      <c r="D614" s="1761"/>
      <c r="E614" s="1761"/>
      <c r="F614" s="1761"/>
      <c r="G614" s="1762"/>
    </row>
    <row r="615" spans="2:7" ht="15" thickBot="1">
      <c r="B615" s="167" t="s">
        <v>1</v>
      </c>
      <c r="C615" s="2059"/>
      <c r="D615" s="1763"/>
      <c r="E615" s="1763"/>
      <c r="F615" s="2060"/>
      <c r="G615" s="168" t="s">
        <v>193</v>
      </c>
    </row>
    <row r="616" spans="2:7" ht="99" customHeight="1" thickBot="1">
      <c r="B616" s="145" t="str">
        <f>+P!A28</f>
        <v>6.3</v>
      </c>
      <c r="C616" s="2061" t="str">
        <f>+P!B28</f>
        <v>Construcción de COLUMNAS DE 0.30 x 0.30m.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
      <c r="D616" s="1765"/>
      <c r="E616" s="1765"/>
      <c r="F616" s="2062"/>
      <c r="G616" s="169" t="str">
        <f>+P!C28</f>
        <v>m</v>
      </c>
    </row>
    <row r="617" spans="2:7" ht="15" thickBot="1">
      <c r="B617" s="216" t="s">
        <v>896</v>
      </c>
    </row>
    <row r="618" spans="2:7">
      <c r="B618" s="170" t="s">
        <v>897</v>
      </c>
      <c r="C618" s="171" t="s">
        <v>319</v>
      </c>
      <c r="D618" s="171" t="s">
        <v>320</v>
      </c>
      <c r="E618" s="171" t="s">
        <v>898</v>
      </c>
      <c r="F618" s="172" t="s">
        <v>899</v>
      </c>
      <c r="G618" s="139"/>
    </row>
    <row r="619" spans="2:7">
      <c r="B619" s="217" t="s">
        <v>1199</v>
      </c>
      <c r="C619" s="208" t="s">
        <v>14</v>
      </c>
      <c r="D619" s="209">
        <v>9.4500000000000001E-2</v>
      </c>
      <c r="E619" s="210">
        <f>+'CONCRETOS Y MORTERO'!G75</f>
        <v>591127</v>
      </c>
      <c r="F619" s="211">
        <f t="shared" ref="F619:F626" si="2">+ROUND((D619*E619),0)</f>
        <v>55862</v>
      </c>
      <c r="G619" s="147"/>
    </row>
    <row r="620" spans="2:7" ht="72.5">
      <c r="B620" s="217" t="s">
        <v>984</v>
      </c>
      <c r="C620" s="208" t="s">
        <v>23</v>
      </c>
      <c r="D620" s="209">
        <v>1.16E-3</v>
      </c>
      <c r="E620" s="210">
        <f>+MATERIALES!D44</f>
        <v>380900</v>
      </c>
      <c r="F620" s="211">
        <f t="shared" si="2"/>
        <v>442</v>
      </c>
      <c r="G620" s="147"/>
    </row>
    <row r="621" spans="2:7">
      <c r="B621" s="217" t="s">
        <v>1200</v>
      </c>
      <c r="C621" s="208" t="s">
        <v>23</v>
      </c>
      <c r="D621" s="209">
        <v>6.1530000000000001E-2</v>
      </c>
      <c r="E621" s="210">
        <f>+MATERIALES!D40</f>
        <v>275000</v>
      </c>
      <c r="F621" s="211">
        <f t="shared" si="2"/>
        <v>16921</v>
      </c>
      <c r="G621" s="147"/>
    </row>
    <row r="622" spans="2:7">
      <c r="B622" s="217" t="s">
        <v>1208</v>
      </c>
      <c r="C622" s="208" t="s">
        <v>913</v>
      </c>
      <c r="D622" s="209">
        <v>0.36530000000000001</v>
      </c>
      <c r="E622" s="210">
        <f>+MATERIALES!D23</f>
        <v>5500</v>
      </c>
      <c r="F622" s="211">
        <f t="shared" si="2"/>
        <v>2009</v>
      </c>
      <c r="G622" s="147"/>
    </row>
    <row r="623" spans="2:7">
      <c r="B623" s="217" t="s">
        <v>1058</v>
      </c>
      <c r="C623" s="208" t="s">
        <v>10</v>
      </c>
      <c r="D623" s="209">
        <v>2.2999999999999998</v>
      </c>
      <c r="E623" s="210">
        <f>+MATERIALES!D114</f>
        <v>2833.3333333333298</v>
      </c>
      <c r="F623" s="211">
        <f t="shared" si="2"/>
        <v>6517</v>
      </c>
      <c r="G623" s="147"/>
    </row>
    <row r="624" spans="2:7">
      <c r="B624" s="217" t="s">
        <v>1209</v>
      </c>
      <c r="C624" s="208" t="s">
        <v>69</v>
      </c>
      <c r="D624" s="209">
        <v>0.71679999999999999</v>
      </c>
      <c r="E624" s="210" t="e">
        <f>+P!E34</f>
        <v>#REF!</v>
      </c>
      <c r="F624" s="211" t="e">
        <f t="shared" si="2"/>
        <v>#REF!</v>
      </c>
      <c r="G624" s="147"/>
    </row>
    <row r="625" spans="2:7">
      <c r="B625" s="217" t="s">
        <v>1059</v>
      </c>
      <c r="C625" s="208" t="s">
        <v>34</v>
      </c>
      <c r="D625" s="209">
        <v>0.21</v>
      </c>
      <c r="E625" s="210">
        <f>+MATERIALES!D115</f>
        <v>2580</v>
      </c>
      <c r="F625" s="211">
        <f t="shared" si="2"/>
        <v>542</v>
      </c>
      <c r="G625" s="147"/>
    </row>
    <row r="626" spans="2:7" ht="43.5">
      <c r="B626" s="217" t="s">
        <v>1060</v>
      </c>
      <c r="C626" s="208" t="s">
        <v>23</v>
      </c>
      <c r="D626" s="209">
        <v>6.62E-3</v>
      </c>
      <c r="E626" s="210">
        <f>+MATERIALES!D116</f>
        <v>510900</v>
      </c>
      <c r="F626" s="211">
        <f t="shared" si="2"/>
        <v>3382</v>
      </c>
      <c r="G626" s="147"/>
    </row>
    <row r="627" spans="2:7" ht="15" thickBot="1">
      <c r="B627" s="218" t="s">
        <v>978</v>
      </c>
      <c r="C627" s="202" t="s">
        <v>69</v>
      </c>
      <c r="D627" s="203">
        <v>0.09</v>
      </c>
      <c r="E627" s="204">
        <f>+MATERIALES!D39</f>
        <v>17900</v>
      </c>
      <c r="F627" s="206">
        <f>+ROUND((D627*E627),0)</f>
        <v>1611</v>
      </c>
      <c r="G627" s="142"/>
    </row>
    <row r="628" spans="2:7" ht="15" thickBot="1">
      <c r="B628" s="212"/>
      <c r="C628" s="184" t="e">
        <f>+G628/$G$651</f>
        <v>#REF!</v>
      </c>
      <c r="D628" s="190"/>
      <c r="F628" s="212" t="s">
        <v>900</v>
      </c>
      <c r="G628" s="149" t="e">
        <f>+SUM(F619:F627)</f>
        <v>#REF!</v>
      </c>
    </row>
    <row r="629" spans="2:7" ht="15" thickBot="1">
      <c r="B629" s="216" t="s">
        <v>901</v>
      </c>
    </row>
    <row r="630" spans="2:7">
      <c r="B630" s="170" t="s">
        <v>897</v>
      </c>
      <c r="C630" s="171" t="s">
        <v>319</v>
      </c>
      <c r="D630" s="171" t="s">
        <v>320</v>
      </c>
      <c r="E630" s="171" t="s">
        <v>898</v>
      </c>
      <c r="F630" s="187" t="s">
        <v>899</v>
      </c>
      <c r="G630" s="139"/>
    </row>
    <row r="631" spans="2:7" ht="15" thickBot="1">
      <c r="B631" s="218" t="s">
        <v>1207</v>
      </c>
      <c r="C631" s="202" t="s">
        <v>916</v>
      </c>
      <c r="D631" s="203">
        <v>0.14477000000000001</v>
      </c>
      <c r="E631" s="204">
        <f>+'FP OPERATIVO'!F36</f>
        <v>302186.41694755561</v>
      </c>
      <c r="F631" s="205">
        <f>+ROUND((D631*E631),0)</f>
        <v>43748</v>
      </c>
      <c r="G631" s="147"/>
    </row>
    <row r="632" spans="2:7" ht="15" thickBot="1">
      <c r="B632" s="212"/>
      <c r="C632" s="184" t="e">
        <f>+G632/$G$651</f>
        <v>#REF!</v>
      </c>
      <c r="D632" s="190"/>
      <c r="F632" s="212" t="s">
        <v>900</v>
      </c>
      <c r="G632" s="148">
        <f>+SUM(F631)</f>
        <v>43748</v>
      </c>
    </row>
    <row r="633" spans="2:7" ht="15" thickBot="1">
      <c r="B633" s="216" t="s">
        <v>917</v>
      </c>
    </row>
    <row r="634" spans="2:7">
      <c r="B634" s="170" t="s">
        <v>897</v>
      </c>
      <c r="C634" s="171" t="s">
        <v>319</v>
      </c>
      <c r="D634" s="171" t="s">
        <v>320</v>
      </c>
      <c r="E634" s="171" t="s">
        <v>898</v>
      </c>
      <c r="F634" s="187" t="s">
        <v>899</v>
      </c>
      <c r="G634" s="139"/>
    </row>
    <row r="635" spans="2:7" ht="15" thickBot="1">
      <c r="B635" s="218" t="s">
        <v>905</v>
      </c>
      <c r="C635" s="202" t="s">
        <v>906</v>
      </c>
      <c r="D635" s="203">
        <v>0.05</v>
      </c>
      <c r="E635" s="204">
        <f>+G632</f>
        <v>43748</v>
      </c>
      <c r="F635" s="205">
        <f>+ROUND((D635*E635),0)</f>
        <v>2187</v>
      </c>
      <c r="G635" s="147"/>
    </row>
    <row r="636" spans="2:7" ht="15" thickBot="1">
      <c r="B636" s="212"/>
      <c r="C636" s="184" t="e">
        <f>+G636/$G$651</f>
        <v>#REF!</v>
      </c>
      <c r="D636" s="190"/>
      <c r="F636" s="212" t="s">
        <v>900</v>
      </c>
      <c r="G636" s="148">
        <f>+SUM(F635)</f>
        <v>2187</v>
      </c>
    </row>
    <row r="637" spans="2:7" ht="15" thickBot="1">
      <c r="B637" s="216" t="s">
        <v>1203</v>
      </c>
    </row>
    <row r="638" spans="2:7">
      <c r="B638" s="170" t="s">
        <v>897</v>
      </c>
      <c r="C638" s="171" t="s">
        <v>319</v>
      </c>
      <c r="D638" s="171" t="s">
        <v>320</v>
      </c>
      <c r="E638" s="171" t="s">
        <v>898</v>
      </c>
      <c r="F638" s="172" t="s">
        <v>899</v>
      </c>
      <c r="G638" s="139"/>
    </row>
    <row r="639" spans="2:7">
      <c r="B639" s="217" t="s">
        <v>1141</v>
      </c>
      <c r="C639" s="208" t="s">
        <v>198</v>
      </c>
      <c r="D639" s="209">
        <v>32</v>
      </c>
      <c r="E639" s="210">
        <f>+EQUIPOS!C45</f>
        <v>785</v>
      </c>
      <c r="F639" s="211">
        <f t="shared" ref="F639:F644" si="3">+ROUND((D639*E639),0)</f>
        <v>25120</v>
      </c>
      <c r="G639" s="147"/>
    </row>
    <row r="640" spans="2:7" ht="29">
      <c r="B640" s="217" t="s">
        <v>1193</v>
      </c>
      <c r="C640" s="208" t="s">
        <v>198</v>
      </c>
      <c r="D640" s="209">
        <v>1.3332999999999999</v>
      </c>
      <c r="E640" s="210">
        <f>+EQUIPOS!C35</f>
        <v>5500</v>
      </c>
      <c r="F640" s="211">
        <f t="shared" si="3"/>
        <v>7333</v>
      </c>
      <c r="G640" s="147"/>
    </row>
    <row r="641" spans="2:7">
      <c r="B641" s="217" t="s">
        <v>1142</v>
      </c>
      <c r="C641" s="208" t="s">
        <v>198</v>
      </c>
      <c r="D641" s="209">
        <v>2.6666699999999999</v>
      </c>
      <c r="E641" s="210">
        <f>+EQUIPOS!C46</f>
        <v>890</v>
      </c>
      <c r="F641" s="211">
        <f t="shared" si="3"/>
        <v>2373</v>
      </c>
      <c r="G641" s="147"/>
    </row>
    <row r="642" spans="2:7" ht="29">
      <c r="B642" s="217" t="s">
        <v>1204</v>
      </c>
      <c r="C642" s="208" t="s">
        <v>198</v>
      </c>
      <c r="D642" s="209">
        <v>6.3240000000000005E-2</v>
      </c>
      <c r="E642" s="210">
        <f>+EQUIPOS!C18</f>
        <v>100000</v>
      </c>
      <c r="F642" s="211">
        <f t="shared" si="3"/>
        <v>6324</v>
      </c>
      <c r="G642" s="147"/>
    </row>
    <row r="643" spans="2:7">
      <c r="B643" s="217" t="s">
        <v>1210</v>
      </c>
      <c r="C643" s="208" t="s">
        <v>198</v>
      </c>
      <c r="D643" s="209">
        <v>6.3240000000000005E-2</v>
      </c>
      <c r="E643" s="210">
        <v>992</v>
      </c>
      <c r="F643" s="211">
        <f t="shared" si="3"/>
        <v>63</v>
      </c>
      <c r="G643" s="147"/>
    </row>
    <row r="644" spans="2:7" ht="29.5" thickBot="1">
      <c r="B644" s="218" t="s">
        <v>1194</v>
      </c>
      <c r="C644" s="202" t="s">
        <v>198</v>
      </c>
      <c r="D644" s="203">
        <v>0.66666999999999998</v>
      </c>
      <c r="E644" s="204">
        <f>+EQUIPOS!C36</f>
        <v>600</v>
      </c>
      <c r="F644" s="206">
        <f t="shared" si="3"/>
        <v>400</v>
      </c>
      <c r="G644" s="142"/>
    </row>
    <row r="645" spans="2:7" ht="15" thickBot="1">
      <c r="B645" s="212"/>
      <c r="C645" s="184" t="e">
        <f>+G645/$G$651</f>
        <v>#REF!</v>
      </c>
      <c r="D645" s="190"/>
      <c r="F645" s="212" t="s">
        <v>900</v>
      </c>
      <c r="G645" s="149">
        <f>+SUM(F639:F644)</f>
        <v>41613</v>
      </c>
    </row>
    <row r="646" spans="2:7" ht="15" thickBot="1">
      <c r="B646" s="216" t="s">
        <v>1205</v>
      </c>
    </row>
    <row r="647" spans="2:7">
      <c r="B647" s="170" t="s">
        <v>897</v>
      </c>
      <c r="C647" s="171" t="s">
        <v>319</v>
      </c>
      <c r="D647" s="171" t="s">
        <v>320</v>
      </c>
      <c r="E647" s="171" t="s">
        <v>898</v>
      </c>
      <c r="F647" s="187" t="s">
        <v>899</v>
      </c>
      <c r="G647" s="139"/>
    </row>
    <row r="648" spans="2:7" ht="15" thickBot="1">
      <c r="B648" s="218" t="s">
        <v>1196</v>
      </c>
      <c r="C648" s="202" t="s">
        <v>14</v>
      </c>
      <c r="D648" s="203">
        <v>9.4500000000000001E-2</v>
      </c>
      <c r="E648" s="204">
        <v>8168</v>
      </c>
      <c r="F648" s="205">
        <f>+ROUND((D648*E648),0)</f>
        <v>772</v>
      </c>
      <c r="G648" s="147"/>
    </row>
    <row r="649" spans="2:7" ht="15" thickBot="1">
      <c r="B649" s="212"/>
      <c r="C649" s="221" t="e">
        <f>+G649/$G$651</f>
        <v>#REF!</v>
      </c>
      <c r="D649" s="190"/>
      <c r="F649" s="212" t="s">
        <v>900</v>
      </c>
      <c r="G649" s="148">
        <f>+SUM(F648)</f>
        <v>772</v>
      </c>
    </row>
    <row r="650" spans="2:7" ht="15" thickBot="1">
      <c r="B650" s="212"/>
      <c r="C650" s="259"/>
      <c r="D650" s="190"/>
      <c r="E650" s="212"/>
      <c r="F650" s="194"/>
    </row>
    <row r="651" spans="2:7" ht="15" thickBot="1">
      <c r="C651" s="65"/>
      <c r="D651" s="65"/>
      <c r="E651" s="67" t="s">
        <v>908</v>
      </c>
      <c r="F651" s="65"/>
      <c r="G651" s="160" t="e">
        <f>+SUM(G618:G649)</f>
        <v>#REF!</v>
      </c>
    </row>
    <row r="652" spans="2:7" ht="15" thickBot="1">
      <c r="B652" s="155"/>
      <c r="C652" s="155"/>
    </row>
    <row r="653" spans="2:7" ht="19.25" customHeight="1">
      <c r="B653" s="1721"/>
      <c r="C653" s="1770" t="s">
        <v>1175</v>
      </c>
      <c r="D653" s="1770"/>
      <c r="E653" s="1770"/>
      <c r="F653" s="1770"/>
      <c r="G653" s="1771"/>
    </row>
    <row r="654" spans="2:7" ht="19.25" customHeight="1">
      <c r="B654" s="1722"/>
      <c r="C654" s="1772"/>
      <c r="D654" s="1772"/>
      <c r="E654" s="1772"/>
      <c r="F654" s="1772"/>
      <c r="G654" s="1773"/>
    </row>
    <row r="655" spans="2:7" ht="19.25" customHeight="1">
      <c r="B655" s="1722"/>
      <c r="C655" s="1772"/>
      <c r="D655" s="1772"/>
      <c r="E655" s="1772"/>
      <c r="F655" s="1772"/>
      <c r="G655" s="1773"/>
    </row>
    <row r="656" spans="2:7" ht="19.25" customHeight="1">
      <c r="B656" s="1722"/>
      <c r="C656" s="1772"/>
      <c r="D656" s="1772"/>
      <c r="E656" s="1772"/>
      <c r="F656" s="1772"/>
      <c r="G656" s="1773"/>
    </row>
    <row r="657" spans="2:7" ht="19.25" customHeight="1" thickBot="1">
      <c r="B657" s="1723"/>
      <c r="C657" s="1774"/>
      <c r="D657" s="1774"/>
      <c r="E657" s="1774"/>
      <c r="F657" s="1774"/>
      <c r="G657" s="1775"/>
    </row>
    <row r="658" spans="2:7">
      <c r="B658" s="1724" t="s">
        <v>890</v>
      </c>
      <c r="C658" s="1726"/>
      <c r="D658" s="1726"/>
      <c r="E658" s="1733" t="s">
        <v>891</v>
      </c>
      <c r="F658" s="1735"/>
      <c r="G658" s="1736"/>
    </row>
    <row r="659" spans="2:7">
      <c r="B659" s="1727"/>
      <c r="C659" s="1729"/>
      <c r="D659" s="1729"/>
      <c r="E659" s="1734"/>
      <c r="F659" s="1737"/>
      <c r="G659" s="1738"/>
    </row>
    <row r="660" spans="2:7">
      <c r="B660" s="1727"/>
      <c r="C660" s="1729"/>
      <c r="D660" s="1729"/>
      <c r="E660" s="332" t="s">
        <v>892</v>
      </c>
      <c r="F660" s="1739"/>
      <c r="G660" s="1740"/>
    </row>
    <row r="661" spans="2:7">
      <c r="B661" s="1727"/>
      <c r="C661" s="1729"/>
      <c r="D661" s="1729"/>
      <c r="E661" s="332" t="s">
        <v>893</v>
      </c>
      <c r="F661" s="1739"/>
      <c r="G661" s="1740"/>
    </row>
    <row r="662" spans="2:7">
      <c r="B662" s="1727"/>
      <c r="C662" s="1729"/>
      <c r="D662" s="1729"/>
      <c r="E662" s="1734" t="s">
        <v>894</v>
      </c>
      <c r="F662" s="1742"/>
      <c r="G662" s="1743"/>
    </row>
    <row r="663" spans="2:7" ht="15" thickBot="1">
      <c r="B663" s="1730"/>
      <c r="C663" s="1732"/>
      <c r="D663" s="1732"/>
      <c r="E663" s="1741"/>
      <c r="F663" s="1744"/>
      <c r="G663" s="1745"/>
    </row>
    <row r="664" spans="2:7">
      <c r="B664" s="1755" t="str">
        <f>+PRESUPUESTO!$A$2</f>
        <v>OBJETO: MEJORAMIENTO Y ADECUACIÓN DE LAS VIAS URBANAS DEL MUNICIPIO DE SANTA FE DE ANTIOQUIA</v>
      </c>
      <c r="C664" s="1757"/>
      <c r="D664" s="1757"/>
      <c r="E664" s="1757"/>
      <c r="F664" s="1757"/>
      <c r="G664" s="1758"/>
    </row>
    <row r="665" spans="2:7" ht="15" thickBot="1">
      <c r="B665" s="1759"/>
      <c r="C665" s="1761"/>
      <c r="D665" s="1761"/>
      <c r="E665" s="1761"/>
      <c r="F665" s="1761"/>
      <c r="G665" s="1762"/>
    </row>
    <row r="666" spans="2:7" ht="15" thickBot="1">
      <c r="B666" s="167" t="s">
        <v>1</v>
      </c>
      <c r="C666" s="2059"/>
      <c r="D666" s="1763"/>
      <c r="E666" s="1763"/>
      <c r="F666" s="2060"/>
      <c r="G666" s="168" t="s">
        <v>193</v>
      </c>
    </row>
    <row r="667" spans="2:7" ht="54" customHeight="1" thickBot="1">
      <c r="B667" s="145" t="str">
        <f>+P!A29</f>
        <v>6.4</v>
      </c>
      <c r="C667" s="2061" t="str">
        <f>+P!B29</f>
        <v>Colocación de REVOQUE con mortero 1:4 EN MUROS. Incluye suministro y transporte de los materiales, fajas, ranuras, filetes y todos los demás elementos necesarios para su correcta construcción.</v>
      </c>
      <c r="D667" s="1765"/>
      <c r="E667" s="1765"/>
      <c r="F667" s="2062"/>
      <c r="G667" s="169" t="str">
        <f>+P!C29</f>
        <v>m2</v>
      </c>
    </row>
    <row r="668" spans="2:7" ht="15" thickBot="1">
      <c r="B668" s="216" t="s">
        <v>896</v>
      </c>
    </row>
    <row r="669" spans="2:7">
      <c r="B669" s="170" t="s">
        <v>897</v>
      </c>
      <c r="C669" s="171" t="s">
        <v>319</v>
      </c>
      <c r="D669" s="171" t="s">
        <v>320</v>
      </c>
      <c r="E669" s="171" t="s">
        <v>898</v>
      </c>
      <c r="F669" s="172" t="s">
        <v>899</v>
      </c>
      <c r="G669" s="139"/>
    </row>
    <row r="670" spans="2:7" ht="15" thickBot="1">
      <c r="B670" s="218" t="s">
        <v>1211</v>
      </c>
      <c r="C670" s="202" t="s">
        <v>14</v>
      </c>
      <c r="D670" s="203">
        <v>2.5999999999999999E-2</v>
      </c>
      <c r="E670" s="204">
        <f>+'CONCRETOS Y MORTERO'!G26</f>
        <v>538996.55000000005</v>
      </c>
      <c r="F670" s="206">
        <f>+ROUND((D670*E670),0)</f>
        <v>14014</v>
      </c>
      <c r="G670" s="142"/>
    </row>
    <row r="671" spans="2:7" ht="15" thickBot="1">
      <c r="B671" s="212"/>
      <c r="C671" s="184">
        <f>+G671/$G$686</f>
        <v>0.29683131407269336</v>
      </c>
      <c r="D671" s="190"/>
      <c r="F671" s="212" t="s">
        <v>900</v>
      </c>
      <c r="G671" s="149">
        <f>+SUM(F670)</f>
        <v>14014</v>
      </c>
    </row>
    <row r="672" spans="2:7" ht="15" thickBot="1">
      <c r="B672" s="216" t="s">
        <v>901</v>
      </c>
    </row>
    <row r="673" spans="2:7">
      <c r="B673" s="170" t="s">
        <v>897</v>
      </c>
      <c r="C673" s="171" t="s">
        <v>319</v>
      </c>
      <c r="D673" s="171" t="s">
        <v>320</v>
      </c>
      <c r="E673" s="171" t="s">
        <v>898</v>
      </c>
      <c r="F673" s="172" t="s">
        <v>899</v>
      </c>
      <c r="G673" s="139"/>
    </row>
    <row r="674" spans="2:7" ht="15" thickBot="1">
      <c r="B674" s="218" t="s">
        <v>1207</v>
      </c>
      <c r="C674" s="202" t="s">
        <v>916</v>
      </c>
      <c r="D674" s="203">
        <v>9.7601933951869446E-2</v>
      </c>
      <c r="E674" s="204">
        <f>+'FP OPERATIVO'!F35</f>
        <v>295642.2840888889</v>
      </c>
      <c r="F674" s="206">
        <f>+ROUND((D674*E674),0)</f>
        <v>28855</v>
      </c>
      <c r="G674" s="142"/>
    </row>
    <row r="675" spans="2:7" ht="15" thickBot="1">
      <c r="B675" s="212"/>
      <c r="C675" s="184">
        <f>+G675/$G$686</f>
        <v>0.61117936117936122</v>
      </c>
      <c r="D675" s="190"/>
      <c r="F675" s="212" t="s">
        <v>900</v>
      </c>
      <c r="G675" s="149">
        <f>+SUM(F674)</f>
        <v>28855</v>
      </c>
    </row>
    <row r="676" spans="2:7" ht="15" thickBot="1">
      <c r="B676" s="216" t="s">
        <v>917</v>
      </c>
    </row>
    <row r="677" spans="2:7">
      <c r="B677" s="170" t="s">
        <v>897</v>
      </c>
      <c r="C677" s="171" t="s">
        <v>319</v>
      </c>
      <c r="D677" s="171" t="s">
        <v>320</v>
      </c>
      <c r="E677" s="171" t="s">
        <v>898</v>
      </c>
      <c r="F677" s="172" t="s">
        <v>899</v>
      </c>
      <c r="G677" s="139"/>
    </row>
    <row r="678" spans="2:7" ht="15" thickBot="1">
      <c r="B678" s="218" t="s">
        <v>905</v>
      </c>
      <c r="C678" s="202" t="s">
        <v>906</v>
      </c>
      <c r="D678" s="203">
        <v>0.05</v>
      </c>
      <c r="E678" s="204">
        <f>+G675</f>
        <v>28855</v>
      </c>
      <c r="F678" s="206">
        <f>+ROUND((D678*E678),0)</f>
        <v>1443</v>
      </c>
      <c r="G678" s="142"/>
    </row>
    <row r="679" spans="2:7" ht="15" thickBot="1">
      <c r="B679" s="212"/>
      <c r="C679" s="184">
        <f>+G679/$G$686</f>
        <v>3.0564263322884012E-2</v>
      </c>
      <c r="D679" s="190"/>
      <c r="F679" s="212" t="s">
        <v>900</v>
      </c>
      <c r="G679" s="149">
        <f>+SUM(F678)</f>
        <v>1443</v>
      </c>
    </row>
    <row r="680" spans="2:7" ht="15" thickBot="1">
      <c r="B680" s="216" t="s">
        <v>1203</v>
      </c>
    </row>
    <row r="681" spans="2:7">
      <c r="B681" s="170" t="s">
        <v>897</v>
      </c>
      <c r="C681" s="171" t="s">
        <v>319</v>
      </c>
      <c r="D681" s="171" t="s">
        <v>320</v>
      </c>
      <c r="E681" s="171" t="s">
        <v>898</v>
      </c>
      <c r="F681" s="172" t="s">
        <v>899</v>
      </c>
      <c r="G681" s="139"/>
    </row>
    <row r="682" spans="2:7" ht="29">
      <c r="B682" s="217" t="s">
        <v>1193</v>
      </c>
      <c r="C682" s="208" t="s">
        <v>198</v>
      </c>
      <c r="D682" s="209">
        <v>0.5</v>
      </c>
      <c r="E682" s="210">
        <f>+EQUIPOS!C35</f>
        <v>5500</v>
      </c>
      <c r="F682" s="211">
        <f>+ROUND((D682*E682),0)</f>
        <v>2750</v>
      </c>
      <c r="G682" s="147"/>
    </row>
    <row r="683" spans="2:7" ht="29.5" thickBot="1">
      <c r="B683" s="218" t="s">
        <v>1194</v>
      </c>
      <c r="C683" s="202" t="s">
        <v>198</v>
      </c>
      <c r="D683" s="203">
        <v>0.25</v>
      </c>
      <c r="E683" s="204">
        <f>+EQUIPOS!C36</f>
        <v>600</v>
      </c>
      <c r="F683" s="206">
        <f>+ROUND((D683*E683),0)</f>
        <v>150</v>
      </c>
      <c r="G683" s="142"/>
    </row>
    <row r="684" spans="2:7" ht="15" thickBot="1">
      <c r="B684" s="212"/>
      <c r="C684" s="184">
        <f>+G684/$G$686</f>
        <v>6.1425061425061427E-2</v>
      </c>
      <c r="D684" s="190"/>
      <c r="F684" s="212" t="s">
        <v>900</v>
      </c>
      <c r="G684" s="149">
        <f>+SUM(F682:F683)</f>
        <v>2900</v>
      </c>
    </row>
    <row r="685" spans="2:7" ht="15" thickBot="1">
      <c r="B685" s="212"/>
      <c r="C685" s="259"/>
      <c r="D685" s="190"/>
      <c r="E685" s="212"/>
      <c r="F685" s="194"/>
    </row>
    <row r="686" spans="2:7" ht="15" thickBot="1">
      <c r="C686" s="65"/>
      <c r="D686" s="65"/>
      <c r="E686" s="67" t="s">
        <v>908</v>
      </c>
      <c r="F686" s="65"/>
      <c r="G686" s="160">
        <f>+SUM(G669:G684)</f>
        <v>47212</v>
      </c>
    </row>
    <row r="687" spans="2:7" ht="15" thickBot="1">
      <c r="B687" s="155"/>
      <c r="C687" s="155"/>
    </row>
    <row r="688" spans="2:7" ht="18.5" customHeight="1">
      <c r="B688" s="1721"/>
      <c r="C688" s="1770" t="s">
        <v>1175</v>
      </c>
      <c r="D688" s="1770"/>
      <c r="E688" s="1770"/>
      <c r="F688" s="1770"/>
      <c r="G688" s="1771"/>
    </row>
    <row r="689" spans="2:7" ht="18.5" customHeight="1">
      <c r="B689" s="1722"/>
      <c r="C689" s="1772"/>
      <c r="D689" s="1772"/>
      <c r="E689" s="1772"/>
      <c r="F689" s="1772"/>
      <c r="G689" s="1773"/>
    </row>
    <row r="690" spans="2:7" ht="18.5" customHeight="1">
      <c r="B690" s="1722"/>
      <c r="C690" s="1772"/>
      <c r="D690" s="1772"/>
      <c r="E690" s="1772"/>
      <c r="F690" s="1772"/>
      <c r="G690" s="1773"/>
    </row>
    <row r="691" spans="2:7" ht="18.5" customHeight="1">
      <c r="B691" s="1722"/>
      <c r="C691" s="1772"/>
      <c r="D691" s="1772"/>
      <c r="E691" s="1772"/>
      <c r="F691" s="1772"/>
      <c r="G691" s="1773"/>
    </row>
    <row r="692" spans="2:7" ht="18.5" customHeight="1" thickBot="1">
      <c r="B692" s="1723"/>
      <c r="C692" s="1774"/>
      <c r="D692" s="1774"/>
      <c r="E692" s="1774"/>
      <c r="F692" s="1774"/>
      <c r="G692" s="1775"/>
    </row>
    <row r="693" spans="2:7">
      <c r="B693" s="1724" t="s">
        <v>890</v>
      </c>
      <c r="C693" s="1726"/>
      <c r="D693" s="1726"/>
      <c r="E693" s="1733" t="s">
        <v>891</v>
      </c>
      <c r="F693" s="1735"/>
      <c r="G693" s="1736"/>
    </row>
    <row r="694" spans="2:7">
      <c r="B694" s="1727"/>
      <c r="C694" s="1729"/>
      <c r="D694" s="1729"/>
      <c r="E694" s="1734"/>
      <c r="F694" s="1737"/>
      <c r="G694" s="1738"/>
    </row>
    <row r="695" spans="2:7">
      <c r="B695" s="1727"/>
      <c r="C695" s="1729"/>
      <c r="D695" s="1729"/>
      <c r="E695" s="332" t="s">
        <v>892</v>
      </c>
      <c r="F695" s="1739"/>
      <c r="G695" s="1740"/>
    </row>
    <row r="696" spans="2:7">
      <c r="B696" s="1727"/>
      <c r="C696" s="1729"/>
      <c r="D696" s="1729"/>
      <c r="E696" s="332" t="s">
        <v>893</v>
      </c>
      <c r="F696" s="1739"/>
      <c r="G696" s="1740"/>
    </row>
    <row r="697" spans="2:7">
      <c r="B697" s="1727"/>
      <c r="C697" s="1729"/>
      <c r="D697" s="1729"/>
      <c r="E697" s="1734" t="s">
        <v>894</v>
      </c>
      <c r="F697" s="1742"/>
      <c r="G697" s="1743"/>
    </row>
    <row r="698" spans="2:7" ht="15" thickBot="1">
      <c r="B698" s="1730"/>
      <c r="C698" s="1732"/>
      <c r="D698" s="1732"/>
      <c r="E698" s="1741"/>
      <c r="F698" s="1744"/>
      <c r="G698" s="1745"/>
    </row>
    <row r="699" spans="2:7">
      <c r="B699" s="1755" t="str">
        <f>+PRESUPUESTO!$A$2</f>
        <v>OBJETO: MEJORAMIENTO Y ADECUACIÓN DE LAS VIAS URBANAS DEL MUNICIPIO DE SANTA FE DE ANTIOQUIA</v>
      </c>
      <c r="C699" s="1757"/>
      <c r="D699" s="1757"/>
      <c r="E699" s="1757"/>
      <c r="F699" s="1757"/>
      <c r="G699" s="1758"/>
    </row>
    <row r="700" spans="2:7" ht="15" thickBot="1">
      <c r="B700" s="1759"/>
      <c r="C700" s="1761"/>
      <c r="D700" s="1761"/>
      <c r="E700" s="1761"/>
      <c r="F700" s="1761"/>
      <c r="G700" s="1762"/>
    </row>
    <row r="701" spans="2:7" ht="15" thickBot="1">
      <c r="B701" s="167" t="s">
        <v>1</v>
      </c>
      <c r="C701" s="2059"/>
      <c r="D701" s="1763"/>
      <c r="E701" s="1763"/>
      <c r="F701" s="2060"/>
      <c r="G701" s="168" t="s">
        <v>193</v>
      </c>
    </row>
    <row r="702" spans="2:7" ht="53" customHeight="1" thickBot="1">
      <c r="B702" s="145" t="str">
        <f>+P!A30</f>
        <v>6.5</v>
      </c>
      <c r="C702" s="2061" t="str">
        <f>+P!B30</f>
        <v>Colocación de MORTERO DE NIVELACION con mortero 1:4 EN PISOS, espesor hasta 8 cm. Incluye suministro y transporte de los materiales, fajas, ranuras, filetes y todos los demás elementos necesarios para su correcta construcción.</v>
      </c>
      <c r="D702" s="1765"/>
      <c r="E702" s="1765"/>
      <c r="F702" s="2062"/>
      <c r="G702" s="169" t="str">
        <f>+P!C30</f>
        <v>m2</v>
      </c>
    </row>
    <row r="703" spans="2:7" ht="15" thickBot="1">
      <c r="B703" s="216" t="s">
        <v>896</v>
      </c>
    </row>
    <row r="704" spans="2:7">
      <c r="B704" s="170" t="s">
        <v>897</v>
      </c>
      <c r="C704" s="171" t="s">
        <v>319</v>
      </c>
      <c r="D704" s="171" t="s">
        <v>320</v>
      </c>
      <c r="E704" s="171" t="s">
        <v>898</v>
      </c>
      <c r="F704" s="172" t="s">
        <v>899</v>
      </c>
      <c r="G704" s="139"/>
    </row>
    <row r="705" spans="2:11" ht="15" thickBot="1">
      <c r="B705" s="218" t="s">
        <v>1211</v>
      </c>
      <c r="C705" s="202" t="s">
        <v>14</v>
      </c>
      <c r="D705" s="203">
        <f>1*1*0.08*1.1</f>
        <v>8.8000000000000009E-2</v>
      </c>
      <c r="E705" s="204">
        <f>+'CONCRETOS Y MORTERO'!G26</f>
        <v>538996.55000000005</v>
      </c>
      <c r="F705" s="206">
        <f>+ROUND((D705*E705),0)</f>
        <v>47432</v>
      </c>
      <c r="G705" s="142"/>
    </row>
    <row r="706" spans="2:11" ht="15" thickBot="1">
      <c r="B706" s="212"/>
      <c r="C706" s="184">
        <f>+G706/$G$720</f>
        <v>0.69445542524999637</v>
      </c>
      <c r="D706" s="190"/>
      <c r="F706" s="212" t="s">
        <v>900</v>
      </c>
      <c r="G706" s="149">
        <f>+SUM(F705)</f>
        <v>47432</v>
      </c>
    </row>
    <row r="707" spans="2:11" ht="15" thickBot="1">
      <c r="B707" s="216" t="s">
        <v>901</v>
      </c>
    </row>
    <row r="708" spans="2:11">
      <c r="B708" s="170" t="s">
        <v>897</v>
      </c>
      <c r="C708" s="171" t="s">
        <v>319</v>
      </c>
      <c r="D708" s="171" t="s">
        <v>320</v>
      </c>
      <c r="E708" s="171" t="s">
        <v>898</v>
      </c>
      <c r="F708" s="172" t="s">
        <v>899</v>
      </c>
      <c r="G708" s="139"/>
    </row>
    <row r="709" spans="2:11" ht="15" thickBot="1">
      <c r="B709" s="218" t="s">
        <v>1207</v>
      </c>
      <c r="C709" s="202" t="s">
        <v>916</v>
      </c>
      <c r="D709" s="203">
        <v>6.1749846379625099E-2</v>
      </c>
      <c r="E709" s="204">
        <f>+'FP OPERATIVO'!F35</f>
        <v>295642.2840888889</v>
      </c>
      <c r="F709" s="206">
        <f>+ROUND((D709*E709),0)</f>
        <v>18256</v>
      </c>
      <c r="G709" s="142"/>
    </row>
    <row r="710" spans="2:11" ht="15" thickBot="1">
      <c r="B710" s="212"/>
      <c r="C710" s="184">
        <f>+G710/$G$720</f>
        <v>0.26728744820720046</v>
      </c>
      <c r="D710" s="190"/>
      <c r="F710" s="212" t="s">
        <v>900</v>
      </c>
      <c r="G710" s="149">
        <f>+SUM(F709)</f>
        <v>18256</v>
      </c>
    </row>
    <row r="711" spans="2:11" ht="15" thickBot="1">
      <c r="B711" s="216" t="s">
        <v>917</v>
      </c>
      <c r="J711" s="63"/>
    </row>
    <row r="712" spans="2:11">
      <c r="B712" s="170" t="s">
        <v>897</v>
      </c>
      <c r="C712" s="171" t="s">
        <v>319</v>
      </c>
      <c r="D712" s="171" t="s">
        <v>320</v>
      </c>
      <c r="E712" s="171" t="s">
        <v>898</v>
      </c>
      <c r="F712" s="172" t="s">
        <v>899</v>
      </c>
      <c r="G712" s="139"/>
    </row>
    <row r="713" spans="2:11" ht="15" thickBot="1">
      <c r="B713" s="218" t="s">
        <v>905</v>
      </c>
      <c r="C713" s="202" t="s">
        <v>906</v>
      </c>
      <c r="D713" s="203">
        <v>0.05</v>
      </c>
      <c r="E713" s="204">
        <f>+G710</f>
        <v>18256</v>
      </c>
      <c r="F713" s="206">
        <f>+ROUND((D713*E713),0)</f>
        <v>913</v>
      </c>
      <c r="G713" s="142"/>
    </row>
    <row r="714" spans="2:11" ht="15" thickBot="1">
      <c r="B714" s="212"/>
      <c r="C714" s="184">
        <f>+G714/$G$720</f>
        <v>1.3367300625173863E-2</v>
      </c>
      <c r="D714" s="190"/>
      <c r="F714" s="212" t="s">
        <v>900</v>
      </c>
      <c r="G714" s="149">
        <f>+SUM(F713)</f>
        <v>913</v>
      </c>
    </row>
    <row r="715" spans="2:11" ht="15" thickBot="1">
      <c r="B715" s="216" t="s">
        <v>1182</v>
      </c>
    </row>
    <row r="716" spans="2:11">
      <c r="B716" s="170" t="s">
        <v>897</v>
      </c>
      <c r="C716" s="171" t="s">
        <v>319</v>
      </c>
      <c r="D716" s="171" t="s">
        <v>320</v>
      </c>
      <c r="E716" s="171" t="s">
        <v>898</v>
      </c>
      <c r="F716" s="187" t="s">
        <v>899</v>
      </c>
      <c r="G716" s="139"/>
    </row>
    <row r="717" spans="2:11" ht="15" thickBot="1">
      <c r="B717" s="218" t="s">
        <v>1212</v>
      </c>
      <c r="C717" s="202" t="s">
        <v>198</v>
      </c>
      <c r="D717" s="203">
        <v>0.2</v>
      </c>
      <c r="E717" s="204">
        <v>8500</v>
      </c>
      <c r="F717" s="205">
        <f>+ROUND((D717*E717),0)</f>
        <v>1700</v>
      </c>
      <c r="G717" s="147"/>
    </row>
    <row r="718" spans="2:11" ht="15" thickBot="1">
      <c r="B718" s="212"/>
      <c r="C718" s="184">
        <f>+G718/$G$720</f>
        <v>2.4889825917629317E-2</v>
      </c>
      <c r="D718" s="190"/>
      <c r="F718" s="212" t="s">
        <v>900</v>
      </c>
      <c r="G718" s="148">
        <f>+SUM(F717:F717)</f>
        <v>1700</v>
      </c>
    </row>
    <row r="719" spans="2:11" ht="15" thickBot="1">
      <c r="B719" s="212"/>
      <c r="C719" s="259"/>
      <c r="D719" s="190"/>
      <c r="E719" s="212"/>
      <c r="F719" s="194"/>
    </row>
    <row r="720" spans="2:11" ht="15" thickBot="1">
      <c r="C720" s="65"/>
      <c r="D720" s="65"/>
      <c r="E720" s="67" t="s">
        <v>908</v>
      </c>
      <c r="F720" s="65"/>
      <c r="G720" s="160">
        <f>+SUM(G704:G718)</f>
        <v>68301</v>
      </c>
      <c r="I720" s="5"/>
      <c r="J720" s="5"/>
      <c r="K720" s="5"/>
    </row>
    <row r="721" spans="2:12" ht="15" thickBot="1">
      <c r="K721" s="302"/>
      <c r="L721" s="302"/>
    </row>
    <row r="722" spans="2:12" ht="19.25" customHeight="1">
      <c r="B722" s="1721"/>
      <c r="C722" s="1770" t="s">
        <v>1175</v>
      </c>
      <c r="D722" s="1770"/>
      <c r="E722" s="1770"/>
      <c r="F722" s="1770"/>
      <c r="G722" s="1771"/>
    </row>
    <row r="723" spans="2:12" ht="19.25" customHeight="1">
      <c r="B723" s="1722"/>
      <c r="C723" s="1772"/>
      <c r="D723" s="1772"/>
      <c r="E723" s="1772"/>
      <c r="F723" s="1772"/>
      <c r="G723" s="1773"/>
    </row>
    <row r="724" spans="2:12" ht="19.25" customHeight="1">
      <c r="B724" s="1722"/>
      <c r="C724" s="1772"/>
      <c r="D724" s="1772"/>
      <c r="E724" s="1772"/>
      <c r="F724" s="1772"/>
      <c r="G724" s="1773"/>
    </row>
    <row r="725" spans="2:12" ht="19.25" customHeight="1">
      <c r="B725" s="1722"/>
      <c r="C725" s="1772"/>
      <c r="D725" s="1772"/>
      <c r="E725" s="1772"/>
      <c r="F725" s="1772"/>
      <c r="G725" s="1773"/>
    </row>
    <row r="726" spans="2:12" ht="19.25" customHeight="1" thickBot="1">
      <c r="B726" s="1723"/>
      <c r="C726" s="1774"/>
      <c r="D726" s="1774"/>
      <c r="E726" s="1774"/>
      <c r="F726" s="1774"/>
      <c r="G726" s="1775"/>
    </row>
    <row r="727" spans="2:12">
      <c r="B727" s="1724" t="s">
        <v>890</v>
      </c>
      <c r="C727" s="1726"/>
      <c r="D727" s="1726"/>
      <c r="E727" s="1733" t="s">
        <v>891</v>
      </c>
      <c r="F727" s="1735"/>
      <c r="G727" s="1736"/>
    </row>
    <row r="728" spans="2:12">
      <c r="B728" s="1727"/>
      <c r="C728" s="1729"/>
      <c r="D728" s="1729"/>
      <c r="E728" s="1734"/>
      <c r="F728" s="1737"/>
      <c r="G728" s="1738"/>
    </row>
    <row r="729" spans="2:12">
      <c r="B729" s="1727"/>
      <c r="C729" s="1729"/>
      <c r="D729" s="1729"/>
      <c r="E729" s="332" t="s">
        <v>892</v>
      </c>
      <c r="F729" s="1739"/>
      <c r="G729" s="1740"/>
    </row>
    <row r="730" spans="2:12">
      <c r="B730" s="1727"/>
      <c r="C730" s="1729"/>
      <c r="D730" s="1729"/>
      <c r="E730" s="332" t="s">
        <v>893</v>
      </c>
      <c r="F730" s="1739"/>
      <c r="G730" s="1740"/>
    </row>
    <row r="731" spans="2:12">
      <c r="B731" s="1727"/>
      <c r="C731" s="1729"/>
      <c r="D731" s="1729"/>
      <c r="E731" s="1734" t="s">
        <v>894</v>
      </c>
      <c r="F731" s="1742"/>
      <c r="G731" s="1743"/>
    </row>
    <row r="732" spans="2:12" ht="15" thickBot="1">
      <c r="B732" s="1730"/>
      <c r="C732" s="1732"/>
      <c r="D732" s="1732"/>
      <c r="E732" s="1741"/>
      <c r="F732" s="1744"/>
      <c r="G732" s="1745"/>
    </row>
    <row r="733" spans="2:12">
      <c r="B733" s="1755" t="str">
        <f>+PRESUPUESTO!$A$2</f>
        <v>OBJETO: MEJORAMIENTO Y ADECUACIÓN DE LAS VIAS URBANAS DEL MUNICIPIO DE SANTA FE DE ANTIOQUIA</v>
      </c>
      <c r="C733" s="1757"/>
      <c r="D733" s="1757"/>
      <c r="E733" s="1757"/>
      <c r="F733" s="1757"/>
      <c r="G733" s="1758"/>
    </row>
    <row r="734" spans="2:12" ht="15" thickBot="1">
      <c r="B734" s="1759"/>
      <c r="C734" s="1761"/>
      <c r="D734" s="1761"/>
      <c r="E734" s="1761"/>
      <c r="F734" s="1761"/>
      <c r="G734" s="1762"/>
    </row>
    <row r="735" spans="2:12" ht="15" thickBot="1">
      <c r="B735" s="167" t="s">
        <v>1</v>
      </c>
      <c r="C735" s="2059"/>
      <c r="D735" s="1763"/>
      <c r="E735" s="1763"/>
      <c r="F735" s="2060"/>
      <c r="G735" s="168" t="s">
        <v>193</v>
      </c>
    </row>
    <row r="736" spans="2:12" ht="71" customHeight="1" thickBot="1">
      <c r="B736" s="145" t="str">
        <f>+P!A31</f>
        <v>6.6</v>
      </c>
      <c r="C736" s="2061" t="str">
        <f>+P!B31</f>
        <v>Construcción de DINTELES EN CONCRETO DE 21 Mpa DE 0.10 X 0.20 m. Incluye suministro, transporte y colocación del concreto, formaleta completa, vibrado, curado, este elemento va revocado o enchapado en el mismo material de la mampostería, el acabado se pagará en el ítem respectivo y todos los elementos necesarios para su correcta ejecución. No incluye refuerzo.</v>
      </c>
      <c r="D736" s="1765"/>
      <c r="E736" s="1765"/>
      <c r="F736" s="2062"/>
      <c r="G736" s="169" t="str">
        <f>+P!C31</f>
        <v>m</v>
      </c>
    </row>
    <row r="737" spans="2:7" ht="15" thickBot="1">
      <c r="B737" s="216" t="s">
        <v>896</v>
      </c>
    </row>
    <row r="738" spans="2:7">
      <c r="B738" s="170" t="s">
        <v>897</v>
      </c>
      <c r="C738" s="171" t="s">
        <v>319</v>
      </c>
      <c r="D738" s="171" t="s">
        <v>320</v>
      </c>
      <c r="E738" s="171" t="s">
        <v>898</v>
      </c>
      <c r="F738" s="172" t="s">
        <v>899</v>
      </c>
      <c r="G738" s="139"/>
    </row>
    <row r="739" spans="2:7">
      <c r="B739" s="217" t="s">
        <v>1199</v>
      </c>
      <c r="C739" s="208" t="s">
        <v>14</v>
      </c>
      <c r="D739" s="209">
        <v>2.1000000000000001E-2</v>
      </c>
      <c r="E739" s="210">
        <f>+'CONCRETOS Y MORTERO'!G75</f>
        <v>591127</v>
      </c>
      <c r="F739" s="211">
        <f>+ROUND((D739*E739),0)</f>
        <v>12414</v>
      </c>
      <c r="G739" s="147"/>
    </row>
    <row r="740" spans="2:7" ht="29.5" thickBot="1">
      <c r="B740" s="218" t="s">
        <v>1213</v>
      </c>
      <c r="C740" s="202" t="s">
        <v>23</v>
      </c>
      <c r="D740" s="203">
        <v>0.66</v>
      </c>
      <c r="E740" s="204">
        <f>+MATERIALES!D36</f>
        <v>11000</v>
      </c>
      <c r="F740" s="206">
        <f>+ROUND((D740*E740),0)</f>
        <v>7260</v>
      </c>
      <c r="G740" s="142"/>
    </row>
    <row r="741" spans="2:7" ht="15" thickBot="1">
      <c r="B741" s="212"/>
      <c r="C741" s="184">
        <f>+G741/$G$757</f>
        <v>0.21939958961548756</v>
      </c>
      <c r="D741" s="190"/>
      <c r="F741" s="212" t="s">
        <v>900</v>
      </c>
      <c r="G741" s="149">
        <f>+SUM(F739:F740)</f>
        <v>19674</v>
      </c>
    </row>
    <row r="742" spans="2:7" ht="15" thickBot="1">
      <c r="B742" s="216" t="s">
        <v>901</v>
      </c>
    </row>
    <row r="743" spans="2:7">
      <c r="B743" s="170" t="s">
        <v>897</v>
      </c>
      <c r="C743" s="171" t="s">
        <v>319</v>
      </c>
      <c r="D743" s="171" t="s">
        <v>320</v>
      </c>
      <c r="E743" s="171" t="s">
        <v>898</v>
      </c>
      <c r="F743" s="172" t="s">
        <v>899</v>
      </c>
      <c r="G743" s="139"/>
    </row>
    <row r="744" spans="2:7" ht="15" thickBot="1">
      <c r="B744" s="218" t="s">
        <v>1207</v>
      </c>
      <c r="C744" s="202" t="s">
        <v>916</v>
      </c>
      <c r="D744" s="203">
        <v>0.2175969538192308</v>
      </c>
      <c r="E744" s="204">
        <f>+'FP OPERATIVO'!F35</f>
        <v>295642.2840888889</v>
      </c>
      <c r="F744" s="206">
        <f>+ROUND((D744*E744),0)</f>
        <v>64331</v>
      </c>
      <c r="G744" s="142"/>
    </row>
    <row r="745" spans="2:7" ht="15" thickBot="1">
      <c r="B745" s="212"/>
      <c r="C745" s="184">
        <f>+G745/$G$757</f>
        <v>0.71740342581853866</v>
      </c>
      <c r="D745" s="190"/>
      <c r="F745" s="212" t="s">
        <v>900</v>
      </c>
      <c r="G745" s="149">
        <f>+SUM(F744)</f>
        <v>64331</v>
      </c>
    </row>
    <row r="746" spans="2:7" ht="15" thickBot="1">
      <c r="B746" s="216" t="s">
        <v>917</v>
      </c>
    </row>
    <row r="747" spans="2:7">
      <c r="B747" s="170" t="s">
        <v>897</v>
      </c>
      <c r="C747" s="171" t="s">
        <v>319</v>
      </c>
      <c r="D747" s="171" t="s">
        <v>320</v>
      </c>
      <c r="E747" s="171" t="s">
        <v>898</v>
      </c>
      <c r="F747" s="172" t="s">
        <v>899</v>
      </c>
      <c r="G747" s="139"/>
    </row>
    <row r="748" spans="2:7" ht="15" thickBot="1">
      <c r="B748" s="218" t="s">
        <v>905</v>
      </c>
      <c r="C748" s="202" t="s">
        <v>906</v>
      </c>
      <c r="D748" s="203">
        <v>0.05</v>
      </c>
      <c r="E748" s="204">
        <f>+G745</f>
        <v>64331</v>
      </c>
      <c r="F748" s="206">
        <f>+ROUND((D748*E748),0)</f>
        <v>3217</v>
      </c>
      <c r="G748" s="142"/>
    </row>
    <row r="749" spans="2:7" ht="15" thickBot="1">
      <c r="B749" s="212"/>
      <c r="C749" s="184">
        <f>+G749/$G$757</f>
        <v>3.5875189579801944E-2</v>
      </c>
      <c r="D749" s="190"/>
      <c r="F749" s="212" t="s">
        <v>900</v>
      </c>
      <c r="G749" s="149">
        <f>+SUM(F748)</f>
        <v>3217</v>
      </c>
    </row>
    <row r="750" spans="2:7" ht="15" thickBot="1">
      <c r="B750" s="216" t="s">
        <v>1203</v>
      </c>
    </row>
    <row r="751" spans="2:7">
      <c r="B751" s="170" t="s">
        <v>897</v>
      </c>
      <c r="C751" s="171" t="s">
        <v>319</v>
      </c>
      <c r="D751" s="171" t="s">
        <v>320</v>
      </c>
      <c r="E751" s="171" t="s">
        <v>898</v>
      </c>
      <c r="F751" s="172" t="s">
        <v>899</v>
      </c>
      <c r="G751" s="139"/>
    </row>
    <row r="752" spans="2:7" ht="29">
      <c r="B752" s="217" t="s">
        <v>1214</v>
      </c>
      <c r="C752" s="208" t="s">
        <v>198</v>
      </c>
      <c r="D752" s="209">
        <v>0.1</v>
      </c>
      <c r="E752" s="210">
        <f>+EQUIPOS!C35</f>
        <v>5500</v>
      </c>
      <c r="F752" s="211">
        <f>+ROUND((D752*E752),0)</f>
        <v>550</v>
      </c>
      <c r="G752" s="147"/>
    </row>
    <row r="753" spans="2:7">
      <c r="B753" s="217" t="s">
        <v>1215</v>
      </c>
      <c r="C753" s="208" t="s">
        <v>198</v>
      </c>
      <c r="D753" s="209">
        <v>2</v>
      </c>
      <c r="E753" s="210">
        <f>+EQUIPOS!C46</f>
        <v>890</v>
      </c>
      <c r="F753" s="211">
        <f>+ROUND((D753*E753),0)</f>
        <v>1780</v>
      </c>
      <c r="G753" s="147"/>
    </row>
    <row r="754" spans="2:7" ht="29.5" thickBot="1">
      <c r="B754" s="218" t="s">
        <v>1194</v>
      </c>
      <c r="C754" s="202" t="s">
        <v>198</v>
      </c>
      <c r="D754" s="203">
        <v>0.2</v>
      </c>
      <c r="E754" s="204">
        <f>+EQUIPOS!C36</f>
        <v>600</v>
      </c>
      <c r="F754" s="206">
        <f>+ROUND((D754*E754),0)</f>
        <v>120</v>
      </c>
      <c r="G754" s="142"/>
    </row>
    <row r="755" spans="2:7" ht="15" thickBot="1">
      <c r="B755" s="212"/>
      <c r="C755" s="184">
        <f>+G755/$G$757</f>
        <v>2.7321794986171825E-2</v>
      </c>
      <c r="D755" s="190"/>
      <c r="F755" s="212" t="s">
        <v>900</v>
      </c>
      <c r="G755" s="149">
        <f>+SUM(F752:F754)</f>
        <v>2450</v>
      </c>
    </row>
    <row r="756" spans="2:7" ht="15" thickBot="1">
      <c r="B756" s="155"/>
      <c r="C756" s="155"/>
    </row>
    <row r="757" spans="2:7" ht="15" thickBot="1">
      <c r="C757" s="65"/>
      <c r="D757" s="65"/>
      <c r="E757" s="67" t="s">
        <v>908</v>
      </c>
      <c r="F757" s="65"/>
      <c r="G757" s="160">
        <f>+SUM(G738:G755)</f>
        <v>89672</v>
      </c>
    </row>
    <row r="758" spans="2:7" ht="15" thickBot="1"/>
    <row r="759" spans="2:7" ht="18.5" customHeight="1">
      <c r="B759" s="1721"/>
      <c r="C759" s="1770" t="s">
        <v>1175</v>
      </c>
      <c r="D759" s="1770"/>
      <c r="E759" s="1770"/>
      <c r="F759" s="1770"/>
      <c r="G759" s="1771"/>
    </row>
    <row r="760" spans="2:7" ht="18.5" customHeight="1">
      <c r="B760" s="1722"/>
      <c r="C760" s="1772"/>
      <c r="D760" s="1772"/>
      <c r="E760" s="1772"/>
      <c r="F760" s="1772"/>
      <c r="G760" s="1773"/>
    </row>
    <row r="761" spans="2:7" ht="18.5" customHeight="1">
      <c r="B761" s="1722"/>
      <c r="C761" s="1772"/>
      <c r="D761" s="1772"/>
      <c r="E761" s="1772"/>
      <c r="F761" s="1772"/>
      <c r="G761" s="1773"/>
    </row>
    <row r="762" spans="2:7" ht="18.5" customHeight="1">
      <c r="B762" s="1722"/>
      <c r="C762" s="1772"/>
      <c r="D762" s="1772"/>
      <c r="E762" s="1772"/>
      <c r="F762" s="1772"/>
      <c r="G762" s="1773"/>
    </row>
    <row r="763" spans="2:7" ht="18.5" customHeight="1" thickBot="1">
      <c r="B763" s="1723"/>
      <c r="C763" s="1774"/>
      <c r="D763" s="1774"/>
      <c r="E763" s="1774"/>
      <c r="F763" s="1774"/>
      <c r="G763" s="1775"/>
    </row>
    <row r="764" spans="2:7">
      <c r="B764" s="1724" t="s">
        <v>890</v>
      </c>
      <c r="C764" s="1726"/>
      <c r="D764" s="1726"/>
      <c r="E764" s="1733" t="s">
        <v>891</v>
      </c>
      <c r="F764" s="1735"/>
      <c r="G764" s="1736"/>
    </row>
    <row r="765" spans="2:7">
      <c r="B765" s="1727"/>
      <c r="C765" s="1729"/>
      <c r="D765" s="1729"/>
      <c r="E765" s="1734"/>
      <c r="F765" s="1737"/>
      <c r="G765" s="1738"/>
    </row>
    <row r="766" spans="2:7">
      <c r="B766" s="1727"/>
      <c r="C766" s="1729"/>
      <c r="D766" s="1729"/>
      <c r="E766" s="332" t="s">
        <v>892</v>
      </c>
      <c r="F766" s="1739"/>
      <c r="G766" s="1740"/>
    </row>
    <row r="767" spans="2:7">
      <c r="B767" s="1727"/>
      <c r="C767" s="1729"/>
      <c r="D767" s="1729"/>
      <c r="E767" s="332" t="s">
        <v>893</v>
      </c>
      <c r="F767" s="1739"/>
      <c r="G767" s="1740"/>
    </row>
    <row r="768" spans="2:7">
      <c r="B768" s="1727"/>
      <c r="C768" s="1729"/>
      <c r="D768" s="1729"/>
      <c r="E768" s="1734" t="s">
        <v>894</v>
      </c>
      <c r="F768" s="1742"/>
      <c r="G768" s="1743"/>
    </row>
    <row r="769" spans="2:7" ht="15" thickBot="1">
      <c r="B769" s="1730"/>
      <c r="C769" s="1732"/>
      <c r="D769" s="1732"/>
      <c r="E769" s="1741"/>
      <c r="F769" s="1744"/>
      <c r="G769" s="1745"/>
    </row>
    <row r="770" spans="2:7">
      <c r="B770" s="1755" t="str">
        <f>+PRESUPUESTO!$A$2</f>
        <v>OBJETO: MEJORAMIENTO Y ADECUACIÓN DE LAS VIAS URBANAS DEL MUNICIPIO DE SANTA FE DE ANTIOQUIA</v>
      </c>
      <c r="C770" s="1757"/>
      <c r="D770" s="1757"/>
      <c r="E770" s="1757"/>
      <c r="F770" s="1757"/>
      <c r="G770" s="1758"/>
    </row>
    <row r="771" spans="2:7" ht="15" thickBot="1">
      <c r="B771" s="1759"/>
      <c r="C771" s="1761"/>
      <c r="D771" s="1761"/>
      <c r="E771" s="1761"/>
      <c r="F771" s="1761"/>
      <c r="G771" s="1762"/>
    </row>
    <row r="772" spans="2:7" ht="15" thickBot="1">
      <c r="B772" s="167" t="s">
        <v>1</v>
      </c>
      <c r="C772" s="2059"/>
      <c r="D772" s="1763"/>
      <c r="E772" s="1763"/>
      <c r="F772" s="2060"/>
      <c r="G772" s="168" t="s">
        <v>193</v>
      </c>
    </row>
    <row r="773" spans="2:7" ht="69.5" customHeight="1" thickBot="1">
      <c r="B773" s="145" t="str">
        <f>+P!A32</f>
        <v>6.7</v>
      </c>
      <c r="C773" s="2061" t="str">
        <f>+P!B32</f>
        <v>Construcción de CUNETA EN "V" en concreto de 21 Mpa., DESARROLLO DE 0.50 m., ESPESOR DE 0.08 m. Incluye suministro, transporte y colocación del concreto, entresuelo 15 cm de piedra y 5 cm de arenilla y todos los demás elementos necesarios para su correcta construcción. Según diseño.</v>
      </c>
      <c r="D773" s="1765"/>
      <c r="E773" s="1765"/>
      <c r="F773" s="2062"/>
      <c r="G773" s="169" t="str">
        <f>+P!C32</f>
        <v>m</v>
      </c>
    </row>
    <row r="774" spans="2:7" ht="15" thickBot="1">
      <c r="B774" s="216" t="s">
        <v>896</v>
      </c>
    </row>
    <row r="775" spans="2:7">
      <c r="B775" s="170" t="s">
        <v>897</v>
      </c>
      <c r="C775" s="171" t="s">
        <v>319</v>
      </c>
      <c r="D775" s="171" t="s">
        <v>320</v>
      </c>
      <c r="E775" s="171" t="s">
        <v>898</v>
      </c>
      <c r="F775" s="172" t="s">
        <v>899</v>
      </c>
      <c r="G775" s="139"/>
    </row>
    <row r="776" spans="2:7">
      <c r="B776" s="217" t="s">
        <v>1199</v>
      </c>
      <c r="C776" s="208" t="s">
        <v>14</v>
      </c>
      <c r="D776" s="209">
        <v>4.2000000000000003E-2</v>
      </c>
      <c r="E776" s="210">
        <f>+'CONCRETOS Y MORTERO'!G75</f>
        <v>591127</v>
      </c>
      <c r="F776" s="211">
        <f>+ROUND((D776*E776),0)</f>
        <v>24827</v>
      </c>
      <c r="G776" s="147"/>
    </row>
    <row r="777" spans="2:7" ht="29">
      <c r="B777" s="217" t="s">
        <v>1206</v>
      </c>
      <c r="C777" s="208" t="s">
        <v>23</v>
      </c>
      <c r="D777" s="209">
        <v>0.18518999999999999</v>
      </c>
      <c r="E777" s="210">
        <f>+MATERIALES!D36</f>
        <v>11000</v>
      </c>
      <c r="F777" s="211">
        <f>+ROUND((D777*E777),0)</f>
        <v>2037</v>
      </c>
      <c r="G777" s="147"/>
    </row>
    <row r="778" spans="2:7" ht="29">
      <c r="B778" s="217" t="s">
        <v>982</v>
      </c>
      <c r="C778" s="208" t="s">
        <v>14</v>
      </c>
      <c r="D778" s="209">
        <v>7.8750000000000001E-2</v>
      </c>
      <c r="E778" s="210">
        <f>+MATERIALES!D43</f>
        <v>108000</v>
      </c>
      <c r="F778" s="211">
        <f>+ROUND((D778*E778),0)</f>
        <v>8505</v>
      </c>
      <c r="G778" s="147"/>
    </row>
    <row r="779" spans="2:7" ht="15" thickBot="1">
      <c r="B779" s="218" t="s">
        <v>1216</v>
      </c>
      <c r="C779" s="202" t="s">
        <v>14</v>
      </c>
      <c r="D779" s="203">
        <v>2.6249999999999999E-2</v>
      </c>
      <c r="E779" s="204">
        <f>+MATERIALES!D9</f>
        <v>85000</v>
      </c>
      <c r="F779" s="206">
        <f>+ROUND((D779*E779),0)</f>
        <v>2231</v>
      </c>
      <c r="G779" s="142"/>
    </row>
    <row r="780" spans="2:7" ht="15" thickBot="1">
      <c r="B780" s="212"/>
      <c r="C780" s="184">
        <f>+G780/$G$794</f>
        <v>0.54417042954729655</v>
      </c>
      <c r="D780" s="190"/>
      <c r="F780" s="212" t="s">
        <v>900</v>
      </c>
      <c r="G780" s="149">
        <f>+SUM(F776:F779)</f>
        <v>37600</v>
      </c>
    </row>
    <row r="781" spans="2:7" ht="15" thickBot="1">
      <c r="B781" s="216" t="s">
        <v>901</v>
      </c>
    </row>
    <row r="782" spans="2:7">
      <c r="B782" s="170" t="s">
        <v>897</v>
      </c>
      <c r="C782" s="171" t="s">
        <v>319</v>
      </c>
      <c r="D782" s="171" t="s">
        <v>320</v>
      </c>
      <c r="E782" s="171" t="s">
        <v>898</v>
      </c>
      <c r="F782" s="172" t="s">
        <v>899</v>
      </c>
      <c r="G782" s="139"/>
    </row>
    <row r="783" spans="2:7" ht="15" thickBot="1">
      <c r="B783" s="218" t="s">
        <v>1207</v>
      </c>
      <c r="C783" s="202" t="s">
        <v>916</v>
      </c>
      <c r="D783" s="203">
        <v>9.7589685817432312E-2</v>
      </c>
      <c r="E783" s="204">
        <f>+'FP OPERATIVO'!F35</f>
        <v>295642.2840888889</v>
      </c>
      <c r="F783" s="206">
        <f>+ROUND((D783*E783),0)</f>
        <v>28852</v>
      </c>
      <c r="G783" s="142"/>
    </row>
    <row r="784" spans="2:7" ht="15" thickBot="1">
      <c r="B784" s="212"/>
      <c r="C784" s="184">
        <f>+G784/$G$794</f>
        <v>0.41756396897070741</v>
      </c>
      <c r="D784" s="190"/>
      <c r="F784" s="212" t="s">
        <v>900</v>
      </c>
      <c r="G784" s="149">
        <f>+SUM(F783)</f>
        <v>28852</v>
      </c>
    </row>
    <row r="785" spans="2:7" ht="15" thickBot="1">
      <c r="B785" s="216" t="s">
        <v>917</v>
      </c>
    </row>
    <row r="786" spans="2:7">
      <c r="B786" s="170" t="s">
        <v>897</v>
      </c>
      <c r="C786" s="171" t="s">
        <v>319</v>
      </c>
      <c r="D786" s="171" t="s">
        <v>320</v>
      </c>
      <c r="E786" s="171" t="s">
        <v>898</v>
      </c>
      <c r="F786" s="187" t="s">
        <v>899</v>
      </c>
      <c r="G786" s="139"/>
    </row>
    <row r="787" spans="2:7" ht="15" thickBot="1">
      <c r="B787" s="218" t="s">
        <v>905</v>
      </c>
      <c r="C787" s="202" t="s">
        <v>906</v>
      </c>
      <c r="D787" s="203">
        <v>0.05</v>
      </c>
      <c r="E787" s="204">
        <f>+G784</f>
        <v>28852</v>
      </c>
      <c r="F787" s="205">
        <f>+ROUND((D787*E787),0)</f>
        <v>1443</v>
      </c>
      <c r="G787" s="142"/>
    </row>
    <row r="788" spans="2:7" ht="15" thickBot="1">
      <c r="B788" s="212"/>
      <c r="C788" s="184">
        <f>+G788/$G$794</f>
        <v>2.0883987495658216E-2</v>
      </c>
      <c r="D788" s="190"/>
      <c r="F788" s="212" t="s">
        <v>900</v>
      </c>
      <c r="G788" s="149">
        <f>+SUM(F787)</f>
        <v>1443</v>
      </c>
    </row>
    <row r="789" spans="2:7" ht="15" thickBot="1">
      <c r="B789" s="216" t="s">
        <v>1182</v>
      </c>
    </row>
    <row r="790" spans="2:7">
      <c r="B790" s="170" t="s">
        <v>897</v>
      </c>
      <c r="C790" s="171" t="s">
        <v>319</v>
      </c>
      <c r="D790" s="171" t="s">
        <v>320</v>
      </c>
      <c r="E790" s="171" t="s">
        <v>898</v>
      </c>
      <c r="F790" s="187" t="s">
        <v>899</v>
      </c>
      <c r="G790" s="139"/>
    </row>
    <row r="791" spans="2:7" ht="15" thickBot="1">
      <c r="B791" s="218" t="s">
        <v>1196</v>
      </c>
      <c r="C791" s="202" t="s">
        <v>14</v>
      </c>
      <c r="D791" s="203">
        <v>0.14699999999999999</v>
      </c>
      <c r="E791" s="204">
        <v>8168</v>
      </c>
      <c r="F791" s="205">
        <f>+ROUND((D791*E791),0)</f>
        <v>1201</v>
      </c>
      <c r="G791" s="142"/>
    </row>
    <row r="792" spans="2:7" ht="15" thickBot="1">
      <c r="B792" s="212"/>
      <c r="C792" s="184">
        <f>+G792/$G$794</f>
        <v>1.7381613986337849E-2</v>
      </c>
      <c r="D792" s="190"/>
      <c r="F792" s="212" t="s">
        <v>900</v>
      </c>
      <c r="G792" s="149">
        <f>+SUM(F791)</f>
        <v>1201</v>
      </c>
    </row>
    <row r="793" spans="2:7" ht="15" thickBot="1">
      <c r="B793" s="155"/>
      <c r="C793" s="155"/>
    </row>
    <row r="794" spans="2:7" ht="15" thickBot="1">
      <c r="C794" s="65"/>
      <c r="D794" s="65"/>
      <c r="E794" s="67" t="s">
        <v>908</v>
      </c>
      <c r="F794" s="65"/>
      <c r="G794" s="160">
        <f>+SUM(G775:G792)</f>
        <v>69096</v>
      </c>
    </row>
    <row r="795" spans="2:7" ht="15" thickBot="1"/>
    <row r="796" spans="2:7" ht="15" thickBot="1">
      <c r="B796" s="2063" t="s">
        <v>1217</v>
      </c>
      <c r="C796" s="2064"/>
      <c r="D796" s="2064"/>
      <c r="E796" s="2064"/>
      <c r="F796" s="2064"/>
      <c r="G796" s="2065"/>
    </row>
    <row r="797" spans="2:7" ht="20.5" customHeight="1">
      <c r="B797" s="1721"/>
      <c r="C797" s="1770" t="s">
        <v>1175</v>
      </c>
      <c r="D797" s="1770"/>
      <c r="E797" s="1770"/>
      <c r="F797" s="1770"/>
      <c r="G797" s="1771"/>
    </row>
    <row r="798" spans="2:7" ht="20.5" customHeight="1">
      <c r="B798" s="1722"/>
      <c r="C798" s="1772"/>
      <c r="D798" s="1772"/>
      <c r="E798" s="1772"/>
      <c r="F798" s="1772"/>
      <c r="G798" s="1773"/>
    </row>
    <row r="799" spans="2:7" ht="20.5" customHeight="1">
      <c r="B799" s="1722"/>
      <c r="C799" s="1772"/>
      <c r="D799" s="1772"/>
      <c r="E799" s="1772"/>
      <c r="F799" s="1772"/>
      <c r="G799" s="1773"/>
    </row>
    <row r="800" spans="2:7" ht="20.5" customHeight="1">
      <c r="B800" s="1722"/>
      <c r="C800" s="1772"/>
      <c r="D800" s="1772"/>
      <c r="E800" s="1772"/>
      <c r="F800" s="1772"/>
      <c r="G800" s="1773"/>
    </row>
    <row r="801" spans="2:7" ht="20.5" customHeight="1" thickBot="1">
      <c r="B801" s="1723"/>
      <c r="C801" s="1774"/>
      <c r="D801" s="1774"/>
      <c r="E801" s="1774"/>
      <c r="F801" s="1774"/>
      <c r="G801" s="1775"/>
    </row>
    <row r="802" spans="2:7">
      <c r="B802" s="1724" t="s">
        <v>890</v>
      </c>
      <c r="C802" s="1726"/>
      <c r="D802" s="1726"/>
      <c r="E802" s="1733" t="s">
        <v>891</v>
      </c>
      <c r="F802" s="1735"/>
      <c r="G802" s="1736"/>
    </row>
    <row r="803" spans="2:7">
      <c r="B803" s="1727"/>
      <c r="C803" s="1729"/>
      <c r="D803" s="1729"/>
      <c r="E803" s="1734"/>
      <c r="F803" s="1737"/>
      <c r="G803" s="1738"/>
    </row>
    <row r="804" spans="2:7">
      <c r="B804" s="1727"/>
      <c r="C804" s="1729"/>
      <c r="D804" s="1729"/>
      <c r="E804" s="332" t="s">
        <v>892</v>
      </c>
      <c r="F804" s="1739"/>
      <c r="G804" s="1740"/>
    </row>
    <row r="805" spans="2:7">
      <c r="B805" s="1727"/>
      <c r="C805" s="1729"/>
      <c r="D805" s="1729"/>
      <c r="E805" s="332" t="s">
        <v>893</v>
      </c>
      <c r="F805" s="1739"/>
      <c r="G805" s="1740"/>
    </row>
    <row r="806" spans="2:7">
      <c r="B806" s="1727"/>
      <c r="C806" s="1729"/>
      <c r="D806" s="1729"/>
      <c r="E806" s="1734" t="s">
        <v>894</v>
      </c>
      <c r="F806" s="1742"/>
      <c r="G806" s="1743"/>
    </row>
    <row r="807" spans="2:7" ht="15" thickBot="1">
      <c r="B807" s="1730"/>
      <c r="C807" s="1732"/>
      <c r="D807" s="1732"/>
      <c r="E807" s="1741"/>
      <c r="F807" s="1744"/>
      <c r="G807" s="1745"/>
    </row>
    <row r="808" spans="2:7">
      <c r="B808" s="1755" t="str">
        <f>+PRESUPUESTO!$A$2</f>
        <v>OBJETO: MEJORAMIENTO Y ADECUACIÓN DE LAS VIAS URBANAS DEL MUNICIPIO DE SANTA FE DE ANTIOQUIA</v>
      </c>
      <c r="C808" s="1757"/>
      <c r="D808" s="1757"/>
      <c r="E808" s="1757"/>
      <c r="F808" s="1757"/>
      <c r="G808" s="1758"/>
    </row>
    <row r="809" spans="2:7" ht="15" thickBot="1">
      <c r="B809" s="1759"/>
      <c r="C809" s="1761"/>
      <c r="D809" s="1761"/>
      <c r="E809" s="1761"/>
      <c r="F809" s="1761"/>
      <c r="G809" s="1762"/>
    </row>
    <row r="810" spans="2:7" ht="15" thickBot="1">
      <c r="B810" s="167" t="s">
        <v>1</v>
      </c>
      <c r="C810" s="2059"/>
      <c r="D810" s="1763"/>
      <c r="E810" s="1763"/>
      <c r="F810" s="2060"/>
      <c r="G810" s="168" t="s">
        <v>193</v>
      </c>
    </row>
    <row r="811" spans="2:7" ht="59" customHeight="1" thickBot="1">
      <c r="B811" s="145" t="str">
        <f>+P!A34</f>
        <v>7.1</v>
      </c>
      <c r="C811" s="2061" t="str">
        <f>+P!B34</f>
        <v>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v>
      </c>
      <c r="D811" s="1765"/>
      <c r="E811" s="1765"/>
      <c r="F811" s="2062"/>
      <c r="G811" s="169" t="str">
        <f>+P!C34</f>
        <v>kg</v>
      </c>
    </row>
    <row r="812" spans="2:7" ht="15" thickBot="1">
      <c r="B812" s="216" t="s">
        <v>896</v>
      </c>
    </row>
    <row r="813" spans="2:7">
      <c r="B813" s="170" t="s">
        <v>897</v>
      </c>
      <c r="C813" s="171" t="s">
        <v>319</v>
      </c>
      <c r="D813" s="171" t="s">
        <v>320</v>
      </c>
      <c r="E813" s="171" t="s">
        <v>898</v>
      </c>
      <c r="F813" s="172" t="s">
        <v>899</v>
      </c>
      <c r="G813" s="139"/>
    </row>
    <row r="814" spans="2:7">
      <c r="B814" s="217" t="s">
        <v>1209</v>
      </c>
      <c r="C814" s="208" t="s">
        <v>69</v>
      </c>
      <c r="D814" s="209">
        <v>1.03</v>
      </c>
      <c r="E814" s="210">
        <f>+MATERIALES!D31</f>
        <v>5980</v>
      </c>
      <c r="F814" s="211">
        <f>+ROUND((D814*E814),0)</f>
        <v>6159</v>
      </c>
      <c r="G814" s="147"/>
    </row>
    <row r="815" spans="2:7" ht="20.5" customHeight="1" thickBot="1">
      <c r="B815" s="218" t="s">
        <v>978</v>
      </c>
      <c r="C815" s="202" t="s">
        <v>69</v>
      </c>
      <c r="D815" s="203">
        <v>3.3000000000000002E-2</v>
      </c>
      <c r="E815" s="204">
        <f>+MATERIALES!D39</f>
        <v>17900</v>
      </c>
      <c r="F815" s="206">
        <f>+ROUND((D815*E815),0)</f>
        <v>591</v>
      </c>
      <c r="G815" s="142"/>
    </row>
    <row r="816" spans="2:7" ht="15" thickBot="1">
      <c r="B816" s="212"/>
      <c r="C816" s="219">
        <f>+G816/$G$831</f>
        <v>0.82923832923832919</v>
      </c>
      <c r="D816" s="190"/>
      <c r="F816" s="212" t="s">
        <v>900</v>
      </c>
      <c r="G816" s="149">
        <f>+SUM(F814:F815)</f>
        <v>6750</v>
      </c>
    </row>
    <row r="817" spans="2:7" ht="15" thickBot="1">
      <c r="B817" s="216" t="s">
        <v>901</v>
      </c>
    </row>
    <row r="818" spans="2:7">
      <c r="B818" s="170" t="s">
        <v>897</v>
      </c>
      <c r="C818" s="171" t="s">
        <v>319</v>
      </c>
      <c r="D818" s="171" t="s">
        <v>320</v>
      </c>
      <c r="E818" s="171" t="s">
        <v>898</v>
      </c>
      <c r="F818" s="172" t="s">
        <v>899</v>
      </c>
      <c r="G818" s="139"/>
    </row>
    <row r="819" spans="2:7" ht="15" thickBot="1">
      <c r="B819" s="218" t="s">
        <v>1207</v>
      </c>
      <c r="C819" s="202" t="s">
        <v>916</v>
      </c>
      <c r="D819" s="203">
        <v>3.7799999999999999E-3</v>
      </c>
      <c r="E819" s="204">
        <f>+'FP OPERATIVO'!F35</f>
        <v>295642.2840888889</v>
      </c>
      <c r="F819" s="206">
        <f>+ROUND((D819*E819),0)</f>
        <v>1118</v>
      </c>
      <c r="G819" s="142"/>
    </row>
    <row r="820" spans="2:7" ht="15" thickBot="1">
      <c r="B820" s="212"/>
      <c r="C820" s="219">
        <f>+G820/$G$831</f>
        <v>0.13734643734643734</v>
      </c>
      <c r="D820" s="190"/>
      <c r="F820" s="212" t="s">
        <v>900</v>
      </c>
      <c r="G820" s="148">
        <f>+SUM(F819)</f>
        <v>1118</v>
      </c>
    </row>
    <row r="821" spans="2:7" ht="15" thickBot="1">
      <c r="B821" s="216" t="s">
        <v>917</v>
      </c>
    </row>
    <row r="822" spans="2:7">
      <c r="B822" s="170" t="s">
        <v>897</v>
      </c>
      <c r="C822" s="171" t="s">
        <v>319</v>
      </c>
      <c r="D822" s="171" t="s">
        <v>320</v>
      </c>
      <c r="E822" s="171" t="s">
        <v>898</v>
      </c>
      <c r="F822" s="172" t="s">
        <v>899</v>
      </c>
      <c r="G822" s="139"/>
    </row>
    <row r="823" spans="2:7" ht="15" thickBot="1">
      <c r="B823" s="218" t="s">
        <v>905</v>
      </c>
      <c r="C823" s="202" t="s">
        <v>906</v>
      </c>
      <c r="D823" s="203">
        <v>0.05</v>
      </c>
      <c r="E823" s="204">
        <f>+G820</f>
        <v>1118</v>
      </c>
      <c r="F823" s="206">
        <f>+ROUND((D823*E823),0)</f>
        <v>56</v>
      </c>
      <c r="G823" s="142"/>
    </row>
    <row r="824" spans="2:7" ht="15" thickBot="1">
      <c r="B824" s="212"/>
      <c r="C824" s="220">
        <f>+G824/$G$831</f>
        <v>6.8796068796068794E-3</v>
      </c>
      <c r="D824" s="190"/>
      <c r="F824" s="212" t="s">
        <v>900</v>
      </c>
      <c r="G824" s="148">
        <f>+SUM(F823)</f>
        <v>56</v>
      </c>
    </row>
    <row r="825" spans="2:7" ht="15" thickBot="1">
      <c r="B825" s="216" t="s">
        <v>1182</v>
      </c>
    </row>
    <row r="826" spans="2:7">
      <c r="B826" s="170" t="s">
        <v>897</v>
      </c>
      <c r="C826" s="171" t="s">
        <v>319</v>
      </c>
      <c r="D826" s="171" t="s">
        <v>320</v>
      </c>
      <c r="E826" s="171" t="s">
        <v>898</v>
      </c>
      <c r="F826" s="187" t="s">
        <v>899</v>
      </c>
      <c r="G826" s="143"/>
    </row>
    <row r="827" spans="2:7">
      <c r="B827" s="222" t="s">
        <v>1218</v>
      </c>
      <c r="C827" s="208" t="s">
        <v>23</v>
      </c>
      <c r="D827" s="209">
        <v>1.8359456100000001E-4</v>
      </c>
      <c r="E827" s="210">
        <f>+EQUIPOS!C53</f>
        <v>450000</v>
      </c>
      <c r="F827" s="213">
        <f>+ROUND((D827*E827),0)</f>
        <v>83</v>
      </c>
      <c r="G827" s="162"/>
    </row>
    <row r="828" spans="2:7" ht="15" thickBot="1">
      <c r="B828" s="223" t="s">
        <v>1161</v>
      </c>
      <c r="C828" s="202" t="s">
        <v>69</v>
      </c>
      <c r="D828" s="203">
        <v>0.13258900000000001</v>
      </c>
      <c r="E828" s="204">
        <v>1000</v>
      </c>
      <c r="F828" s="205">
        <f>+ROUND((D828*E828),0)</f>
        <v>133</v>
      </c>
      <c r="G828" s="144"/>
    </row>
    <row r="829" spans="2:7" ht="15" thickBot="1">
      <c r="C829" s="219">
        <f>+G829/$G$831</f>
        <v>2.6535626535626536E-2</v>
      </c>
      <c r="F829" s="212" t="s">
        <v>900</v>
      </c>
      <c r="G829" s="148">
        <f>+SUM(F826:F828)</f>
        <v>216</v>
      </c>
    </row>
    <row r="830" spans="2:7" ht="15" thickBot="1"/>
    <row r="831" spans="2:7" ht="15" thickBot="1">
      <c r="B831" s="195"/>
      <c r="C831" s="196"/>
      <c r="D831" s="197" t="s">
        <v>908</v>
      </c>
      <c r="E831" s="198"/>
      <c r="F831" s="198"/>
      <c r="G831" s="153">
        <f>ROUNDUP(SUM(G813:G829),0)</f>
        <v>8140</v>
      </c>
    </row>
    <row r="832" spans="2:7" ht="15" thickBot="1">
      <c r="B832" s="199"/>
      <c r="C832" s="196"/>
      <c r="D832" s="197"/>
      <c r="E832" s="198"/>
      <c r="F832" s="198"/>
      <c r="G832" s="200"/>
    </row>
    <row r="833" spans="2:7" ht="15" thickBot="1">
      <c r="B833" s="2063" t="s">
        <v>1219</v>
      </c>
      <c r="C833" s="2064"/>
      <c r="D833" s="2064"/>
      <c r="E833" s="2064"/>
      <c r="F833" s="2064"/>
      <c r="G833" s="2065"/>
    </row>
    <row r="834" spans="2:7" ht="18.5" customHeight="1">
      <c r="B834" s="1721"/>
      <c r="C834" s="1770" t="s">
        <v>1175</v>
      </c>
      <c r="D834" s="1770"/>
      <c r="E834" s="1770"/>
      <c r="F834" s="1770"/>
      <c r="G834" s="1771"/>
    </row>
    <row r="835" spans="2:7" ht="18.5" customHeight="1">
      <c r="B835" s="1722"/>
      <c r="C835" s="1772"/>
      <c r="D835" s="1772"/>
      <c r="E835" s="1772"/>
      <c r="F835" s="1772"/>
      <c r="G835" s="1773"/>
    </row>
    <row r="836" spans="2:7" ht="18.5" customHeight="1">
      <c r="B836" s="1722"/>
      <c r="C836" s="1772"/>
      <c r="D836" s="1772"/>
      <c r="E836" s="1772"/>
      <c r="F836" s="1772"/>
      <c r="G836" s="1773"/>
    </row>
    <row r="837" spans="2:7" ht="18.5" customHeight="1">
      <c r="B837" s="1722"/>
      <c r="C837" s="1772"/>
      <c r="D837" s="1772"/>
      <c r="E837" s="1772"/>
      <c r="F837" s="1772"/>
      <c r="G837" s="1773"/>
    </row>
    <row r="838" spans="2:7" ht="18.5" customHeight="1" thickBot="1">
      <c r="B838" s="1723"/>
      <c r="C838" s="1774"/>
      <c r="D838" s="1774"/>
      <c r="E838" s="1774"/>
      <c r="F838" s="1774"/>
      <c r="G838" s="1775"/>
    </row>
    <row r="839" spans="2:7">
      <c r="B839" s="1724" t="s">
        <v>890</v>
      </c>
      <c r="C839" s="1726"/>
      <c r="D839" s="1726"/>
      <c r="E839" s="1733" t="s">
        <v>891</v>
      </c>
      <c r="F839" s="1735"/>
      <c r="G839" s="1736"/>
    </row>
    <row r="840" spans="2:7">
      <c r="B840" s="1727"/>
      <c r="C840" s="1729"/>
      <c r="D840" s="1729"/>
      <c r="E840" s="1734"/>
      <c r="F840" s="1737"/>
      <c r="G840" s="1738"/>
    </row>
    <row r="841" spans="2:7">
      <c r="B841" s="1727"/>
      <c r="C841" s="1729"/>
      <c r="D841" s="1729"/>
      <c r="E841" s="332" t="s">
        <v>892</v>
      </c>
      <c r="F841" s="1739"/>
      <c r="G841" s="1740"/>
    </row>
    <row r="842" spans="2:7">
      <c r="B842" s="1727"/>
      <c r="C842" s="1729"/>
      <c r="D842" s="1729"/>
      <c r="E842" s="332" t="s">
        <v>893</v>
      </c>
      <c r="F842" s="1739"/>
      <c r="G842" s="1740"/>
    </row>
    <row r="843" spans="2:7">
      <c r="B843" s="1727"/>
      <c r="C843" s="1729"/>
      <c r="D843" s="1729"/>
      <c r="E843" s="1734" t="s">
        <v>894</v>
      </c>
      <c r="F843" s="1742"/>
      <c r="G843" s="1743"/>
    </row>
    <row r="844" spans="2:7" ht="15" thickBot="1">
      <c r="B844" s="1730"/>
      <c r="C844" s="1732"/>
      <c r="D844" s="1732"/>
      <c r="E844" s="1741"/>
      <c r="F844" s="1744"/>
      <c r="G844" s="1745"/>
    </row>
    <row r="845" spans="2:7">
      <c r="B845" s="1755" t="str">
        <f>+PRESUPUESTO!$A$2</f>
        <v>OBJETO: MEJORAMIENTO Y ADECUACIÓN DE LAS VIAS URBANAS DEL MUNICIPIO DE SANTA FE DE ANTIOQUIA</v>
      </c>
      <c r="C845" s="1757"/>
      <c r="D845" s="1757"/>
      <c r="E845" s="1757"/>
      <c r="F845" s="1757"/>
      <c r="G845" s="1758"/>
    </row>
    <row r="846" spans="2:7" ht="15" thickBot="1">
      <c r="B846" s="1759"/>
      <c r="C846" s="1761"/>
      <c r="D846" s="1761"/>
      <c r="E846" s="1761"/>
      <c r="F846" s="1761"/>
      <c r="G846" s="1762"/>
    </row>
    <row r="847" spans="2:7" ht="15" thickBot="1">
      <c r="B847" s="167" t="s">
        <v>1</v>
      </c>
      <c r="C847" s="2059"/>
      <c r="D847" s="1763"/>
      <c r="E847" s="1763"/>
      <c r="F847" s="2060"/>
      <c r="G847" s="168" t="s">
        <v>193</v>
      </c>
    </row>
    <row r="848" spans="2:7" ht="39" customHeight="1" thickBot="1">
      <c r="B848" s="145" t="str">
        <f>+P!A36</f>
        <v>8.1</v>
      </c>
      <c r="C848" s="2061" t="str">
        <f>+P!B36</f>
        <v>Colocación de MALLA ELECTROSOLDADA TIPO D 84. Incluye el suministro y el transporte del material y todos los elementos necesarios para su correcta colocación.</v>
      </c>
      <c r="D848" s="1765"/>
      <c r="E848" s="1765"/>
      <c r="F848" s="2062"/>
      <c r="G848" s="169" t="str">
        <f>+P!C36</f>
        <v>m2</v>
      </c>
    </row>
    <row r="849" spans="2:7" ht="15" thickBot="1">
      <c r="B849" s="216" t="s">
        <v>896</v>
      </c>
    </row>
    <row r="850" spans="2:7">
      <c r="B850" s="170" t="s">
        <v>897</v>
      </c>
      <c r="C850" s="171" t="s">
        <v>319</v>
      </c>
      <c r="D850" s="171" t="s">
        <v>320</v>
      </c>
      <c r="E850" s="171" t="s">
        <v>898</v>
      </c>
      <c r="F850" s="172" t="s">
        <v>899</v>
      </c>
      <c r="G850" s="139"/>
    </row>
    <row r="851" spans="2:7">
      <c r="B851" s="217" t="s">
        <v>1220</v>
      </c>
      <c r="C851" s="208" t="s">
        <v>34</v>
      </c>
      <c r="D851" s="209">
        <v>1.1499999999999999</v>
      </c>
      <c r="E851" s="210">
        <f>+MATERIALES!D46</f>
        <v>11621</v>
      </c>
      <c r="F851" s="211">
        <f>+ROUND((D851*E851),0)</f>
        <v>13364</v>
      </c>
      <c r="G851" s="147"/>
    </row>
    <row r="852" spans="2:7" ht="15" thickBot="1">
      <c r="B852" s="218" t="s">
        <v>978</v>
      </c>
      <c r="C852" s="202" t="s">
        <v>69</v>
      </c>
      <c r="D852" s="203">
        <v>2.1999999999999999E-2</v>
      </c>
      <c r="E852" s="204">
        <f>+MATERIALES!D39</f>
        <v>17900</v>
      </c>
      <c r="F852" s="206">
        <f>+ROUND((D852*E852),0)</f>
        <v>394</v>
      </c>
      <c r="G852" s="142"/>
    </row>
    <row r="853" spans="2:7" ht="15" thickBot="1">
      <c r="B853" s="212"/>
      <c r="C853" s="184">
        <f>+G853/$G$868</f>
        <v>0.83670862981207805</v>
      </c>
      <c r="D853" s="190"/>
      <c r="F853" s="212" t="s">
        <v>900</v>
      </c>
      <c r="G853" s="148">
        <f>+SUM(F851:F852)</f>
        <v>13758</v>
      </c>
    </row>
    <row r="854" spans="2:7" ht="15" thickBot="1">
      <c r="B854" s="216" t="s">
        <v>901</v>
      </c>
    </row>
    <row r="855" spans="2:7">
      <c r="B855" s="170" t="s">
        <v>897</v>
      </c>
      <c r="C855" s="171" t="s">
        <v>319</v>
      </c>
      <c r="D855" s="171" t="s">
        <v>320</v>
      </c>
      <c r="E855" s="171" t="s">
        <v>898</v>
      </c>
      <c r="F855" s="172" t="s">
        <v>899</v>
      </c>
      <c r="G855" s="139"/>
    </row>
    <row r="856" spans="2:7" ht="15" thickBot="1">
      <c r="B856" s="218" t="s">
        <v>915</v>
      </c>
      <c r="C856" s="202" t="s">
        <v>916</v>
      </c>
      <c r="D856" s="203">
        <v>6.0000000000000001E-3</v>
      </c>
      <c r="E856" s="204">
        <f>+'FP OPERATIVO'!F36</f>
        <v>302186.41694755561</v>
      </c>
      <c r="F856" s="206">
        <f>+ROUND((D856*E856),0)</f>
        <v>1813</v>
      </c>
      <c r="G856" s="142"/>
    </row>
    <row r="857" spans="2:7" ht="15" thickBot="1">
      <c r="B857" s="212"/>
      <c r="C857" s="184">
        <f>+G857/$G$868</f>
        <v>0.11025968497232864</v>
      </c>
      <c r="D857" s="190"/>
      <c r="F857" s="212" t="s">
        <v>900</v>
      </c>
      <c r="G857" s="149">
        <f>+SUM(F856)</f>
        <v>1813</v>
      </c>
    </row>
    <row r="858" spans="2:7" ht="15" thickBot="1">
      <c r="B858" s="216" t="s">
        <v>917</v>
      </c>
    </row>
    <row r="859" spans="2:7">
      <c r="B859" s="170" t="s">
        <v>897</v>
      </c>
      <c r="C859" s="171" t="s">
        <v>319</v>
      </c>
      <c r="D859" s="171" t="s">
        <v>320</v>
      </c>
      <c r="E859" s="171" t="s">
        <v>898</v>
      </c>
      <c r="F859" s="171" t="s">
        <v>899</v>
      </c>
      <c r="G859" s="139"/>
    </row>
    <row r="860" spans="2:7" ht="15" thickBot="1">
      <c r="B860" s="218" t="s">
        <v>905</v>
      </c>
      <c r="C860" s="202" t="s">
        <v>906</v>
      </c>
      <c r="D860" s="203">
        <v>0.05</v>
      </c>
      <c r="E860" s="204">
        <f>+G857</f>
        <v>1813</v>
      </c>
      <c r="F860" s="204">
        <f>+ROUND((D860*E860),0)</f>
        <v>91</v>
      </c>
      <c r="G860" s="142"/>
    </row>
    <row r="861" spans="2:7" ht="15" thickBot="1">
      <c r="B861" s="212"/>
      <c r="C861" s="184">
        <f>+G861/$G$868</f>
        <v>5.5342699020859941E-3</v>
      </c>
      <c r="D861" s="190"/>
      <c r="F861" s="212" t="s">
        <v>900</v>
      </c>
      <c r="G861" s="149">
        <f>+SUM(F860)</f>
        <v>91</v>
      </c>
    </row>
    <row r="862" spans="2:7" ht="15" thickBot="1">
      <c r="B862" s="216" t="s">
        <v>1182</v>
      </c>
    </row>
    <row r="863" spans="2:7">
      <c r="B863" s="170" t="s">
        <v>897</v>
      </c>
      <c r="C863" s="171" t="s">
        <v>319</v>
      </c>
      <c r="D863" s="171" t="s">
        <v>320</v>
      </c>
      <c r="E863" s="171" t="s">
        <v>898</v>
      </c>
      <c r="F863" s="187" t="s">
        <v>899</v>
      </c>
      <c r="G863" s="139"/>
    </row>
    <row r="864" spans="2:7">
      <c r="B864" s="222" t="s">
        <v>1221</v>
      </c>
      <c r="C864" s="208" t="s">
        <v>23</v>
      </c>
      <c r="D864" s="209">
        <v>1.583E-4</v>
      </c>
      <c r="E864" s="210">
        <f>+EQUIPOS!C53</f>
        <v>450000</v>
      </c>
      <c r="F864" s="213">
        <f>+ROUND((D864*E864),0)</f>
        <v>71</v>
      </c>
      <c r="G864" s="147"/>
    </row>
    <row r="865" spans="2:7" ht="15" thickBot="1">
      <c r="B865" s="223" t="s">
        <v>1161</v>
      </c>
      <c r="C865" s="202" t="s">
        <v>69</v>
      </c>
      <c r="D865" s="203">
        <v>0.71</v>
      </c>
      <c r="E865" s="204">
        <v>1000</v>
      </c>
      <c r="F865" s="205">
        <f>+ROUND((D865*E865),0)</f>
        <v>710</v>
      </c>
      <c r="G865" s="142"/>
    </row>
    <row r="866" spans="2:7" ht="15" thickBot="1">
      <c r="B866" s="212"/>
      <c r="C866" s="184">
        <f>+G866/$G$868</f>
        <v>4.749741531350727E-2</v>
      </c>
      <c r="D866" s="190"/>
      <c r="F866" s="212" t="s">
        <v>900</v>
      </c>
      <c r="G866" s="149">
        <f>+SUM(F864:F865)</f>
        <v>781</v>
      </c>
    </row>
    <row r="867" spans="2:7" ht="15" thickBot="1">
      <c r="F867" s="186"/>
      <c r="G867" s="194"/>
    </row>
    <row r="868" spans="2:7" ht="15" thickBot="1">
      <c r="B868" s="195"/>
      <c r="C868" s="196"/>
      <c r="D868" s="197" t="s">
        <v>908</v>
      </c>
      <c r="E868" s="198"/>
      <c r="F868" s="198"/>
      <c r="G868" s="153">
        <f>ROUNDUP(SUM(G850:G866),0)</f>
        <v>16443</v>
      </c>
    </row>
    <row r="869" spans="2:7">
      <c r="B869" s="340"/>
      <c r="C869" s="201"/>
      <c r="D869" s="253"/>
      <c r="E869" s="253"/>
      <c r="F869" s="253"/>
      <c r="G869" s="196"/>
    </row>
    <row r="870" spans="2:7" ht="15" thickBot="1">
      <c r="B870" s="2066" t="s">
        <v>1222</v>
      </c>
      <c r="C870" s="2067"/>
      <c r="D870" s="2067"/>
      <c r="E870" s="2067"/>
      <c r="F870" s="2067"/>
      <c r="G870" s="2068"/>
    </row>
    <row r="871" spans="2:7" ht="19.25" customHeight="1">
      <c r="B871" s="1721"/>
      <c r="C871" s="1770" t="s">
        <v>1175</v>
      </c>
      <c r="D871" s="1770"/>
      <c r="E871" s="1770"/>
      <c r="F871" s="1770"/>
      <c r="G871" s="1771"/>
    </row>
    <row r="872" spans="2:7" ht="19.25" customHeight="1">
      <c r="B872" s="1722"/>
      <c r="C872" s="1772"/>
      <c r="D872" s="1772"/>
      <c r="E872" s="1772"/>
      <c r="F872" s="1772"/>
      <c r="G872" s="1773"/>
    </row>
    <row r="873" spans="2:7" ht="19.25" customHeight="1">
      <c r="B873" s="1722"/>
      <c r="C873" s="1772"/>
      <c r="D873" s="1772"/>
      <c r="E873" s="1772"/>
      <c r="F873" s="1772"/>
      <c r="G873" s="1773"/>
    </row>
    <row r="874" spans="2:7" ht="19.25" customHeight="1">
      <c r="B874" s="1722"/>
      <c r="C874" s="1772"/>
      <c r="D874" s="1772"/>
      <c r="E874" s="1772"/>
      <c r="F874" s="1772"/>
      <c r="G874" s="1773"/>
    </row>
    <row r="875" spans="2:7" ht="19.25" customHeight="1" thickBot="1">
      <c r="B875" s="1723"/>
      <c r="C875" s="1774"/>
      <c r="D875" s="1774"/>
      <c r="E875" s="1774"/>
      <c r="F875" s="1774"/>
      <c r="G875" s="1775"/>
    </row>
    <row r="876" spans="2:7">
      <c r="B876" s="1724" t="s">
        <v>890</v>
      </c>
      <c r="C876" s="1726"/>
      <c r="D876" s="1726"/>
      <c r="E876" s="1733" t="s">
        <v>891</v>
      </c>
      <c r="F876" s="1735"/>
      <c r="G876" s="1736"/>
    </row>
    <row r="877" spans="2:7">
      <c r="B877" s="1727"/>
      <c r="C877" s="1729"/>
      <c r="D877" s="1729"/>
      <c r="E877" s="1734"/>
      <c r="F877" s="1737"/>
      <c r="G877" s="1738"/>
    </row>
    <row r="878" spans="2:7">
      <c r="B878" s="1727"/>
      <c r="C878" s="1729"/>
      <c r="D878" s="1729"/>
      <c r="E878" s="332" t="s">
        <v>892</v>
      </c>
      <c r="F878" s="1739"/>
      <c r="G878" s="1740"/>
    </row>
    <row r="879" spans="2:7">
      <c r="B879" s="1727"/>
      <c r="C879" s="1729"/>
      <c r="D879" s="1729"/>
      <c r="E879" s="332" t="s">
        <v>893</v>
      </c>
      <c r="F879" s="1739"/>
      <c r="G879" s="1740"/>
    </row>
    <row r="880" spans="2:7">
      <c r="B880" s="1727"/>
      <c r="C880" s="1729"/>
      <c r="D880" s="1729"/>
      <c r="E880" s="1734" t="s">
        <v>894</v>
      </c>
      <c r="F880" s="1742"/>
      <c r="G880" s="1743"/>
    </row>
    <row r="881" spans="2:11" ht="15" thickBot="1">
      <c r="B881" s="1730"/>
      <c r="C881" s="1732"/>
      <c r="D881" s="1732"/>
      <c r="E881" s="1741"/>
      <c r="F881" s="1744"/>
      <c r="G881" s="1745"/>
    </row>
    <row r="882" spans="2:11">
      <c r="B882" s="1755" t="str">
        <f>+PRESUPUESTO!$A$2</f>
        <v>OBJETO: MEJORAMIENTO Y ADECUACIÓN DE LAS VIAS URBANAS DEL MUNICIPIO DE SANTA FE DE ANTIOQUIA</v>
      </c>
      <c r="C882" s="1757"/>
      <c r="D882" s="1757"/>
      <c r="E882" s="1757"/>
      <c r="F882" s="1757"/>
      <c r="G882" s="1758"/>
    </row>
    <row r="883" spans="2:11" ht="15" thickBot="1">
      <c r="B883" s="1759"/>
      <c r="C883" s="1761"/>
      <c r="D883" s="1761"/>
      <c r="E883" s="1761"/>
      <c r="F883" s="1761"/>
      <c r="G883" s="1762"/>
    </row>
    <row r="884" spans="2:11" ht="15" thickBot="1">
      <c r="B884" s="167" t="s">
        <v>1</v>
      </c>
      <c r="C884" s="2059"/>
      <c r="D884" s="1763"/>
      <c r="E884" s="1763"/>
      <c r="F884" s="2060"/>
      <c r="G884" s="168" t="s">
        <v>193</v>
      </c>
    </row>
    <row r="885" spans="2:11" ht="102" customHeight="1" thickBot="1">
      <c r="B885" s="145" t="str">
        <f>+P!A38</f>
        <v>9.1</v>
      </c>
      <c r="C885" s="2061" t="str">
        <f>+P!B38</f>
        <v>RESANE Y REPINTE de PINTURA ACRÍLICA tipo Koraza o equivalente para exteriores  (hidrorepelente) de primera calidad que cumpla con la Norma NTC 1335, 2 manos o las que sean necesarias para obtener una superficie pareja y homogénea, a satisfacción de la interventoría. Incluye suministro y transporte de los materiales, preparada, retiro de pintura vieja existente, lijada y adecuación de la superficie a intervenir. Color a definir según aprobación de la interventoría.</v>
      </c>
      <c r="D885" s="1765"/>
      <c r="E885" s="1765"/>
      <c r="F885" s="2062"/>
      <c r="G885" s="169" t="str">
        <f>+P!C38</f>
        <v>m2</v>
      </c>
    </row>
    <row r="886" spans="2:11" ht="15" thickBot="1">
      <c r="B886" s="216" t="s">
        <v>896</v>
      </c>
    </row>
    <row r="887" spans="2:11">
      <c r="B887" s="170" t="s">
        <v>897</v>
      </c>
      <c r="C887" s="171" t="s">
        <v>319</v>
      </c>
      <c r="D887" s="171" t="s">
        <v>320</v>
      </c>
      <c r="E887" s="171" t="s">
        <v>898</v>
      </c>
      <c r="F887" s="172" t="s">
        <v>899</v>
      </c>
      <c r="G887" s="139"/>
    </row>
    <row r="888" spans="2:11" ht="29">
      <c r="B888" s="217" t="s">
        <v>1223</v>
      </c>
      <c r="C888" s="208" t="s">
        <v>1004</v>
      </c>
      <c r="D888" s="209">
        <v>7.5831637127360144E-2</v>
      </c>
      <c r="E888" s="210">
        <f>+MATERIALES!D32</f>
        <v>113200</v>
      </c>
      <c r="F888" s="211">
        <f>+ROUND((D888*E888),0)</f>
        <v>8584</v>
      </c>
      <c r="G888" s="147"/>
    </row>
    <row r="889" spans="2:11">
      <c r="B889" s="217" t="s">
        <v>988</v>
      </c>
      <c r="C889" s="208" t="s">
        <v>69</v>
      </c>
      <c r="D889" s="209">
        <v>0.05</v>
      </c>
      <c r="E889" s="210">
        <f>+MATERIALES!D47</f>
        <v>19900</v>
      </c>
      <c r="F889" s="211">
        <f>+ROUND((D889*E889),0)</f>
        <v>995</v>
      </c>
      <c r="G889" s="147"/>
      <c r="K889" s="302"/>
    </row>
    <row r="890" spans="2:11">
      <c r="B890" s="217" t="s">
        <v>989</v>
      </c>
      <c r="C890" s="208" t="s">
        <v>23</v>
      </c>
      <c r="D890" s="209">
        <v>0.1</v>
      </c>
      <c r="E890" s="210">
        <f>+MATERIALES!D48</f>
        <v>1600</v>
      </c>
      <c r="F890" s="211">
        <f>+ROUND((D890*E890),0)</f>
        <v>160</v>
      </c>
      <c r="G890" s="147"/>
      <c r="K890" s="302"/>
    </row>
    <row r="891" spans="2:11">
      <c r="B891" s="217" t="s">
        <v>1224</v>
      </c>
      <c r="C891" s="208" t="s">
        <v>10</v>
      </c>
      <c r="D891" s="209">
        <v>0.66669999999999996</v>
      </c>
      <c r="E891" s="210">
        <f>+MATERIALES!D49</f>
        <v>3748</v>
      </c>
      <c r="F891" s="211">
        <f>+ROUND((D891*E891),0)</f>
        <v>2499</v>
      </c>
      <c r="G891" s="147"/>
    </row>
    <row r="892" spans="2:11" ht="27" customHeight="1" thickBot="1">
      <c r="B892" s="218" t="s">
        <v>991</v>
      </c>
      <c r="C892" s="202" t="s">
        <v>34</v>
      </c>
      <c r="D892" s="203">
        <v>0.2</v>
      </c>
      <c r="E892" s="204">
        <f>+MATERIALES!D50</f>
        <v>1200</v>
      </c>
      <c r="F892" s="206">
        <f>+ROUND((D892*E892),0)</f>
        <v>240</v>
      </c>
      <c r="G892" s="142"/>
    </row>
    <row r="893" spans="2:11" ht="15" thickBot="1">
      <c r="B893" s="212"/>
      <c r="C893" s="184">
        <f>+G893/$G$914</f>
        <v>0.3522768978854352</v>
      </c>
      <c r="D893" s="190"/>
      <c r="F893" s="212" t="s">
        <v>900</v>
      </c>
      <c r="G893" s="149">
        <f>+SUM(F888:F892)</f>
        <v>12478</v>
      </c>
    </row>
    <row r="894" spans="2:11" ht="15" thickBot="1">
      <c r="B894" s="216" t="s">
        <v>901</v>
      </c>
    </row>
    <row r="895" spans="2:11">
      <c r="B895" s="170" t="s">
        <v>897</v>
      </c>
      <c r="C895" s="171" t="s">
        <v>319</v>
      </c>
      <c r="D895" s="171" t="s">
        <v>320</v>
      </c>
      <c r="E895" s="171" t="s">
        <v>898</v>
      </c>
      <c r="F895" s="187" t="s">
        <v>899</v>
      </c>
      <c r="G895" s="139"/>
    </row>
    <row r="896" spans="2:11">
      <c r="B896" s="217" t="s">
        <v>1225</v>
      </c>
      <c r="C896" s="208" t="s">
        <v>916</v>
      </c>
      <c r="D896" s="209">
        <v>3.8511640958005501E-2</v>
      </c>
      <c r="E896" s="210">
        <f>+'FP OPERATIVO'!F38</f>
        <v>406890.49765866675</v>
      </c>
      <c r="F896" s="213">
        <f>+ROUND((D896*E896),0)</f>
        <v>15670</v>
      </c>
      <c r="G896" s="147"/>
    </row>
    <row r="897" spans="2:7" ht="15" thickBot="1">
      <c r="B897" s="218"/>
      <c r="C897" s="202"/>
      <c r="D897" s="203"/>
      <c r="E897" s="204"/>
      <c r="F897" s="205"/>
      <c r="G897" s="147"/>
    </row>
    <row r="898" spans="2:7" ht="15" thickBot="1">
      <c r="B898" s="212"/>
      <c r="C898" s="184">
        <f>+G898/$G$914</f>
        <v>0.4423929307472968</v>
      </c>
      <c r="D898" s="190"/>
      <c r="F898" s="212" t="s">
        <v>900</v>
      </c>
      <c r="G898" s="148">
        <f>+SUM(F896:F897)</f>
        <v>15670</v>
      </c>
    </row>
    <row r="899" spans="2:7" ht="15" thickBot="1">
      <c r="B899" s="216" t="s">
        <v>917</v>
      </c>
    </row>
    <row r="900" spans="2:7">
      <c r="B900" s="170" t="s">
        <v>897</v>
      </c>
      <c r="C900" s="171" t="s">
        <v>319</v>
      </c>
      <c r="D900" s="171" t="s">
        <v>320</v>
      </c>
      <c r="E900" s="171" t="s">
        <v>898</v>
      </c>
      <c r="F900" s="187" t="s">
        <v>899</v>
      </c>
      <c r="G900" s="139"/>
    </row>
    <row r="901" spans="2:7" ht="15" thickBot="1">
      <c r="B901" s="218" t="s">
        <v>905</v>
      </c>
      <c r="C901" s="202" t="s">
        <v>906</v>
      </c>
      <c r="D901" s="203">
        <v>0.05</v>
      </c>
      <c r="E901" s="204">
        <f>+G898</f>
        <v>15670</v>
      </c>
      <c r="F901" s="205">
        <f>+ROUND((D901*E901),0)</f>
        <v>784</v>
      </c>
      <c r="G901" s="147"/>
    </row>
    <row r="902" spans="2:7" ht="15" thickBot="1">
      <c r="B902" s="212"/>
      <c r="C902" s="184">
        <f>+G902/$G$914</f>
        <v>2.2133762457299342E-2</v>
      </c>
      <c r="D902" s="190"/>
      <c r="F902" s="212" t="s">
        <v>900</v>
      </c>
      <c r="G902" s="148">
        <f>+SUM(F901)</f>
        <v>784</v>
      </c>
    </row>
    <row r="903" spans="2:7" ht="15" thickBot="1">
      <c r="B903" s="216" t="s">
        <v>1203</v>
      </c>
    </row>
    <row r="904" spans="2:7">
      <c r="B904" s="170" t="s">
        <v>897</v>
      </c>
      <c r="C904" s="171" t="s">
        <v>319</v>
      </c>
      <c r="D904" s="171" t="s">
        <v>320</v>
      </c>
      <c r="E904" s="171" t="s">
        <v>898</v>
      </c>
      <c r="F904" s="187" t="s">
        <v>899</v>
      </c>
      <c r="G904" s="139"/>
    </row>
    <row r="905" spans="2:7" ht="29">
      <c r="B905" s="217" t="s">
        <v>1193</v>
      </c>
      <c r="C905" s="208" t="s">
        <v>198</v>
      </c>
      <c r="D905" s="209">
        <v>1</v>
      </c>
      <c r="E905" s="210">
        <f>+EQUIPOS!C35</f>
        <v>5500</v>
      </c>
      <c r="F905" s="213">
        <f>+ROUND((D905*E905),0)</f>
        <v>5500</v>
      </c>
      <c r="G905" s="147"/>
    </row>
    <row r="906" spans="2:7" ht="29">
      <c r="B906" s="217" t="s">
        <v>1194</v>
      </c>
      <c r="C906" s="208" t="s">
        <v>198</v>
      </c>
      <c r="D906" s="209">
        <v>5.7000000000000002E-2</v>
      </c>
      <c r="E906" s="210">
        <f>+EQUIPOS!C36</f>
        <v>600</v>
      </c>
      <c r="F906" s="213">
        <f>+ROUND((D906*E906),0)</f>
        <v>34</v>
      </c>
      <c r="G906" s="147"/>
    </row>
    <row r="907" spans="2:7" ht="15" thickBot="1">
      <c r="B907" s="218" t="s">
        <v>1136</v>
      </c>
      <c r="C907" s="202" t="s">
        <v>198</v>
      </c>
      <c r="D907" s="203">
        <v>0.05</v>
      </c>
      <c r="E907" s="204">
        <f>+EQUIPOS!C40</f>
        <v>10500</v>
      </c>
      <c r="F907" s="205">
        <f>+ROUND((D907*E907),0)</f>
        <v>525</v>
      </c>
      <c r="G907" s="147"/>
    </row>
    <row r="908" spans="2:7" ht="15" thickBot="1">
      <c r="B908" s="212"/>
      <c r="C908" s="184">
        <f>+G908/$G$914</f>
        <v>0.17105671776629683</v>
      </c>
      <c r="D908" s="190"/>
      <c r="F908" s="212" t="s">
        <v>900</v>
      </c>
      <c r="G908" s="148">
        <f>+SUM(F905:F907)</f>
        <v>6059</v>
      </c>
    </row>
    <row r="909" spans="2:7" ht="15" thickBot="1">
      <c r="B909" s="216" t="s">
        <v>1205</v>
      </c>
    </row>
    <row r="910" spans="2:7">
      <c r="B910" s="170" t="s">
        <v>897</v>
      </c>
      <c r="C910" s="171" t="s">
        <v>319</v>
      </c>
      <c r="D910" s="171" t="s">
        <v>320</v>
      </c>
      <c r="E910" s="171" t="s">
        <v>898</v>
      </c>
      <c r="F910" s="187" t="s">
        <v>899</v>
      </c>
      <c r="G910" s="139"/>
    </row>
    <row r="911" spans="2:7" ht="15" thickBot="1">
      <c r="B911" s="218" t="s">
        <v>1218</v>
      </c>
      <c r="C911" s="202" t="s">
        <v>23</v>
      </c>
      <c r="D911" s="203">
        <v>9.5509999999999996E-4</v>
      </c>
      <c r="E911" s="204">
        <f>+EQUIPOS!$C$53</f>
        <v>450000</v>
      </c>
      <c r="F911" s="205">
        <f>+ROUND((D911*E911),0)</f>
        <v>430</v>
      </c>
      <c r="G911" s="147"/>
    </row>
    <row r="912" spans="2:7" ht="15" thickBot="1">
      <c r="B912" s="212"/>
      <c r="C912" s="221">
        <f>+G912/$G$1110</f>
        <v>5.7643841492841441E-4</v>
      </c>
      <c r="D912" s="190"/>
      <c r="F912" s="212" t="s">
        <v>900</v>
      </c>
      <c r="G912" s="148">
        <f>+SUM(F911)</f>
        <v>430</v>
      </c>
    </row>
    <row r="913" spans="2:12" ht="15" thickBot="1">
      <c r="G913" s="194"/>
    </row>
    <row r="914" spans="2:12" ht="15" thickBot="1">
      <c r="E914" s="154" t="s">
        <v>908</v>
      </c>
      <c r="G914" s="153">
        <f>+SUM(G887:G912)</f>
        <v>35421</v>
      </c>
      <c r="I914" s="5"/>
      <c r="L914" s="5"/>
    </row>
    <row r="915" spans="2:12" ht="15" thickBot="1">
      <c r="B915" s="155"/>
      <c r="C915" s="155"/>
    </row>
    <row r="916" spans="2:12" ht="19.25" customHeight="1">
      <c r="B916" s="1721"/>
      <c r="C916" s="1770" t="s">
        <v>1175</v>
      </c>
      <c r="D916" s="1770"/>
      <c r="E916" s="1770"/>
      <c r="F916" s="1770"/>
      <c r="G916" s="1771"/>
    </row>
    <row r="917" spans="2:12" ht="19.25" customHeight="1">
      <c r="B917" s="1722"/>
      <c r="C917" s="1772"/>
      <c r="D917" s="1772"/>
      <c r="E917" s="1772"/>
      <c r="F917" s="1772"/>
      <c r="G917" s="1773"/>
    </row>
    <row r="918" spans="2:12" ht="19.25" customHeight="1">
      <c r="B918" s="1722"/>
      <c r="C918" s="1772"/>
      <c r="D918" s="1772"/>
      <c r="E918" s="1772"/>
      <c r="F918" s="1772"/>
      <c r="G918" s="1773"/>
    </row>
    <row r="919" spans="2:12" ht="19.25" customHeight="1">
      <c r="B919" s="1722"/>
      <c r="C919" s="1772"/>
      <c r="D919" s="1772"/>
      <c r="E919" s="1772"/>
      <c r="F919" s="1772"/>
      <c r="G919" s="1773"/>
    </row>
    <row r="920" spans="2:12" ht="19.25" customHeight="1" thickBot="1">
      <c r="B920" s="1723"/>
      <c r="C920" s="1774"/>
      <c r="D920" s="1774"/>
      <c r="E920" s="1774"/>
      <c r="F920" s="1774"/>
      <c r="G920" s="1775"/>
    </row>
    <row r="921" spans="2:12">
      <c r="B921" s="1724" t="s">
        <v>890</v>
      </c>
      <c r="C921" s="1726"/>
      <c r="D921" s="1726"/>
      <c r="E921" s="1733" t="s">
        <v>891</v>
      </c>
      <c r="F921" s="1735"/>
      <c r="G921" s="1736"/>
    </row>
    <row r="922" spans="2:12">
      <c r="B922" s="1727"/>
      <c r="C922" s="1729"/>
      <c r="D922" s="1729"/>
      <c r="E922" s="1734"/>
      <c r="F922" s="1737"/>
      <c r="G922" s="1738"/>
    </row>
    <row r="923" spans="2:12">
      <c r="B923" s="1727"/>
      <c r="C923" s="1729"/>
      <c r="D923" s="1729"/>
      <c r="E923" s="332" t="s">
        <v>892</v>
      </c>
      <c r="F923" s="1739"/>
      <c r="G923" s="1740"/>
    </row>
    <row r="924" spans="2:12">
      <c r="B924" s="1727"/>
      <c r="C924" s="1729"/>
      <c r="D924" s="1729"/>
      <c r="E924" s="332" t="s">
        <v>893</v>
      </c>
      <c r="F924" s="1739"/>
      <c r="G924" s="1740"/>
    </row>
    <row r="925" spans="2:12">
      <c r="B925" s="1727"/>
      <c r="C925" s="1729"/>
      <c r="D925" s="1729"/>
      <c r="E925" s="1734" t="s">
        <v>894</v>
      </c>
      <c r="F925" s="1742"/>
      <c r="G925" s="1743"/>
    </row>
    <row r="926" spans="2:12" ht="15" thickBot="1">
      <c r="B926" s="1730"/>
      <c r="C926" s="1732"/>
      <c r="D926" s="1732"/>
      <c r="E926" s="1741"/>
      <c r="F926" s="1744"/>
      <c r="G926" s="1745"/>
    </row>
    <row r="927" spans="2:12">
      <c r="B927" s="1755" t="str">
        <f>+PRESUPUESTO!$A$2</f>
        <v>OBJETO: MEJORAMIENTO Y ADECUACIÓN DE LAS VIAS URBANAS DEL MUNICIPIO DE SANTA FE DE ANTIOQUIA</v>
      </c>
      <c r="C927" s="1757"/>
      <c r="D927" s="1757"/>
      <c r="E927" s="1757"/>
      <c r="F927" s="1757"/>
      <c r="G927" s="1758"/>
    </row>
    <row r="928" spans="2:12" ht="15" thickBot="1">
      <c r="B928" s="1759"/>
      <c r="C928" s="1761"/>
      <c r="D928" s="1761"/>
      <c r="E928" s="1761"/>
      <c r="F928" s="1761"/>
      <c r="G928" s="1762"/>
    </row>
    <row r="929" spans="2:7" ht="15" thickBot="1">
      <c r="B929" s="167" t="s">
        <v>1</v>
      </c>
      <c r="C929" s="2059"/>
      <c r="D929" s="1763"/>
      <c r="E929" s="1763"/>
      <c r="F929" s="2060"/>
      <c r="G929" s="168" t="s">
        <v>193</v>
      </c>
    </row>
    <row r="930" spans="2:7" ht="89" customHeight="1" thickBot="1">
      <c r="B930" s="145" t="str">
        <f>+P!A39</f>
        <v>9.2</v>
      </c>
      <c r="C930" s="2061" t="str">
        <f>+P!B39</f>
        <v>Aplicación de PINTURA A BASE DE AGUA EN MUROS, CON VINILO TIPO 1 de primera calidad sobre muros revocados y/o estucados, tres manos o las necesarias hasta obtener una superficie pareja y homogénea. Incluye suministro y transporte de los materiales, resanes, tapa poros en estuco plástico tipo plastestuco o equivalente diluido en agua proporción 1:2, adecuación de la superficie a intervenir hasta obtener una superficie pareja y homogénea, color a definir según aprobación de la interventoría.</v>
      </c>
      <c r="D930" s="1765"/>
      <c r="E930" s="1765"/>
      <c r="F930" s="2062"/>
      <c r="G930" s="169" t="str">
        <f>+P!C39</f>
        <v>m2</v>
      </c>
    </row>
    <row r="931" spans="2:7" ht="15" thickBot="1">
      <c r="B931" s="216" t="s">
        <v>896</v>
      </c>
    </row>
    <row r="932" spans="2:7">
      <c r="B932" s="170" t="s">
        <v>897</v>
      </c>
      <c r="C932" s="171" t="s">
        <v>319</v>
      </c>
      <c r="D932" s="171" t="s">
        <v>320</v>
      </c>
      <c r="E932" s="171" t="s">
        <v>898</v>
      </c>
      <c r="F932" s="172" t="s">
        <v>899</v>
      </c>
      <c r="G932" s="139"/>
    </row>
    <row r="933" spans="2:7">
      <c r="B933" s="217" t="s">
        <v>1003</v>
      </c>
      <c r="C933" s="208" t="s">
        <v>1004</v>
      </c>
      <c r="D933" s="209">
        <v>8.2500000000000004E-2</v>
      </c>
      <c r="E933" s="210">
        <f>+MATERIALES!D61</f>
        <v>78910</v>
      </c>
      <c r="F933" s="211">
        <f>+ROUND((D933*E933),0)</f>
        <v>6510</v>
      </c>
      <c r="G933" s="147"/>
    </row>
    <row r="934" spans="2:7">
      <c r="B934" s="217" t="s">
        <v>1005</v>
      </c>
      <c r="C934" s="208" t="s">
        <v>69</v>
      </c>
      <c r="D934" s="209">
        <v>0.06</v>
      </c>
      <c r="E934" s="210">
        <f>+MATERIALES!D62</f>
        <v>1172.5</v>
      </c>
      <c r="F934" s="211">
        <f>+ROUND((D934*E934),0)</f>
        <v>70</v>
      </c>
      <c r="G934" s="147"/>
    </row>
    <row r="935" spans="2:7">
      <c r="B935" s="217" t="s">
        <v>988</v>
      </c>
      <c r="C935" s="208" t="s">
        <v>69</v>
      </c>
      <c r="D935" s="209">
        <v>0.02</v>
      </c>
      <c r="E935" s="210">
        <f>+MATERIALES!D47</f>
        <v>19900</v>
      </c>
      <c r="F935" s="211">
        <f>+ROUND((D935*E935),0)</f>
        <v>398</v>
      </c>
      <c r="G935" s="147"/>
    </row>
    <row r="936" spans="2:7" ht="15" thickBot="1">
      <c r="B936" s="218" t="s">
        <v>1226</v>
      </c>
      <c r="C936" s="202" t="s">
        <v>23</v>
      </c>
      <c r="D936" s="203">
        <v>0.01</v>
      </c>
      <c r="E936" s="204">
        <f>+MATERIALES!D53</f>
        <v>1450</v>
      </c>
      <c r="F936" s="206">
        <f>+ROUND((D936*E936),0)</f>
        <v>15</v>
      </c>
      <c r="G936" s="142"/>
    </row>
    <row r="937" spans="2:7" ht="15" thickBot="1">
      <c r="B937" s="212"/>
      <c r="C937" s="184">
        <f>+G937/$G$957</f>
        <v>0.28025809554344339</v>
      </c>
      <c r="D937" s="190"/>
      <c r="F937" s="212" t="s">
        <v>900</v>
      </c>
      <c r="G937" s="149">
        <f>+SUM(F933:F936)</f>
        <v>6993</v>
      </c>
    </row>
    <row r="938" spans="2:7" ht="15" thickBot="1">
      <c r="B938" s="216" t="s">
        <v>901</v>
      </c>
    </row>
    <row r="939" spans="2:7">
      <c r="B939" s="170" t="s">
        <v>897</v>
      </c>
      <c r="C939" s="171" t="s">
        <v>319</v>
      </c>
      <c r="D939" s="171" t="s">
        <v>320</v>
      </c>
      <c r="E939" s="171" t="s">
        <v>898</v>
      </c>
      <c r="F939" s="172" t="s">
        <v>899</v>
      </c>
      <c r="G939" s="139"/>
    </row>
    <row r="940" spans="2:7" ht="15" thickBot="1">
      <c r="B940" s="217" t="s">
        <v>1225</v>
      </c>
      <c r="C940" s="202" t="s">
        <v>916</v>
      </c>
      <c r="D940" s="203">
        <v>0.04</v>
      </c>
      <c r="E940" s="204">
        <f>+'FP OPERATIVO'!F37</f>
        <v>400346.36479999998</v>
      </c>
      <c r="F940" s="206">
        <f>+ROUND((D940*E940),0)</f>
        <v>16014</v>
      </c>
      <c r="G940" s="142"/>
    </row>
    <row r="941" spans="2:7" ht="15" thickBot="1">
      <c r="B941" s="212"/>
      <c r="C941" s="184">
        <f>+G941/$G$957</f>
        <v>0.64179224110291755</v>
      </c>
      <c r="D941" s="190"/>
      <c r="F941" s="212" t="s">
        <v>900</v>
      </c>
      <c r="G941" s="149">
        <f>+SUM(F940)</f>
        <v>16014</v>
      </c>
    </row>
    <row r="942" spans="2:7" ht="15" thickBot="1">
      <c r="B942" s="216" t="s">
        <v>917</v>
      </c>
    </row>
    <row r="943" spans="2:7">
      <c r="B943" s="170" t="s">
        <v>897</v>
      </c>
      <c r="C943" s="171" t="s">
        <v>319</v>
      </c>
      <c r="D943" s="171" t="s">
        <v>320</v>
      </c>
      <c r="E943" s="171" t="s">
        <v>898</v>
      </c>
      <c r="F943" s="172" t="s">
        <v>899</v>
      </c>
      <c r="G943" s="139"/>
    </row>
    <row r="944" spans="2:7" ht="15" thickBot="1">
      <c r="B944" s="218" t="s">
        <v>905</v>
      </c>
      <c r="C944" s="202" t="s">
        <v>906</v>
      </c>
      <c r="D944" s="203">
        <v>0.05</v>
      </c>
      <c r="E944" s="204">
        <f>+G941</f>
        <v>16014</v>
      </c>
      <c r="F944" s="206">
        <f>+ROUND((D944*E944),0)</f>
        <v>801</v>
      </c>
      <c r="G944" s="142"/>
    </row>
    <row r="945" spans="2:7" ht="15" thickBot="1">
      <c r="B945" s="212"/>
      <c r="C945" s="184">
        <f>+G945/$G$957</f>
        <v>3.2101635139467781E-2</v>
      </c>
      <c r="D945" s="190"/>
      <c r="F945" s="212" t="s">
        <v>900</v>
      </c>
      <c r="G945" s="149">
        <f>+SUM(F944)</f>
        <v>801</v>
      </c>
    </row>
    <row r="946" spans="2:7" ht="15" thickBot="1">
      <c r="B946" s="216" t="s">
        <v>1203</v>
      </c>
    </row>
    <row r="947" spans="2:7">
      <c r="B947" s="170" t="s">
        <v>897</v>
      </c>
      <c r="C947" s="171" t="s">
        <v>319</v>
      </c>
      <c r="D947" s="171" t="s">
        <v>320</v>
      </c>
      <c r="E947" s="171" t="s">
        <v>898</v>
      </c>
      <c r="F947" s="172" t="s">
        <v>899</v>
      </c>
      <c r="G947" s="139"/>
    </row>
    <row r="948" spans="2:7" ht="29">
      <c r="B948" s="217" t="s">
        <v>1193</v>
      </c>
      <c r="C948" s="208" t="s">
        <v>198</v>
      </c>
      <c r="D948" s="209">
        <v>4.546E-2</v>
      </c>
      <c r="E948" s="210">
        <f>+EQUIPOS!C35</f>
        <v>5500</v>
      </c>
      <c r="F948" s="211">
        <f>+ROUND((D948*E948),0)</f>
        <v>250</v>
      </c>
      <c r="G948" s="147"/>
    </row>
    <row r="949" spans="2:7" ht="29.5" thickBot="1">
      <c r="B949" s="218" t="s">
        <v>1194</v>
      </c>
      <c r="C949" s="202" t="s">
        <v>198</v>
      </c>
      <c r="D949" s="203">
        <v>2.273E-2</v>
      </c>
      <c r="E949" s="204">
        <f>+EQUIPOS!C36</f>
        <v>600</v>
      </c>
      <c r="F949" s="206">
        <f>+ROUND((D949*E949),0)</f>
        <v>14</v>
      </c>
      <c r="G949" s="142"/>
    </row>
    <row r="950" spans="2:7" ht="15" thickBot="1">
      <c r="B950" s="212"/>
      <c r="C950" s="184">
        <f>+G950/$G$957</f>
        <v>1.0580314203270279E-2</v>
      </c>
      <c r="D950" s="190"/>
      <c r="F950" s="212" t="s">
        <v>900</v>
      </c>
      <c r="G950" s="149">
        <f>+SUM(F948:F949)</f>
        <v>264</v>
      </c>
    </row>
    <row r="951" spans="2:7" ht="15" thickBot="1">
      <c r="B951" s="216" t="s">
        <v>1205</v>
      </c>
    </row>
    <row r="952" spans="2:7">
      <c r="B952" s="170" t="s">
        <v>897</v>
      </c>
      <c r="C952" s="171" t="s">
        <v>319</v>
      </c>
      <c r="D952" s="171" t="s">
        <v>320</v>
      </c>
      <c r="E952" s="171" t="s">
        <v>898</v>
      </c>
      <c r="F952" s="187" t="s">
        <v>899</v>
      </c>
      <c r="G952" s="139"/>
    </row>
    <row r="953" spans="2:7" ht="15" thickBot="1">
      <c r="B953" s="218" t="s">
        <v>1218</v>
      </c>
      <c r="C953" s="202" t="s">
        <v>23</v>
      </c>
      <c r="D953" s="203">
        <v>1.9551E-3</v>
      </c>
      <c r="E953" s="204">
        <f>+EQUIPOS!$C$53</f>
        <v>450000</v>
      </c>
      <c r="F953" s="205">
        <f>+ROUND((D953*E953),0)</f>
        <v>880</v>
      </c>
      <c r="G953" s="147"/>
    </row>
    <row r="954" spans="2:7" ht="15" thickBot="1">
      <c r="B954" s="212"/>
      <c r="C954" s="221">
        <f>+G954/$G$1110</f>
        <v>1.1796879189232667E-3</v>
      </c>
      <c r="D954" s="190"/>
      <c r="E954" s="212" t="s">
        <v>900</v>
      </c>
      <c r="F954" s="194">
        <v>1047</v>
      </c>
      <c r="G954" s="148">
        <f>+SUM(F953)</f>
        <v>880</v>
      </c>
    </row>
    <row r="955" spans="2:7">
      <c r="B955" s="212"/>
      <c r="C955" s="184"/>
      <c r="D955" s="190"/>
      <c r="F955" s="212"/>
      <c r="G955" s="302"/>
    </row>
    <row r="956" spans="2:7" ht="15" thickBot="1">
      <c r="B956" s="155"/>
      <c r="C956" s="155"/>
    </row>
    <row r="957" spans="2:7" ht="15" thickBot="1">
      <c r="E957" s="154" t="s">
        <v>908</v>
      </c>
      <c r="G957" s="153">
        <f>+SUM(G932:G954)</f>
        <v>24952</v>
      </c>
    </row>
    <row r="958" spans="2:7" ht="15" thickBot="1">
      <c r="B958" s="340"/>
      <c r="C958" s="201"/>
      <c r="D958" s="253"/>
      <c r="E958" s="253"/>
      <c r="F958" s="253"/>
      <c r="G958" s="196"/>
    </row>
    <row r="959" spans="2:7" ht="18.5" customHeight="1">
      <c r="B959" s="1721"/>
      <c r="C959" s="1770" t="s">
        <v>1175</v>
      </c>
      <c r="D959" s="1770"/>
      <c r="E959" s="1770"/>
      <c r="F959" s="1770"/>
      <c r="G959" s="1771"/>
    </row>
    <row r="960" spans="2:7" ht="18.5" customHeight="1">
      <c r="B960" s="1722"/>
      <c r="C960" s="1772"/>
      <c r="D960" s="1772"/>
      <c r="E960" s="1772"/>
      <c r="F960" s="1772"/>
      <c r="G960" s="1773"/>
    </row>
    <row r="961" spans="2:7" ht="18.5" customHeight="1">
      <c r="B961" s="1722"/>
      <c r="C961" s="1772"/>
      <c r="D961" s="1772"/>
      <c r="E961" s="1772"/>
      <c r="F961" s="1772"/>
      <c r="G961" s="1773"/>
    </row>
    <row r="962" spans="2:7" ht="18.5" customHeight="1">
      <c r="B962" s="1722"/>
      <c r="C962" s="1772"/>
      <c r="D962" s="1772"/>
      <c r="E962" s="1772"/>
      <c r="F962" s="1772"/>
      <c r="G962" s="1773"/>
    </row>
    <row r="963" spans="2:7" ht="18.5" customHeight="1" thickBot="1">
      <c r="B963" s="1723"/>
      <c r="C963" s="1774"/>
      <c r="D963" s="1774"/>
      <c r="E963" s="1774"/>
      <c r="F963" s="1774"/>
      <c r="G963" s="1775"/>
    </row>
    <row r="964" spans="2:7">
      <c r="B964" s="1724" t="s">
        <v>890</v>
      </c>
      <c r="C964" s="1726"/>
      <c r="D964" s="1726"/>
      <c r="E964" s="1733" t="s">
        <v>891</v>
      </c>
      <c r="F964" s="1735"/>
      <c r="G964" s="1736"/>
    </row>
    <row r="965" spans="2:7">
      <c r="B965" s="1727"/>
      <c r="C965" s="1729"/>
      <c r="D965" s="1729"/>
      <c r="E965" s="1734"/>
      <c r="F965" s="1737"/>
      <c r="G965" s="1738"/>
    </row>
    <row r="966" spans="2:7">
      <c r="B966" s="1727"/>
      <c r="C966" s="1729"/>
      <c r="D966" s="1729"/>
      <c r="E966" s="332" t="s">
        <v>892</v>
      </c>
      <c r="F966" s="1739"/>
      <c r="G966" s="1740"/>
    </row>
    <row r="967" spans="2:7">
      <c r="B967" s="1727"/>
      <c r="C967" s="1729"/>
      <c r="D967" s="1729"/>
      <c r="E967" s="332" t="s">
        <v>893</v>
      </c>
      <c r="F967" s="1739"/>
      <c r="G967" s="1740"/>
    </row>
    <row r="968" spans="2:7">
      <c r="B968" s="1727"/>
      <c r="C968" s="1729"/>
      <c r="D968" s="1729"/>
      <c r="E968" s="1734" t="s">
        <v>894</v>
      </c>
      <c r="F968" s="1742"/>
      <c r="G968" s="1743"/>
    </row>
    <row r="969" spans="2:7" ht="15" thickBot="1">
      <c r="B969" s="1730"/>
      <c r="C969" s="1732"/>
      <c r="D969" s="1732"/>
      <c r="E969" s="1741"/>
      <c r="F969" s="1744"/>
      <c r="G969" s="1745"/>
    </row>
    <row r="970" spans="2:7">
      <c r="B970" s="1755" t="str">
        <f>+PRESUPUESTO!$A$2</f>
        <v>OBJETO: MEJORAMIENTO Y ADECUACIÓN DE LAS VIAS URBANAS DEL MUNICIPIO DE SANTA FE DE ANTIOQUIA</v>
      </c>
      <c r="C970" s="1757"/>
      <c r="D970" s="1757"/>
      <c r="E970" s="1757"/>
      <c r="F970" s="1757"/>
      <c r="G970" s="1758"/>
    </row>
    <row r="971" spans="2:7" ht="15" thickBot="1">
      <c r="B971" s="1759"/>
      <c r="C971" s="1761"/>
      <c r="D971" s="1761"/>
      <c r="E971" s="1761"/>
      <c r="F971" s="1761"/>
      <c r="G971" s="1762"/>
    </row>
    <row r="972" spans="2:7" ht="15" thickBot="1">
      <c r="B972" s="167" t="s">
        <v>1</v>
      </c>
      <c r="C972" s="2059"/>
      <c r="D972" s="1763"/>
      <c r="E972" s="1763"/>
      <c r="F972" s="2060"/>
      <c r="G972" s="168" t="s">
        <v>193</v>
      </c>
    </row>
    <row r="973" spans="2:7" ht="75" customHeight="1" thickBot="1">
      <c r="B973" s="145" t="str">
        <f>+P!A40</f>
        <v>9.3</v>
      </c>
      <c r="C973" s="2061" t="str">
        <f>+P!B40</f>
        <v>Aplicación de ESMALTE A BASE DE ACEITE ENTRE 0,4 - 0,5 m DE ALTURA PARA ZOCALO, dos manos o las necesarias hasta obtener una superficie pareja y homogénea. Incluye suministro y transporte de los materiales, disolvente para pinturas a base de aceite, adecuación de la superficie a intervenir hasta obtener una superficie pareja y homogénea, color a definir según aprobación de la interventoría.</v>
      </c>
      <c r="D973" s="1765"/>
      <c r="E973" s="1765"/>
      <c r="F973" s="2062"/>
      <c r="G973" s="169" t="str">
        <f>+P!C40</f>
        <v>ml</v>
      </c>
    </row>
    <row r="974" spans="2:7" ht="15" thickBot="1">
      <c r="B974" s="216" t="s">
        <v>896</v>
      </c>
    </row>
    <row r="975" spans="2:7">
      <c r="B975" s="170" t="s">
        <v>897</v>
      </c>
      <c r="C975" s="171" t="s">
        <v>319</v>
      </c>
      <c r="D975" s="171" t="s">
        <v>320</v>
      </c>
      <c r="E975" s="171" t="s">
        <v>898</v>
      </c>
      <c r="F975" s="187" t="s">
        <v>899</v>
      </c>
      <c r="G975" s="139"/>
    </row>
    <row r="976" spans="2:7">
      <c r="B976" s="217" t="s">
        <v>992</v>
      </c>
      <c r="C976" s="208" t="s">
        <v>1004</v>
      </c>
      <c r="D976" s="209">
        <v>3.3329999999999999E-2</v>
      </c>
      <c r="E976" s="210">
        <f>+MATERIALES!$D$51</f>
        <v>112000</v>
      </c>
      <c r="F976" s="213">
        <f>+ROUND((D976*E976),0)</f>
        <v>3733</v>
      </c>
      <c r="G976" s="147"/>
    </row>
    <row r="977" spans="2:7">
      <c r="B977" s="217" t="s">
        <v>1227</v>
      </c>
      <c r="C977" s="208" t="s">
        <v>1004</v>
      </c>
      <c r="D977" s="209">
        <v>3.6319999999999998E-2</v>
      </c>
      <c r="E977" s="210">
        <f>+MATERIALES!$D$52</f>
        <v>52100</v>
      </c>
      <c r="F977" s="213">
        <f>+ROUND((D977*E977),0)</f>
        <v>1892</v>
      </c>
      <c r="G977" s="147"/>
    </row>
    <row r="978" spans="2:7">
      <c r="B978" s="217" t="s">
        <v>988</v>
      </c>
      <c r="C978" s="208" t="s">
        <v>69</v>
      </c>
      <c r="D978" s="209">
        <v>0.02</v>
      </c>
      <c r="E978" s="210">
        <f>+MATERIALES!$D$47</f>
        <v>19900</v>
      </c>
      <c r="F978" s="213">
        <f>+ROUND((D978*E978),0)</f>
        <v>398</v>
      </c>
      <c r="G978" s="147"/>
    </row>
    <row r="979" spans="2:7" ht="15" thickBot="1">
      <c r="B979" s="218" t="s">
        <v>1226</v>
      </c>
      <c r="C979" s="202" t="s">
        <v>23</v>
      </c>
      <c r="D979" s="203">
        <v>0.01</v>
      </c>
      <c r="E979" s="204">
        <f>+MATERIALES!$D$53</f>
        <v>1450</v>
      </c>
      <c r="F979" s="205">
        <f>+ROUND((D979*E979),0)</f>
        <v>15</v>
      </c>
      <c r="G979" s="142"/>
    </row>
    <row r="980" spans="2:7" ht="15" thickBot="1">
      <c r="B980" s="212"/>
      <c r="C980" s="184">
        <f>+G980/$G$994</f>
        <v>0.3179735636421086</v>
      </c>
      <c r="D980" s="190"/>
      <c r="F980" s="212" t="s">
        <v>900</v>
      </c>
      <c r="G980" s="148">
        <f>+SUM(F976:F979)</f>
        <v>6038</v>
      </c>
    </row>
    <row r="981" spans="2:7" ht="15" thickBot="1">
      <c r="B981" s="216" t="s">
        <v>901</v>
      </c>
    </row>
    <row r="982" spans="2:7">
      <c r="B982" s="170" t="s">
        <v>897</v>
      </c>
      <c r="C982" s="171" t="s">
        <v>319</v>
      </c>
      <c r="D982" s="171" t="s">
        <v>320</v>
      </c>
      <c r="E982" s="171" t="s">
        <v>898</v>
      </c>
      <c r="F982" s="187" t="s">
        <v>899</v>
      </c>
      <c r="G982" s="139"/>
    </row>
    <row r="983" spans="2:7" ht="15" thickBot="1">
      <c r="B983" s="218" t="s">
        <v>1228</v>
      </c>
      <c r="C983" s="202" t="s">
        <v>916</v>
      </c>
      <c r="D983" s="203">
        <f>0.0333333333333333+0.00485170383297345</f>
        <v>3.8185037166306751E-2</v>
      </c>
      <c r="E983" s="204">
        <f>+'FP OPERATIVO'!$F$36</f>
        <v>302186.41694755561</v>
      </c>
      <c r="F983" s="205">
        <f>+ROUND((D983*E983),0)</f>
        <v>11539</v>
      </c>
      <c r="G983" s="142"/>
    </row>
    <row r="984" spans="2:7" ht="15" thickBot="1">
      <c r="B984" s="212"/>
      <c r="C984" s="184">
        <f>+G984/$G$994</f>
        <v>0.6076675970298594</v>
      </c>
      <c r="D984" s="190"/>
      <c r="F984" s="212" t="s">
        <v>900</v>
      </c>
      <c r="G984" s="149">
        <f>+SUM(F983)</f>
        <v>11539</v>
      </c>
    </row>
    <row r="985" spans="2:7" ht="15" thickBot="1">
      <c r="B985" s="216" t="s">
        <v>917</v>
      </c>
    </row>
    <row r="986" spans="2:7">
      <c r="B986" s="170" t="s">
        <v>897</v>
      </c>
      <c r="C986" s="171" t="s">
        <v>319</v>
      </c>
      <c r="D986" s="171" t="s">
        <v>320</v>
      </c>
      <c r="E986" s="171" t="s">
        <v>898</v>
      </c>
      <c r="F986" s="187" t="s">
        <v>899</v>
      </c>
      <c r="G986" s="139"/>
    </row>
    <row r="987" spans="2:7" ht="15" thickBot="1">
      <c r="B987" s="218" t="s">
        <v>905</v>
      </c>
      <c r="C987" s="202" t="s">
        <v>906</v>
      </c>
      <c r="D987" s="203">
        <v>0.05</v>
      </c>
      <c r="E987" s="204">
        <f>+$G$984</f>
        <v>11539</v>
      </c>
      <c r="F987" s="205">
        <f>+ROUND((D987*E987),0)</f>
        <v>577</v>
      </c>
      <c r="G987" s="142"/>
    </row>
    <row r="988" spans="2:7" ht="15" thickBot="1">
      <c r="B988" s="212"/>
      <c r="C988" s="184">
        <f>+G988/$G$994</f>
        <v>3.0386012954868608E-2</v>
      </c>
      <c r="D988" s="190"/>
      <c r="F988" s="212" t="s">
        <v>900</v>
      </c>
      <c r="G988" s="149">
        <f>+SUM(F987)</f>
        <v>577</v>
      </c>
    </row>
    <row r="989" spans="2:7" ht="15" thickBot="1">
      <c r="B989" s="216" t="s">
        <v>1182</v>
      </c>
    </row>
    <row r="990" spans="2:7">
      <c r="B990" s="170" t="s">
        <v>897</v>
      </c>
      <c r="C990" s="171" t="s">
        <v>319</v>
      </c>
      <c r="D990" s="171" t="s">
        <v>320</v>
      </c>
      <c r="E990" s="171" t="s">
        <v>898</v>
      </c>
      <c r="F990" s="187" t="s">
        <v>899</v>
      </c>
      <c r="G990" s="139"/>
    </row>
    <row r="991" spans="2:7" ht="15" thickBot="1">
      <c r="B991" s="218" t="s">
        <v>1218</v>
      </c>
      <c r="C991" s="202" t="s">
        <v>23</v>
      </c>
      <c r="D991" s="203">
        <v>1.8550999999999999E-3</v>
      </c>
      <c r="E991" s="204">
        <f>+EQUIPOS!$C$53</f>
        <v>450000</v>
      </c>
      <c r="F991" s="205">
        <f>+ROUND((D991*E991),0)</f>
        <v>835</v>
      </c>
      <c r="G991" s="147"/>
    </row>
    <row r="992" spans="2:7" ht="15" thickBot="1">
      <c r="B992" s="212"/>
      <c r="C992" s="221">
        <f>+G992/$G$1110</f>
        <v>1.1193629685237814E-3</v>
      </c>
      <c r="D992" s="190"/>
      <c r="F992" s="212" t="s">
        <v>900</v>
      </c>
      <c r="G992" s="148">
        <f>+SUM(F991)</f>
        <v>835</v>
      </c>
    </row>
    <row r="993" spans="2:11" ht="15" thickBot="1"/>
    <row r="994" spans="2:11" ht="15" thickBot="1">
      <c r="E994" s="154" t="s">
        <v>908</v>
      </c>
      <c r="G994" s="153">
        <f>+SUM(G975:G992)</f>
        <v>18989</v>
      </c>
      <c r="I994" s="5"/>
      <c r="K994" s="5"/>
    </row>
    <row r="995" spans="2:11" ht="15" thickBot="1">
      <c r="B995" s="155"/>
      <c r="C995" s="155"/>
    </row>
    <row r="996" spans="2:11" ht="18.5" customHeight="1">
      <c r="B996" s="1721"/>
      <c r="C996" s="1770" t="s">
        <v>1175</v>
      </c>
      <c r="D996" s="1770"/>
      <c r="E996" s="1770"/>
      <c r="F996" s="1770"/>
      <c r="G996" s="1771"/>
    </row>
    <row r="997" spans="2:11" ht="18.5" customHeight="1">
      <c r="B997" s="1722"/>
      <c r="C997" s="1772"/>
      <c r="D997" s="1772"/>
      <c r="E997" s="1772"/>
      <c r="F997" s="1772"/>
      <c r="G997" s="1773"/>
    </row>
    <row r="998" spans="2:11" ht="18.5" customHeight="1">
      <c r="B998" s="1722"/>
      <c r="C998" s="1772"/>
      <c r="D998" s="1772"/>
      <c r="E998" s="1772"/>
      <c r="F998" s="1772"/>
      <c r="G998" s="1773"/>
    </row>
    <row r="999" spans="2:11" ht="18.5" customHeight="1">
      <c r="B999" s="1722"/>
      <c r="C999" s="1772"/>
      <c r="D999" s="1772"/>
      <c r="E999" s="1772"/>
      <c r="F999" s="1772"/>
      <c r="G999" s="1773"/>
    </row>
    <row r="1000" spans="2:11" ht="18.5" customHeight="1" thickBot="1">
      <c r="B1000" s="1723"/>
      <c r="C1000" s="1774"/>
      <c r="D1000" s="1774"/>
      <c r="E1000" s="1774"/>
      <c r="F1000" s="1774"/>
      <c r="G1000" s="1775"/>
    </row>
    <row r="1001" spans="2:11">
      <c r="B1001" s="1724" t="s">
        <v>890</v>
      </c>
      <c r="C1001" s="1726"/>
      <c r="D1001" s="1726"/>
      <c r="E1001" s="1733" t="s">
        <v>891</v>
      </c>
      <c r="F1001" s="1735"/>
      <c r="G1001" s="1736"/>
    </row>
    <row r="1002" spans="2:11">
      <c r="B1002" s="1727"/>
      <c r="C1002" s="1729"/>
      <c r="D1002" s="1729"/>
      <c r="E1002" s="1734"/>
      <c r="F1002" s="1737"/>
      <c r="G1002" s="1738"/>
    </row>
    <row r="1003" spans="2:11">
      <c r="B1003" s="1727"/>
      <c r="C1003" s="1729"/>
      <c r="D1003" s="1729"/>
      <c r="E1003" s="332" t="s">
        <v>892</v>
      </c>
      <c r="F1003" s="1739"/>
      <c r="G1003" s="1740"/>
    </row>
    <row r="1004" spans="2:11">
      <c r="B1004" s="1727"/>
      <c r="C1004" s="1729"/>
      <c r="D1004" s="1729"/>
      <c r="E1004" s="332" t="s">
        <v>893</v>
      </c>
      <c r="F1004" s="1739"/>
      <c r="G1004" s="1740"/>
    </row>
    <row r="1005" spans="2:11">
      <c r="B1005" s="1727"/>
      <c r="C1005" s="1729"/>
      <c r="D1005" s="1729"/>
      <c r="E1005" s="1734" t="s">
        <v>894</v>
      </c>
      <c r="F1005" s="1742"/>
      <c r="G1005" s="1743"/>
    </row>
    <row r="1006" spans="2:11" ht="15" thickBot="1">
      <c r="B1006" s="1730"/>
      <c r="C1006" s="1732"/>
      <c r="D1006" s="1732"/>
      <c r="E1006" s="1741"/>
      <c r="F1006" s="1744"/>
      <c r="G1006" s="1745"/>
    </row>
    <row r="1007" spans="2:11">
      <c r="B1007" s="1755" t="str">
        <f>+PRESUPUESTO!$A$2</f>
        <v>OBJETO: MEJORAMIENTO Y ADECUACIÓN DE LAS VIAS URBANAS DEL MUNICIPIO DE SANTA FE DE ANTIOQUIA</v>
      </c>
      <c r="C1007" s="1757"/>
      <c r="D1007" s="1757"/>
      <c r="E1007" s="1757"/>
      <c r="F1007" s="1757"/>
      <c r="G1007" s="1758"/>
    </row>
    <row r="1008" spans="2:11" ht="15" thickBot="1">
      <c r="B1008" s="1759"/>
      <c r="C1008" s="1761"/>
      <c r="D1008" s="1761"/>
      <c r="E1008" s="1761"/>
      <c r="F1008" s="1761"/>
      <c r="G1008" s="1762"/>
    </row>
    <row r="1009" spans="2:7" ht="15" thickBot="1">
      <c r="B1009" s="167" t="s">
        <v>1</v>
      </c>
      <c r="C1009" s="2059"/>
      <c r="D1009" s="1763"/>
      <c r="E1009" s="1763"/>
      <c r="F1009" s="2060"/>
      <c r="G1009" s="168" t="s">
        <v>193</v>
      </c>
    </row>
    <row r="1010" spans="2:7" ht="72" customHeight="1" thickBot="1">
      <c r="B1010" s="145" t="str">
        <f>+P!A41</f>
        <v>9.4</v>
      </c>
      <c r="C1010" s="2061" t="str">
        <f>+P!B41</f>
        <v>Aplicación de ESMALTE A BASE DE ACEITE PARA PUERTAS  DE 0,8/1 m x 2,1 m , dos manos o las necesarias hasta obtener una superficie pareja y homogénea. Incluye suministro y transporte de los materiales, disolvente para pinturas a base de aceite, adecuación de la superficie a intervenir hasta obtener una superficie pareja y homogénea, color a definir según aprobación de la interventoría.</v>
      </c>
      <c r="D1010" s="1765"/>
      <c r="E1010" s="1765"/>
      <c r="F1010" s="2062"/>
      <c r="G1010" s="169" t="str">
        <f>+P!C41</f>
        <v>un</v>
      </c>
    </row>
    <row r="1011" spans="2:7" ht="15" thickBot="1">
      <c r="B1011" s="216" t="s">
        <v>896</v>
      </c>
    </row>
    <row r="1012" spans="2:7">
      <c r="B1012" s="170" t="s">
        <v>897</v>
      </c>
      <c r="C1012" s="171" t="s">
        <v>319</v>
      </c>
      <c r="D1012" s="171" t="s">
        <v>320</v>
      </c>
      <c r="E1012" s="171" t="s">
        <v>898</v>
      </c>
      <c r="F1012" s="187" t="s">
        <v>899</v>
      </c>
      <c r="G1012" s="139"/>
    </row>
    <row r="1013" spans="2:7">
      <c r="B1013" s="217" t="s">
        <v>992</v>
      </c>
      <c r="C1013" s="208" t="s">
        <v>1004</v>
      </c>
      <c r="D1013" s="209">
        <v>0.35</v>
      </c>
      <c r="E1013" s="210">
        <f>+MATERIALES!$D$51</f>
        <v>112000</v>
      </c>
      <c r="F1013" s="213">
        <f>+ROUND((D1013*E1013),0)</f>
        <v>39200</v>
      </c>
      <c r="G1013" s="147"/>
    </row>
    <row r="1014" spans="2:7">
      <c r="B1014" s="217" t="s">
        <v>1227</v>
      </c>
      <c r="C1014" s="208" t="s">
        <v>1004</v>
      </c>
      <c r="D1014" s="209">
        <v>0.13</v>
      </c>
      <c r="E1014" s="210">
        <f>+MATERIALES!$D$52</f>
        <v>52100</v>
      </c>
      <c r="F1014" s="213">
        <f>+ROUND((D1014*E1014),0)</f>
        <v>6773</v>
      </c>
      <c r="G1014" s="147"/>
    </row>
    <row r="1015" spans="2:7">
      <c r="B1015" s="217" t="s">
        <v>988</v>
      </c>
      <c r="C1015" s="208" t="s">
        <v>69</v>
      </c>
      <c r="D1015" s="209">
        <v>0.1</v>
      </c>
      <c r="E1015" s="210">
        <f>+MATERIALES!$D$47</f>
        <v>19900</v>
      </c>
      <c r="F1015" s="213">
        <f>+ROUND((D1015*E1015),0)</f>
        <v>1990</v>
      </c>
      <c r="G1015" s="147"/>
    </row>
    <row r="1016" spans="2:7" ht="15" thickBot="1">
      <c r="B1016" s="218" t="s">
        <v>1226</v>
      </c>
      <c r="C1016" s="202" t="s">
        <v>23</v>
      </c>
      <c r="D1016" s="203">
        <v>1</v>
      </c>
      <c r="E1016" s="204">
        <f>+MATERIALES!$D$53</f>
        <v>1450</v>
      </c>
      <c r="F1016" s="205">
        <f>+ROUND((D1016*E1016),0)</f>
        <v>1450</v>
      </c>
      <c r="G1016" s="142"/>
    </row>
    <row r="1017" spans="2:7" ht="15" thickBot="1">
      <c r="B1017" s="212"/>
      <c r="C1017" s="184">
        <f>+G1017/$G$994</f>
        <v>2.6021907420085313</v>
      </c>
      <c r="D1017" s="190"/>
      <c r="F1017" s="212" t="s">
        <v>900</v>
      </c>
      <c r="G1017" s="148">
        <f>+SUM(F1013:F1016)</f>
        <v>49413</v>
      </c>
    </row>
    <row r="1018" spans="2:7" ht="15" thickBot="1">
      <c r="B1018" s="216" t="s">
        <v>901</v>
      </c>
    </row>
    <row r="1019" spans="2:7">
      <c r="B1019" s="170" t="s">
        <v>897</v>
      </c>
      <c r="C1019" s="171" t="s">
        <v>319</v>
      </c>
      <c r="D1019" s="171" t="s">
        <v>320</v>
      </c>
      <c r="E1019" s="171" t="s">
        <v>898</v>
      </c>
      <c r="F1019" s="172" t="s">
        <v>899</v>
      </c>
      <c r="G1019" s="139"/>
    </row>
    <row r="1020" spans="2:7" ht="15" thickBot="1">
      <c r="B1020" s="217" t="s">
        <v>1228</v>
      </c>
      <c r="C1020" s="208" t="s">
        <v>916</v>
      </c>
      <c r="D1020" s="209">
        <v>0.1313</v>
      </c>
      <c r="E1020" s="210">
        <f>+'FP OPERATIVO'!$F$36</f>
        <v>302186.41694755561</v>
      </c>
      <c r="F1020" s="206">
        <f>+ROUND((D1020*E1020),0)</f>
        <v>39677</v>
      </c>
      <c r="G1020" s="142"/>
    </row>
    <row r="1021" spans="2:7" ht="15" thickBot="1">
      <c r="B1021" s="212"/>
      <c r="C1021" s="184">
        <f>+G1021/$G$994</f>
        <v>2.0894728527041972</v>
      </c>
      <c r="D1021" s="190"/>
      <c r="F1021" s="212" t="s">
        <v>900</v>
      </c>
      <c r="G1021" s="149">
        <f>+SUM(F1020)</f>
        <v>39677</v>
      </c>
    </row>
    <row r="1022" spans="2:7" ht="15" thickBot="1">
      <c r="B1022" s="216" t="s">
        <v>917</v>
      </c>
    </row>
    <row r="1023" spans="2:7">
      <c r="B1023" s="170" t="s">
        <v>897</v>
      </c>
      <c r="C1023" s="171" t="s">
        <v>319</v>
      </c>
      <c r="D1023" s="171" t="s">
        <v>320</v>
      </c>
      <c r="E1023" s="171" t="s">
        <v>898</v>
      </c>
      <c r="F1023" s="187" t="s">
        <v>899</v>
      </c>
      <c r="G1023" s="139"/>
    </row>
    <row r="1024" spans="2:7" ht="15" thickBot="1">
      <c r="B1024" s="218" t="s">
        <v>905</v>
      </c>
      <c r="C1024" s="202" t="s">
        <v>906</v>
      </c>
      <c r="D1024" s="203">
        <v>0.05</v>
      </c>
      <c r="E1024" s="204">
        <f>+$G$984</f>
        <v>11539</v>
      </c>
      <c r="F1024" s="205">
        <f>+ROUND((D1024*E1024),0)</f>
        <v>577</v>
      </c>
      <c r="G1024" s="142"/>
    </row>
    <row r="1025" spans="2:7" ht="15" thickBot="1">
      <c r="B1025" s="212"/>
      <c r="C1025" s="184">
        <f>+G1025/$G$994</f>
        <v>3.0386012954868608E-2</v>
      </c>
      <c r="D1025" s="190"/>
      <c r="F1025" s="212" t="s">
        <v>900</v>
      </c>
      <c r="G1025" s="149">
        <f>+SUM(F1024)</f>
        <v>577</v>
      </c>
    </row>
    <row r="1026" spans="2:7" ht="15" thickBot="1">
      <c r="B1026" s="216" t="s">
        <v>1182</v>
      </c>
    </row>
    <row r="1027" spans="2:7">
      <c r="B1027" s="170" t="s">
        <v>897</v>
      </c>
      <c r="C1027" s="171" t="s">
        <v>319</v>
      </c>
      <c r="D1027" s="171" t="s">
        <v>320</v>
      </c>
      <c r="E1027" s="171" t="s">
        <v>898</v>
      </c>
      <c r="F1027" s="187" t="s">
        <v>899</v>
      </c>
      <c r="G1027" s="139"/>
    </row>
    <row r="1028" spans="2:7" ht="15" thickBot="1">
      <c r="B1028" s="218" t="s">
        <v>1218</v>
      </c>
      <c r="C1028" s="202" t="s">
        <v>23</v>
      </c>
      <c r="D1028" s="203">
        <v>1.8550999999999999E-3</v>
      </c>
      <c r="E1028" s="204">
        <f>+EQUIPOS!$C$53</f>
        <v>450000</v>
      </c>
      <c r="F1028" s="205">
        <f>+ROUND((D1028*E1028),0)</f>
        <v>835</v>
      </c>
      <c r="G1028" s="147"/>
    </row>
    <row r="1029" spans="2:7" ht="15" thickBot="1">
      <c r="B1029" s="212"/>
      <c r="C1029" s="221">
        <f>+G1029/$G$1110</f>
        <v>1.1193629685237814E-3</v>
      </c>
      <c r="D1029" s="190"/>
      <c r="F1029" s="212" t="s">
        <v>900</v>
      </c>
      <c r="G1029" s="148">
        <f>+SUM(F1028)</f>
        <v>835</v>
      </c>
    </row>
    <row r="1030" spans="2:7" ht="15" thickBot="1"/>
    <row r="1031" spans="2:7" ht="15" thickBot="1">
      <c r="E1031" s="154" t="s">
        <v>908</v>
      </c>
      <c r="G1031" s="153">
        <f>+SUM(G1012:G1029)</f>
        <v>90502</v>
      </c>
    </row>
    <row r="1032" spans="2:7" ht="15" thickBot="1">
      <c r="B1032" s="155"/>
      <c r="C1032" s="155"/>
    </row>
    <row r="1033" spans="2:7" ht="19.25" customHeight="1">
      <c r="B1033" s="1721"/>
      <c r="C1033" s="1770" t="s">
        <v>1175</v>
      </c>
      <c r="D1033" s="1770"/>
      <c r="E1033" s="1770"/>
      <c r="F1033" s="1770"/>
      <c r="G1033" s="1771"/>
    </row>
    <row r="1034" spans="2:7" ht="19.25" customHeight="1">
      <c r="B1034" s="1722"/>
      <c r="C1034" s="1772"/>
      <c r="D1034" s="1772"/>
      <c r="E1034" s="1772"/>
      <c r="F1034" s="1772"/>
      <c r="G1034" s="1773"/>
    </row>
    <row r="1035" spans="2:7" ht="19.25" customHeight="1">
      <c r="B1035" s="1722"/>
      <c r="C1035" s="1772"/>
      <c r="D1035" s="1772"/>
      <c r="E1035" s="1772"/>
      <c r="F1035" s="1772"/>
      <c r="G1035" s="1773"/>
    </row>
    <row r="1036" spans="2:7" ht="19.25" customHeight="1">
      <c r="B1036" s="1722"/>
      <c r="C1036" s="1772"/>
      <c r="D1036" s="1772"/>
      <c r="E1036" s="1772"/>
      <c r="F1036" s="1772"/>
      <c r="G1036" s="1773"/>
    </row>
    <row r="1037" spans="2:7" ht="19.25" customHeight="1" thickBot="1">
      <c r="B1037" s="1723"/>
      <c r="C1037" s="1774"/>
      <c r="D1037" s="1774"/>
      <c r="E1037" s="1774"/>
      <c r="F1037" s="1774"/>
      <c r="G1037" s="1775"/>
    </row>
    <row r="1038" spans="2:7">
      <c r="B1038" s="1724" t="s">
        <v>890</v>
      </c>
      <c r="C1038" s="1726"/>
      <c r="D1038" s="1726"/>
      <c r="E1038" s="1733" t="s">
        <v>891</v>
      </c>
      <c r="F1038" s="1735"/>
      <c r="G1038" s="1736"/>
    </row>
    <row r="1039" spans="2:7">
      <c r="B1039" s="1727"/>
      <c r="C1039" s="1729"/>
      <c r="D1039" s="1729"/>
      <c r="E1039" s="1734"/>
      <c r="F1039" s="1737"/>
      <c r="G1039" s="1738"/>
    </row>
    <row r="1040" spans="2:7">
      <c r="B1040" s="1727"/>
      <c r="C1040" s="1729"/>
      <c r="D1040" s="1729"/>
      <c r="E1040" s="332" t="s">
        <v>892</v>
      </c>
      <c r="F1040" s="1739"/>
      <c r="G1040" s="1740"/>
    </row>
    <row r="1041" spans="2:7">
      <c r="B1041" s="1727"/>
      <c r="C1041" s="1729"/>
      <c r="D1041" s="1729"/>
      <c r="E1041" s="332" t="s">
        <v>893</v>
      </c>
      <c r="F1041" s="1739"/>
      <c r="G1041" s="1740"/>
    </row>
    <row r="1042" spans="2:7">
      <c r="B1042" s="1727"/>
      <c r="C1042" s="1729"/>
      <c r="D1042" s="1729"/>
      <c r="E1042" s="1734" t="s">
        <v>894</v>
      </c>
      <c r="F1042" s="1742"/>
      <c r="G1042" s="1743"/>
    </row>
    <row r="1043" spans="2:7" ht="15" thickBot="1">
      <c r="B1043" s="1730"/>
      <c r="C1043" s="1732"/>
      <c r="D1043" s="1732"/>
      <c r="E1043" s="1741"/>
      <c r="F1043" s="1744"/>
      <c r="G1043" s="1745"/>
    </row>
    <row r="1044" spans="2:7">
      <c r="B1044" s="1755" t="str">
        <f>+PRESUPUESTO!$A$2</f>
        <v>OBJETO: MEJORAMIENTO Y ADECUACIÓN DE LAS VIAS URBANAS DEL MUNICIPIO DE SANTA FE DE ANTIOQUIA</v>
      </c>
      <c r="C1044" s="1757"/>
      <c r="D1044" s="1757"/>
      <c r="E1044" s="1757"/>
      <c r="F1044" s="1757"/>
      <c r="G1044" s="1758"/>
    </row>
    <row r="1045" spans="2:7" ht="15" thickBot="1">
      <c r="B1045" s="1759"/>
      <c r="C1045" s="1761"/>
      <c r="D1045" s="1761"/>
      <c r="E1045" s="1761"/>
      <c r="F1045" s="1761"/>
      <c r="G1045" s="1762"/>
    </row>
    <row r="1046" spans="2:7" ht="15" thickBot="1">
      <c r="B1046" s="167" t="s">
        <v>1</v>
      </c>
      <c r="C1046" s="2059"/>
      <c r="D1046" s="1763"/>
      <c r="E1046" s="1763"/>
      <c r="F1046" s="2060"/>
      <c r="G1046" s="168" t="s">
        <v>193</v>
      </c>
    </row>
    <row r="1047" spans="2:7" ht="78" customHeight="1" thickBot="1">
      <c r="B1047" s="145" t="str">
        <f>+P!A42</f>
        <v>9.5</v>
      </c>
      <c r="C1047" s="2061" t="str">
        <f>+P!B42</f>
        <v>Aplicación de ESMALTE A BASE DE ACEITE, sobre elementos metálicos, dos manos o las necesarias hasta obtener una superficie pareja y homogénea. Incluye suministro y transporte de los materiales, disolvente para pinturas a base de aceite, adecuación de la superficie a intervenir hasta obtener una superficie pareja y homogénea, color a definir según aprobación de la interventoría.</v>
      </c>
      <c r="D1047" s="1765"/>
      <c r="E1047" s="1765"/>
      <c r="F1047" s="2062"/>
      <c r="G1047" s="169" t="str">
        <f>+P!C42</f>
        <v>m2</v>
      </c>
    </row>
    <row r="1048" spans="2:7" ht="15" thickBot="1">
      <c r="B1048" s="216" t="s">
        <v>896</v>
      </c>
    </row>
    <row r="1049" spans="2:7">
      <c r="B1049" s="170" t="s">
        <v>897</v>
      </c>
      <c r="C1049" s="171" t="s">
        <v>319</v>
      </c>
      <c r="D1049" s="171" t="s">
        <v>320</v>
      </c>
      <c r="E1049" s="171" t="s">
        <v>898</v>
      </c>
      <c r="F1049" s="187" t="s">
        <v>899</v>
      </c>
      <c r="G1049" s="139"/>
    </row>
    <row r="1050" spans="2:7">
      <c r="B1050" s="217" t="s">
        <v>992</v>
      </c>
      <c r="C1050" s="208" t="s">
        <v>1004</v>
      </c>
      <c r="D1050" s="209">
        <v>8.0500000000000002E-2</v>
      </c>
      <c r="E1050" s="210">
        <f>+MATERIALES!$D$51</f>
        <v>112000</v>
      </c>
      <c r="F1050" s="213">
        <f>+ROUND((D1050*E1050),0)</f>
        <v>9016</v>
      </c>
      <c r="G1050" s="147"/>
    </row>
    <row r="1051" spans="2:7">
      <c r="B1051" s="217" t="s">
        <v>1227</v>
      </c>
      <c r="C1051" s="208" t="s">
        <v>1004</v>
      </c>
      <c r="D1051" s="209">
        <v>4.632E-2</v>
      </c>
      <c r="E1051" s="210">
        <f>+MATERIALES!$D$52</f>
        <v>52100</v>
      </c>
      <c r="F1051" s="213">
        <f>+ROUND((D1051*E1051),0)</f>
        <v>2413</v>
      </c>
      <c r="G1051" s="147"/>
    </row>
    <row r="1052" spans="2:7">
      <c r="B1052" s="217" t="s">
        <v>988</v>
      </c>
      <c r="C1052" s="208" t="s">
        <v>69</v>
      </c>
      <c r="D1052" s="209">
        <v>0.03</v>
      </c>
      <c r="E1052" s="210">
        <f>+MATERIALES!$D$47</f>
        <v>19900</v>
      </c>
      <c r="F1052" s="213">
        <f>+ROUND((D1052*E1052),0)</f>
        <v>597</v>
      </c>
      <c r="G1052" s="147"/>
    </row>
    <row r="1053" spans="2:7" ht="15" thickBot="1">
      <c r="B1053" s="218" t="s">
        <v>1226</v>
      </c>
      <c r="C1053" s="202" t="s">
        <v>23</v>
      </c>
      <c r="D1053" s="203">
        <v>0.02</v>
      </c>
      <c r="E1053" s="204">
        <f>+MATERIALES!$D$53</f>
        <v>1450</v>
      </c>
      <c r="F1053" s="205">
        <f>+ROUND((D1053*E1053),0)</f>
        <v>29</v>
      </c>
      <c r="G1053" s="142"/>
    </row>
    <row r="1054" spans="2:7" ht="15" thickBot="1">
      <c r="B1054" s="212"/>
      <c r="C1054" s="184">
        <f>+G1054/$G$994</f>
        <v>0.63484122386644903</v>
      </c>
      <c r="D1054" s="190"/>
      <c r="F1054" s="212" t="s">
        <v>900</v>
      </c>
      <c r="G1054" s="148">
        <f>+SUM(F1050:F1053)</f>
        <v>12055</v>
      </c>
    </row>
    <row r="1055" spans="2:7" ht="15" thickBot="1">
      <c r="B1055" s="216" t="s">
        <v>901</v>
      </c>
    </row>
    <row r="1056" spans="2:7">
      <c r="B1056" s="170" t="s">
        <v>897</v>
      </c>
      <c r="C1056" s="171" t="s">
        <v>319</v>
      </c>
      <c r="D1056" s="171" t="s">
        <v>320</v>
      </c>
      <c r="E1056" s="171" t="s">
        <v>898</v>
      </c>
      <c r="F1056" s="172" t="s">
        <v>899</v>
      </c>
      <c r="G1056" s="139"/>
    </row>
    <row r="1057" spans="2:7" ht="15" thickBot="1">
      <c r="B1057" s="217" t="s">
        <v>1228</v>
      </c>
      <c r="C1057" s="208" t="s">
        <v>916</v>
      </c>
      <c r="D1057" s="209">
        <v>8.3333333333333329E-2</v>
      </c>
      <c r="E1057" s="210">
        <f>+'FP OPERATIVO'!$F$36</f>
        <v>302186.41694755561</v>
      </c>
      <c r="F1057" s="206">
        <f>+ROUND((D1057*E1057),0)</f>
        <v>25182</v>
      </c>
      <c r="G1057" s="142"/>
    </row>
    <row r="1058" spans="2:7" ht="15" thickBot="1">
      <c r="B1058" s="212"/>
      <c r="C1058" s="184">
        <f>+G1058/$G$994</f>
        <v>1.326136184106588</v>
      </c>
      <c r="D1058" s="190"/>
      <c r="F1058" s="212" t="s">
        <v>900</v>
      </c>
      <c r="G1058" s="149">
        <f>+SUM(F1057)</f>
        <v>25182</v>
      </c>
    </row>
    <row r="1059" spans="2:7" ht="15" thickBot="1">
      <c r="B1059" s="216" t="s">
        <v>917</v>
      </c>
    </row>
    <row r="1060" spans="2:7">
      <c r="B1060" s="170" t="s">
        <v>897</v>
      </c>
      <c r="C1060" s="171" t="s">
        <v>319</v>
      </c>
      <c r="D1060" s="171" t="s">
        <v>320</v>
      </c>
      <c r="E1060" s="171" t="s">
        <v>898</v>
      </c>
      <c r="F1060" s="187" t="s">
        <v>899</v>
      </c>
      <c r="G1060" s="139"/>
    </row>
    <row r="1061" spans="2:7" ht="15" thickBot="1">
      <c r="B1061" s="218" t="s">
        <v>905</v>
      </c>
      <c r="C1061" s="202" t="s">
        <v>906</v>
      </c>
      <c r="D1061" s="203">
        <v>0.05</v>
      </c>
      <c r="E1061" s="204">
        <f>+$G$984</f>
        <v>11539</v>
      </c>
      <c r="F1061" s="205">
        <f>+ROUND((D1061*E1061),0)</f>
        <v>577</v>
      </c>
      <c r="G1061" s="142"/>
    </row>
    <row r="1062" spans="2:7" ht="15" thickBot="1">
      <c r="B1062" s="212"/>
      <c r="C1062" s="184">
        <f>+G1062/$G$994</f>
        <v>3.0386012954868608E-2</v>
      </c>
      <c r="D1062" s="190"/>
      <c r="F1062" s="212" t="s">
        <v>900</v>
      </c>
      <c r="G1062" s="149">
        <f>+SUM(F1061)</f>
        <v>577</v>
      </c>
    </row>
    <row r="1063" spans="2:7" ht="15" thickBot="1">
      <c r="B1063" s="216" t="s">
        <v>1182</v>
      </c>
    </row>
    <row r="1064" spans="2:7">
      <c r="B1064" s="170" t="s">
        <v>897</v>
      </c>
      <c r="C1064" s="171" t="s">
        <v>319</v>
      </c>
      <c r="D1064" s="171" t="s">
        <v>320</v>
      </c>
      <c r="E1064" s="171" t="s">
        <v>898</v>
      </c>
      <c r="F1064" s="187" t="s">
        <v>899</v>
      </c>
      <c r="G1064" s="139"/>
    </row>
    <row r="1065" spans="2:7" ht="15" thickBot="1">
      <c r="B1065" s="218" t="s">
        <v>1218</v>
      </c>
      <c r="C1065" s="202" t="s">
        <v>23</v>
      </c>
      <c r="D1065" s="203">
        <v>1.8550999999999999E-3</v>
      </c>
      <c r="E1065" s="204">
        <f>+EQUIPOS!$C$53</f>
        <v>450000</v>
      </c>
      <c r="F1065" s="205">
        <f>+ROUND((D1065*E1065),0)</f>
        <v>835</v>
      </c>
      <c r="G1065" s="147"/>
    </row>
    <row r="1066" spans="2:7" ht="15" thickBot="1">
      <c r="B1066" s="212"/>
      <c r="C1066" s="221">
        <f>+G1066/$G$1110</f>
        <v>1.1193629685237814E-3</v>
      </c>
      <c r="D1066" s="190"/>
      <c r="F1066" s="212" t="s">
        <v>900</v>
      </c>
      <c r="G1066" s="148">
        <f>+SUM(F1065)</f>
        <v>835</v>
      </c>
    </row>
    <row r="1067" spans="2:7" ht="15" thickBot="1"/>
    <row r="1068" spans="2:7" ht="15" thickBot="1">
      <c r="E1068" s="154" t="s">
        <v>908</v>
      </c>
      <c r="G1068" s="153">
        <f>+SUM(G1049:G1066)</f>
        <v>38649</v>
      </c>
    </row>
    <row r="1069" spans="2:7" ht="15" thickBot="1">
      <c r="B1069" s="155"/>
      <c r="C1069" s="155"/>
    </row>
    <row r="1070" spans="2:7" ht="15" thickBot="1">
      <c r="B1070" s="2063" t="s">
        <v>1229</v>
      </c>
      <c r="C1070" s="2064"/>
      <c r="D1070" s="2064"/>
      <c r="E1070" s="2064"/>
      <c r="F1070" s="2064"/>
      <c r="G1070" s="2065"/>
    </row>
    <row r="1071" spans="2:7" ht="18.5" customHeight="1">
      <c r="B1071" s="1721"/>
      <c r="C1071" s="1770" t="s">
        <v>1175</v>
      </c>
      <c r="D1071" s="1770"/>
      <c r="E1071" s="1770"/>
      <c r="F1071" s="1770"/>
      <c r="G1071" s="1771"/>
    </row>
    <row r="1072" spans="2:7" ht="18.5" customHeight="1">
      <c r="B1072" s="1722"/>
      <c r="C1072" s="1772"/>
      <c r="D1072" s="1772"/>
      <c r="E1072" s="1772"/>
      <c r="F1072" s="1772"/>
      <c r="G1072" s="1773"/>
    </row>
    <row r="1073" spans="2:7" ht="18.5" customHeight="1">
      <c r="B1073" s="1722"/>
      <c r="C1073" s="1772"/>
      <c r="D1073" s="1772"/>
      <c r="E1073" s="1772"/>
      <c r="F1073" s="1772"/>
      <c r="G1073" s="1773"/>
    </row>
    <row r="1074" spans="2:7" ht="18.5" customHeight="1">
      <c r="B1074" s="1722"/>
      <c r="C1074" s="1772"/>
      <c r="D1074" s="1772"/>
      <c r="E1074" s="1772"/>
      <c r="F1074" s="1772"/>
      <c r="G1074" s="1773"/>
    </row>
    <row r="1075" spans="2:7" ht="18.5" customHeight="1" thickBot="1">
      <c r="B1075" s="1723"/>
      <c r="C1075" s="1774"/>
      <c r="D1075" s="1774"/>
      <c r="E1075" s="1774"/>
      <c r="F1075" s="1774"/>
      <c r="G1075" s="1775"/>
    </row>
    <row r="1076" spans="2:7">
      <c r="B1076" s="1724" t="s">
        <v>890</v>
      </c>
      <c r="C1076" s="1726"/>
      <c r="D1076" s="1726"/>
      <c r="E1076" s="1733" t="s">
        <v>891</v>
      </c>
      <c r="F1076" s="1735"/>
      <c r="G1076" s="1736"/>
    </row>
    <row r="1077" spans="2:7">
      <c r="B1077" s="1727"/>
      <c r="C1077" s="1729"/>
      <c r="D1077" s="1729"/>
      <c r="E1077" s="1734"/>
      <c r="F1077" s="1737"/>
      <c r="G1077" s="1738"/>
    </row>
    <row r="1078" spans="2:7">
      <c r="B1078" s="1727"/>
      <c r="C1078" s="1729"/>
      <c r="D1078" s="1729"/>
      <c r="E1078" s="332" t="s">
        <v>892</v>
      </c>
      <c r="F1078" s="1739"/>
      <c r="G1078" s="1740"/>
    </row>
    <row r="1079" spans="2:7">
      <c r="B1079" s="1727"/>
      <c r="C1079" s="1729"/>
      <c r="D1079" s="1729"/>
      <c r="E1079" s="332" t="s">
        <v>893</v>
      </c>
      <c r="F1079" s="1739"/>
      <c r="G1079" s="1740"/>
    </row>
    <row r="1080" spans="2:7">
      <c r="B1080" s="1727"/>
      <c r="C1080" s="1729"/>
      <c r="D1080" s="1729"/>
      <c r="E1080" s="1734" t="s">
        <v>894</v>
      </c>
      <c r="F1080" s="1742"/>
      <c r="G1080" s="1743"/>
    </row>
    <row r="1081" spans="2:7" ht="15" thickBot="1">
      <c r="B1081" s="1730"/>
      <c r="C1081" s="1732"/>
      <c r="D1081" s="1732"/>
      <c r="E1081" s="1741"/>
      <c r="F1081" s="1744"/>
      <c r="G1081" s="1745"/>
    </row>
    <row r="1082" spans="2:7">
      <c r="B1082" s="1755" t="str">
        <f>+PRESUPUESTO!$A$2</f>
        <v>OBJETO: MEJORAMIENTO Y ADECUACIÓN DE LAS VIAS URBANAS DEL MUNICIPIO DE SANTA FE DE ANTIOQUIA</v>
      </c>
      <c r="C1082" s="1757"/>
      <c r="D1082" s="1757"/>
      <c r="E1082" s="1757"/>
      <c r="F1082" s="1757"/>
      <c r="G1082" s="1758"/>
    </row>
    <row r="1083" spans="2:7" ht="15" thickBot="1">
      <c r="B1083" s="1759"/>
      <c r="C1083" s="1761"/>
      <c r="D1083" s="1761"/>
      <c r="E1083" s="1761"/>
      <c r="F1083" s="1761"/>
      <c r="G1083" s="1762"/>
    </row>
    <row r="1084" spans="2:7" ht="15" thickBot="1">
      <c r="B1084" s="167" t="s">
        <v>1</v>
      </c>
      <c r="C1084" s="2059"/>
      <c r="D1084" s="1763"/>
      <c r="E1084" s="1763"/>
      <c r="F1084" s="2060"/>
      <c r="G1084" s="168" t="s">
        <v>193</v>
      </c>
    </row>
    <row r="1085" spans="2:7" ht="75" customHeight="1" thickBot="1">
      <c r="B1085" s="145" t="str">
        <f>+P!A44</f>
        <v>10.1</v>
      </c>
      <c r="C1085" s="2061" t="str">
        <f>+P!B44</f>
        <v>Instalación de SANITARIO INTEGRAL (línea Acuacer o equivalente) color BLANCO, bajo consumo 6lt, diseño de dos piezas, taza redonda, incluye el suministro y transporte del sanitario, sifón esmaltado, grifería antisifón, anillo abierto, abasto metálico, válvula de regulación metálica con manguera flexible, brida de fijación, tapón roscado y todos los demás elementos necesarios para su correcta instalación y funcionamiento.</v>
      </c>
      <c r="D1085" s="1765"/>
      <c r="E1085" s="1765"/>
      <c r="F1085" s="2062"/>
      <c r="G1085" s="169" t="str">
        <f>+P!C44</f>
        <v>un</v>
      </c>
    </row>
    <row r="1086" spans="2:7" ht="15" thickBot="1">
      <c r="B1086" s="216" t="s">
        <v>896</v>
      </c>
    </row>
    <row r="1087" spans="2:7">
      <c r="B1087" s="170" t="s">
        <v>897</v>
      </c>
      <c r="C1087" s="171" t="s">
        <v>319</v>
      </c>
      <c r="D1087" s="171" t="s">
        <v>320</v>
      </c>
      <c r="E1087" s="171" t="s">
        <v>898</v>
      </c>
      <c r="F1087" s="172" t="s">
        <v>899</v>
      </c>
      <c r="G1087" s="139"/>
    </row>
    <row r="1088" spans="2:7">
      <c r="B1088" s="217" t="s">
        <v>1230</v>
      </c>
      <c r="C1088" s="208" t="s">
        <v>23</v>
      </c>
      <c r="D1088" s="209">
        <v>1</v>
      </c>
      <c r="E1088" s="210">
        <f>+MATERIALES!D54</f>
        <v>552907</v>
      </c>
      <c r="F1088" s="211">
        <f t="shared" ref="F1088:F1095" si="4">+ROUND((D1088*E1088),0)</f>
        <v>552907</v>
      </c>
      <c r="G1088" s="147"/>
    </row>
    <row r="1089" spans="2:11">
      <c r="B1089" s="217" t="s">
        <v>997</v>
      </c>
      <c r="C1089" s="208" t="s">
        <v>23</v>
      </c>
      <c r="D1089" s="209">
        <v>1.4290000000000001E-2</v>
      </c>
      <c r="E1089" s="210">
        <f>+MATERIALES!D55</f>
        <v>75200</v>
      </c>
      <c r="F1089" s="211">
        <f t="shared" si="4"/>
        <v>1075</v>
      </c>
      <c r="G1089" s="147"/>
    </row>
    <row r="1090" spans="2:11" ht="29">
      <c r="B1090" s="217" t="s">
        <v>998</v>
      </c>
      <c r="C1090" s="208" t="s">
        <v>23</v>
      </c>
      <c r="D1090" s="209">
        <v>0.3</v>
      </c>
      <c r="E1090" s="210">
        <f>+MATERIALES!D56</f>
        <v>27500</v>
      </c>
      <c r="F1090" s="211">
        <f t="shared" si="4"/>
        <v>8250</v>
      </c>
      <c r="G1090" s="147"/>
    </row>
    <row r="1091" spans="2:11">
      <c r="B1091" s="217" t="s">
        <v>999</v>
      </c>
      <c r="C1091" s="208" t="s">
        <v>23</v>
      </c>
      <c r="D1091" s="209">
        <v>4</v>
      </c>
      <c r="E1091" s="210">
        <f>+MATERIALES!D57</f>
        <v>980</v>
      </c>
      <c r="F1091" s="211">
        <f t="shared" si="4"/>
        <v>3920</v>
      </c>
      <c r="G1091" s="147"/>
    </row>
    <row r="1092" spans="2:11" ht="29">
      <c r="B1092" s="217" t="s">
        <v>1000</v>
      </c>
      <c r="C1092" s="208" t="s">
        <v>23</v>
      </c>
      <c r="D1092" s="209">
        <v>1</v>
      </c>
      <c r="E1092" s="210">
        <f>+MATERIALES!D58</f>
        <v>38500</v>
      </c>
      <c r="F1092" s="211">
        <f t="shared" si="4"/>
        <v>38500</v>
      </c>
      <c r="G1092" s="147"/>
    </row>
    <row r="1093" spans="2:11">
      <c r="B1093" s="217" t="s">
        <v>1231</v>
      </c>
      <c r="C1093" s="208" t="s">
        <v>23</v>
      </c>
      <c r="D1093" s="209">
        <v>1E-3</v>
      </c>
      <c r="E1093" s="210">
        <f>+MATERIALES!D59</f>
        <v>93000</v>
      </c>
      <c r="F1093" s="211">
        <f t="shared" si="4"/>
        <v>93</v>
      </c>
      <c r="G1093" s="147"/>
    </row>
    <row r="1094" spans="2:11" ht="29">
      <c r="B1094" s="217" t="s">
        <v>1002</v>
      </c>
      <c r="C1094" s="208" t="s">
        <v>23</v>
      </c>
      <c r="D1094" s="209">
        <v>1</v>
      </c>
      <c r="E1094" s="210">
        <f>+MATERIALES!D60</f>
        <v>47900</v>
      </c>
      <c r="F1094" s="211">
        <f t="shared" si="4"/>
        <v>47900</v>
      </c>
      <c r="G1094" s="147"/>
    </row>
    <row r="1095" spans="2:11" ht="15" thickBot="1">
      <c r="B1095" s="218" t="s">
        <v>988</v>
      </c>
      <c r="C1095" s="202" t="s">
        <v>69</v>
      </c>
      <c r="D1095" s="203">
        <v>0.1</v>
      </c>
      <c r="E1095" s="204">
        <f>+MATERIALES!D47</f>
        <v>19900</v>
      </c>
      <c r="F1095" s="206">
        <f t="shared" si="4"/>
        <v>1990</v>
      </c>
      <c r="G1095" s="142"/>
    </row>
    <row r="1096" spans="2:11" ht="15" thickBot="1">
      <c r="B1096" s="212"/>
      <c r="C1096" s="184">
        <f>+G1096/$G$1110</f>
        <v>0.877573864550378</v>
      </c>
      <c r="D1096" s="190"/>
      <c r="F1096" s="212" t="s">
        <v>900</v>
      </c>
      <c r="G1096" s="149">
        <f>+SUM(F1088:F1095)</f>
        <v>654635</v>
      </c>
      <c r="K1096" s="5"/>
    </row>
    <row r="1097" spans="2:11" ht="15" thickBot="1">
      <c r="B1097" s="216" t="s">
        <v>901</v>
      </c>
    </row>
    <row r="1098" spans="2:11">
      <c r="B1098" s="170" t="s">
        <v>897</v>
      </c>
      <c r="C1098" s="171" t="s">
        <v>319</v>
      </c>
      <c r="D1098" s="171" t="s">
        <v>320</v>
      </c>
      <c r="E1098" s="171" t="s">
        <v>898</v>
      </c>
      <c r="F1098" s="187" t="s">
        <v>899</v>
      </c>
      <c r="G1098" s="139"/>
    </row>
    <row r="1099" spans="2:11" ht="15" thickBot="1">
      <c r="B1099" s="218" t="s">
        <v>1232</v>
      </c>
      <c r="C1099" s="202" t="s">
        <v>916</v>
      </c>
      <c r="D1099" s="203">
        <f>0.25+0.010052476755854</f>
        <v>0.26005247675585402</v>
      </c>
      <c r="E1099" s="204">
        <f>+'FP OPERATIVO'!F35</f>
        <v>295642.2840888889</v>
      </c>
      <c r="F1099" s="205">
        <f>+ROUND((D1099*E1099),0)</f>
        <v>76883</v>
      </c>
      <c r="G1099" s="147"/>
    </row>
    <row r="1100" spans="2:11" ht="15" thickBot="1">
      <c r="B1100" s="212"/>
      <c r="C1100" s="184">
        <f>+G1100/$G$1110</f>
        <v>0.10306584803474717</v>
      </c>
      <c r="D1100" s="190"/>
      <c r="F1100" s="212" t="s">
        <v>900</v>
      </c>
      <c r="G1100" s="148">
        <f>+SUM(F1099)</f>
        <v>76883</v>
      </c>
    </row>
    <row r="1101" spans="2:11" ht="15" thickBot="1">
      <c r="B1101" s="216" t="s">
        <v>917</v>
      </c>
    </row>
    <row r="1102" spans="2:11">
      <c r="B1102" s="170" t="s">
        <v>897</v>
      </c>
      <c r="C1102" s="171" t="s">
        <v>319</v>
      </c>
      <c r="D1102" s="171" t="s">
        <v>320</v>
      </c>
      <c r="E1102" s="171" t="s">
        <v>898</v>
      </c>
      <c r="F1102" s="187" t="s">
        <v>899</v>
      </c>
      <c r="G1102" s="139"/>
    </row>
    <row r="1103" spans="2:11" ht="15" thickBot="1">
      <c r="B1103" s="218" t="s">
        <v>905</v>
      </c>
      <c r="C1103" s="202" t="s">
        <v>906</v>
      </c>
      <c r="D1103" s="203">
        <v>0.05</v>
      </c>
      <c r="E1103" s="204">
        <f>+G1100</f>
        <v>76883</v>
      </c>
      <c r="F1103" s="205">
        <f>+ROUND((D1103*E1103),0)</f>
        <v>3844</v>
      </c>
      <c r="G1103" s="147"/>
    </row>
    <row r="1104" spans="2:11" ht="15" thickBot="1">
      <c r="B1104" s="212"/>
      <c r="C1104" s="221">
        <f>+G1104/$G$1110</f>
        <v>5.1530913185693604E-3</v>
      </c>
      <c r="D1104" s="190"/>
      <c r="F1104" s="212" t="s">
        <v>900</v>
      </c>
      <c r="G1104" s="148">
        <f>+SUM(F1103)</f>
        <v>3844</v>
      </c>
    </row>
    <row r="1105" spans="2:11" ht="15" thickBot="1">
      <c r="B1105" s="216" t="s">
        <v>1182</v>
      </c>
    </row>
    <row r="1106" spans="2:11">
      <c r="B1106" s="170" t="s">
        <v>897</v>
      </c>
      <c r="C1106" s="171" t="s">
        <v>319</v>
      </c>
      <c r="D1106" s="171" t="s">
        <v>320</v>
      </c>
      <c r="E1106" s="171" t="s">
        <v>898</v>
      </c>
      <c r="F1106" s="187" t="s">
        <v>899</v>
      </c>
      <c r="G1106" s="139"/>
    </row>
    <row r="1107" spans="2:11" ht="15" thickBot="1">
      <c r="B1107" s="218" t="s">
        <v>1218</v>
      </c>
      <c r="C1107" s="202" t="s">
        <v>23</v>
      </c>
      <c r="D1107" s="203">
        <v>2.3550999999999999E-2</v>
      </c>
      <c r="E1107" s="204">
        <f>+EQUIPOS!$C$53</f>
        <v>450000</v>
      </c>
      <c r="F1107" s="205">
        <f>+ROUND((D1107*E1107),0)</f>
        <v>10598</v>
      </c>
      <c r="G1107" s="147"/>
    </row>
    <row r="1108" spans="2:11" ht="15" thickBot="1">
      <c r="B1108" s="212"/>
      <c r="C1108" s="221">
        <f>+G1108/$G$1110</f>
        <v>1.4207196096305432E-2</v>
      </c>
      <c r="D1108" s="190"/>
      <c r="F1108" s="212" t="s">
        <v>900</v>
      </c>
      <c r="G1108" s="148">
        <f>+SUM(F1107)</f>
        <v>10598</v>
      </c>
    </row>
    <row r="1109" spans="2:11" ht="15" thickBot="1"/>
    <row r="1110" spans="2:11" ht="15" thickBot="1">
      <c r="E1110" s="154" t="s">
        <v>908</v>
      </c>
      <c r="G1110" s="153">
        <f>+SUM(G1087:G1108)</f>
        <v>745960</v>
      </c>
      <c r="I1110" s="5"/>
      <c r="K1110" s="5"/>
    </row>
    <row r="1111" spans="2:11" ht="15" thickBot="1">
      <c r="B1111" s="340"/>
      <c r="C1111" s="201"/>
      <c r="D1111" s="253"/>
      <c r="E1111" s="253"/>
      <c r="F1111" s="253"/>
      <c r="G1111" s="196"/>
    </row>
    <row r="1112" spans="2:11" ht="20" customHeight="1">
      <c r="B1112" s="1721"/>
      <c r="C1112" s="1770" t="s">
        <v>1175</v>
      </c>
      <c r="D1112" s="1770"/>
      <c r="E1112" s="1770"/>
      <c r="F1112" s="1770"/>
      <c r="G1112" s="1771"/>
    </row>
    <row r="1113" spans="2:11" ht="20" customHeight="1">
      <c r="B1113" s="1722"/>
      <c r="C1113" s="1772"/>
      <c r="D1113" s="1772"/>
      <c r="E1113" s="1772"/>
      <c r="F1113" s="1772"/>
      <c r="G1113" s="1773"/>
    </row>
    <row r="1114" spans="2:11" ht="20" customHeight="1">
      <c r="B1114" s="1722"/>
      <c r="C1114" s="1772"/>
      <c r="D1114" s="1772"/>
      <c r="E1114" s="1772"/>
      <c r="F1114" s="1772"/>
      <c r="G1114" s="1773"/>
    </row>
    <row r="1115" spans="2:11" ht="20" customHeight="1">
      <c r="B1115" s="1722"/>
      <c r="C1115" s="1772"/>
      <c r="D1115" s="1772"/>
      <c r="E1115" s="1772"/>
      <c r="F1115" s="1772"/>
      <c r="G1115" s="1773"/>
    </row>
    <row r="1116" spans="2:11" ht="20" customHeight="1" thickBot="1">
      <c r="B1116" s="1723"/>
      <c r="C1116" s="1774"/>
      <c r="D1116" s="1774"/>
      <c r="E1116" s="1774"/>
      <c r="F1116" s="1774"/>
      <c r="G1116" s="1775"/>
    </row>
    <row r="1117" spans="2:11">
      <c r="B1117" s="1724" t="s">
        <v>890</v>
      </c>
      <c r="C1117" s="1726"/>
      <c r="D1117" s="1726"/>
      <c r="E1117" s="1733" t="s">
        <v>891</v>
      </c>
      <c r="F1117" s="1735"/>
      <c r="G1117" s="1736"/>
    </row>
    <row r="1118" spans="2:11">
      <c r="B1118" s="1727"/>
      <c r="C1118" s="1729"/>
      <c r="D1118" s="1729"/>
      <c r="E1118" s="1734"/>
      <c r="F1118" s="1737"/>
      <c r="G1118" s="1738"/>
    </row>
    <row r="1119" spans="2:11">
      <c r="B1119" s="1727"/>
      <c r="C1119" s="1729"/>
      <c r="D1119" s="1729"/>
      <c r="E1119" s="332" t="s">
        <v>892</v>
      </c>
      <c r="F1119" s="1739"/>
      <c r="G1119" s="1740"/>
    </row>
    <row r="1120" spans="2:11">
      <c r="B1120" s="1727"/>
      <c r="C1120" s="1729"/>
      <c r="D1120" s="1729"/>
      <c r="E1120" s="332" t="s">
        <v>893</v>
      </c>
      <c r="F1120" s="1739"/>
      <c r="G1120" s="1740"/>
    </row>
    <row r="1121" spans="2:7">
      <c r="B1121" s="1727"/>
      <c r="C1121" s="1729"/>
      <c r="D1121" s="1729"/>
      <c r="E1121" s="1734" t="s">
        <v>894</v>
      </c>
      <c r="F1121" s="1742"/>
      <c r="G1121" s="1743"/>
    </row>
    <row r="1122" spans="2:7" ht="15" thickBot="1">
      <c r="B1122" s="1730"/>
      <c r="C1122" s="1732"/>
      <c r="D1122" s="1732"/>
      <c r="E1122" s="1741"/>
      <c r="F1122" s="1744"/>
      <c r="G1122" s="1745"/>
    </row>
    <row r="1123" spans="2:7">
      <c r="B1123" s="1755" t="str">
        <f>+PRESUPUESTO!$A$2</f>
        <v>OBJETO: MEJORAMIENTO Y ADECUACIÓN DE LAS VIAS URBANAS DEL MUNICIPIO DE SANTA FE DE ANTIOQUIA</v>
      </c>
      <c r="C1123" s="1757"/>
      <c r="D1123" s="1757"/>
      <c r="E1123" s="1757"/>
      <c r="F1123" s="1757"/>
      <c r="G1123" s="1758"/>
    </row>
    <row r="1124" spans="2:7" ht="15" thickBot="1">
      <c r="B1124" s="1759"/>
      <c r="C1124" s="1761"/>
      <c r="D1124" s="1761"/>
      <c r="E1124" s="1761"/>
      <c r="F1124" s="1761"/>
      <c r="G1124" s="1762"/>
    </row>
    <row r="1125" spans="2:7" ht="15" thickBot="1">
      <c r="B1125" s="167" t="s">
        <v>1</v>
      </c>
      <c r="C1125" s="2059"/>
      <c r="D1125" s="1763"/>
      <c r="E1125" s="1763"/>
      <c r="F1125" s="2060"/>
      <c r="G1125" s="168" t="s">
        <v>193</v>
      </c>
    </row>
    <row r="1126" spans="2:7" ht="47.5" customHeight="1" thickBot="1">
      <c r="B1126" s="145" t="str">
        <f>+P!A45</f>
        <v>10.2</v>
      </c>
      <c r="C1126" s="2061" t="str">
        <f>+P!B45</f>
        <v>Suministro, transporte y colocación de lavamanos de colgar tipo Acuacer o equivalente. Incluye Grifería galaxia, abasto metálico, sifón botella y todos los demás elementos necesarios para su correcta instalación y funcionamiento.</v>
      </c>
      <c r="D1126" s="1765"/>
      <c r="E1126" s="1765"/>
      <c r="F1126" s="2062"/>
      <c r="G1126" s="169" t="str">
        <f>+P!C45</f>
        <v>un</v>
      </c>
    </row>
    <row r="1127" spans="2:7" ht="15" thickBot="1">
      <c r="B1127" s="216" t="s">
        <v>896</v>
      </c>
    </row>
    <row r="1128" spans="2:7">
      <c r="B1128" s="170" t="s">
        <v>897</v>
      </c>
      <c r="C1128" s="171" t="s">
        <v>319</v>
      </c>
      <c r="D1128" s="171" t="s">
        <v>320</v>
      </c>
      <c r="E1128" s="171" t="s">
        <v>898</v>
      </c>
      <c r="F1128" s="172" t="s">
        <v>899</v>
      </c>
      <c r="G1128" s="139"/>
    </row>
    <row r="1129" spans="2:7">
      <c r="B1129" s="222" t="s">
        <v>1006</v>
      </c>
      <c r="C1129" s="208" t="s">
        <v>23</v>
      </c>
      <c r="D1129" s="209">
        <v>1</v>
      </c>
      <c r="E1129" s="210">
        <f>+MATERIALES!D63</f>
        <v>269144.42920000007</v>
      </c>
      <c r="F1129" s="211">
        <f>+ROUND((D1129*E1129),0)</f>
        <v>269144</v>
      </c>
      <c r="G1129" s="147"/>
    </row>
    <row r="1130" spans="2:7">
      <c r="B1130" s="222" t="s">
        <v>1007</v>
      </c>
      <c r="C1130" s="208" t="s">
        <v>23</v>
      </c>
      <c r="D1130" s="209">
        <v>1</v>
      </c>
      <c r="E1130" s="210">
        <f>+MATERIALES!D64</f>
        <v>32900</v>
      </c>
      <c r="F1130" s="211">
        <f>+ROUND((D1130*E1130),0)</f>
        <v>32900</v>
      </c>
      <c r="G1130" s="147"/>
    </row>
    <row r="1131" spans="2:7">
      <c r="B1131" s="222" t="s">
        <v>1008</v>
      </c>
      <c r="C1131" s="208" t="s">
        <v>23</v>
      </c>
      <c r="D1131" s="209">
        <v>1</v>
      </c>
      <c r="E1131" s="210">
        <f>+MATERIALES!D65</f>
        <v>33900</v>
      </c>
      <c r="F1131" s="211">
        <f>+ROUND((D1131*E1131),0)</f>
        <v>33900</v>
      </c>
      <c r="G1131" s="147"/>
    </row>
    <row r="1132" spans="2:7" ht="29.5" thickBot="1">
      <c r="B1132" s="223" t="s">
        <v>1002</v>
      </c>
      <c r="C1132" s="202" t="s">
        <v>23</v>
      </c>
      <c r="D1132" s="203">
        <v>1</v>
      </c>
      <c r="E1132" s="204">
        <f>+MATERIALES!D60</f>
        <v>47900</v>
      </c>
      <c r="F1132" s="206">
        <f>+ROUND((D1132*E1132),0)</f>
        <v>47900</v>
      </c>
      <c r="G1132" s="142"/>
    </row>
    <row r="1133" spans="2:7" ht="15" thickBot="1">
      <c r="B1133" s="212"/>
      <c r="C1133" s="184">
        <f>+G1133/$G$1147</f>
        <v>0.75824332119124194</v>
      </c>
      <c r="D1133" s="190"/>
      <c r="F1133" s="212" t="s">
        <v>900</v>
      </c>
      <c r="G1133" s="149">
        <f>+SUM(F1129:F1132)</f>
        <v>383844</v>
      </c>
    </row>
    <row r="1134" spans="2:7" ht="15" thickBot="1">
      <c r="B1134" s="216" t="s">
        <v>901</v>
      </c>
    </row>
    <row r="1135" spans="2:7">
      <c r="B1135" s="170" t="s">
        <v>897</v>
      </c>
      <c r="C1135" s="171" t="s">
        <v>319</v>
      </c>
      <c r="D1135" s="171" t="s">
        <v>320</v>
      </c>
      <c r="E1135" s="171" t="s">
        <v>898</v>
      </c>
      <c r="F1135" s="172" t="s">
        <v>899</v>
      </c>
      <c r="G1135" s="139"/>
    </row>
    <row r="1136" spans="2:7" ht="15" thickBot="1">
      <c r="B1136" s="218" t="s">
        <v>1233</v>
      </c>
      <c r="C1136" s="202" t="s">
        <v>916</v>
      </c>
      <c r="D1136" s="203">
        <v>0.57027746375583999</v>
      </c>
      <c r="E1136" s="204">
        <f>+'FP OPERATIVO'!F42</f>
        <v>190938.2033777778</v>
      </c>
      <c r="F1136" s="206">
        <f>+ROUND((D1136*E1136),0)</f>
        <v>108888</v>
      </c>
      <c r="G1136" s="142"/>
    </row>
    <row r="1137" spans="2:12" ht="15" thickBot="1">
      <c r="B1137" s="212"/>
      <c r="C1137" s="184">
        <f>+G1137/$G$1147</f>
        <v>0.21509675482193794</v>
      </c>
      <c r="D1137" s="190"/>
      <c r="F1137" s="212" t="s">
        <v>900</v>
      </c>
      <c r="G1137" s="149">
        <f>+SUM(F1136)</f>
        <v>108888</v>
      </c>
      <c r="J1137" s="5"/>
      <c r="K1137" s="302"/>
      <c r="L1137" s="324"/>
    </row>
    <row r="1138" spans="2:12" ht="15" thickBot="1">
      <c r="B1138" s="216" t="s">
        <v>917</v>
      </c>
    </row>
    <row r="1139" spans="2:12">
      <c r="B1139" s="170" t="s">
        <v>897</v>
      </c>
      <c r="C1139" s="171" t="s">
        <v>319</v>
      </c>
      <c r="D1139" s="171" t="s">
        <v>320</v>
      </c>
      <c r="E1139" s="171" t="s">
        <v>898</v>
      </c>
      <c r="F1139" s="172" t="s">
        <v>899</v>
      </c>
      <c r="G1139" s="139"/>
    </row>
    <row r="1140" spans="2:12" ht="15" thickBot="1">
      <c r="B1140" s="218" t="s">
        <v>905</v>
      </c>
      <c r="C1140" s="202" t="s">
        <v>906</v>
      </c>
      <c r="D1140" s="203">
        <v>0.05</v>
      </c>
      <c r="E1140" s="204">
        <f>+G1137</f>
        <v>108888</v>
      </c>
      <c r="F1140" s="206">
        <f>+ROUND((D1140*E1140),0)</f>
        <v>5444</v>
      </c>
      <c r="G1140" s="142"/>
    </row>
    <row r="1141" spans="2:12" ht="15" thickBot="1">
      <c r="B1141" s="212"/>
      <c r="C1141" s="184">
        <f>+G1141/$G$1147</f>
        <v>1.0754047583302385E-2</v>
      </c>
      <c r="D1141" s="190"/>
      <c r="F1141" s="212" t="s">
        <v>900</v>
      </c>
      <c r="G1141" s="149">
        <f>+SUM(F1140)</f>
        <v>5444</v>
      </c>
    </row>
    <row r="1142" spans="2:12" ht="15" thickBot="1">
      <c r="B1142" s="216" t="s">
        <v>1234</v>
      </c>
    </row>
    <row r="1143" spans="2:12">
      <c r="B1143" s="170" t="s">
        <v>897</v>
      </c>
      <c r="C1143" s="171" t="s">
        <v>319</v>
      </c>
      <c r="D1143" s="171" t="s">
        <v>320</v>
      </c>
      <c r="E1143" s="171" t="s">
        <v>898</v>
      </c>
      <c r="F1143" s="172" t="s">
        <v>899</v>
      </c>
      <c r="G1143" s="139"/>
    </row>
    <row r="1144" spans="2:12" ht="15" thickBot="1">
      <c r="B1144" s="218" t="s">
        <v>1218</v>
      </c>
      <c r="C1144" s="202" t="s">
        <v>906</v>
      </c>
      <c r="D1144" s="203">
        <v>1.7894199999999999E-2</v>
      </c>
      <c r="E1144" s="204">
        <f>+EQUIPOS!$C$53</f>
        <v>450000</v>
      </c>
      <c r="F1144" s="206">
        <f>+ROUND((D1144*E1144),0)</f>
        <v>8052</v>
      </c>
      <c r="G1144" s="142"/>
    </row>
    <row r="1145" spans="2:12" ht="15" thickBot="1">
      <c r="B1145" s="212"/>
      <c r="C1145" s="184">
        <f>+G1145/$G$1215</f>
        <v>6.5669552962592335E-3</v>
      </c>
      <c r="D1145" s="190"/>
      <c r="F1145" s="212" t="s">
        <v>900</v>
      </c>
      <c r="G1145" s="149">
        <f>+SUM(F1144)</f>
        <v>8052</v>
      </c>
    </row>
    <row r="1146" spans="2:12" ht="15" thickBot="1">
      <c r="B1146" s="1"/>
    </row>
    <row r="1147" spans="2:12" ht="15" thickBot="1">
      <c r="E1147" s="154" t="s">
        <v>908</v>
      </c>
      <c r="G1147" s="153">
        <f>+SUM(G1128:G1145)</f>
        <v>506228</v>
      </c>
      <c r="I1147" s="134"/>
      <c r="K1147" s="5"/>
      <c r="L1147" s="302"/>
    </row>
    <row r="1148" spans="2:12" ht="15" thickBot="1">
      <c r="B1148" s="155"/>
      <c r="C1148" s="155"/>
    </row>
    <row r="1149" spans="2:12" ht="20.5" customHeight="1">
      <c r="B1149" s="1721"/>
      <c r="C1149" s="1770" t="s">
        <v>1175</v>
      </c>
      <c r="D1149" s="1770"/>
      <c r="E1149" s="1770"/>
      <c r="F1149" s="1770"/>
      <c r="G1149" s="1771"/>
    </row>
    <row r="1150" spans="2:12" ht="20.5" customHeight="1">
      <c r="B1150" s="1722"/>
      <c r="C1150" s="1772"/>
      <c r="D1150" s="1772"/>
      <c r="E1150" s="1772"/>
      <c r="F1150" s="1772"/>
      <c r="G1150" s="1773"/>
    </row>
    <row r="1151" spans="2:12" ht="20.5" customHeight="1">
      <c r="B1151" s="1722"/>
      <c r="C1151" s="1772"/>
      <c r="D1151" s="1772"/>
      <c r="E1151" s="1772"/>
      <c r="F1151" s="1772"/>
      <c r="G1151" s="1773"/>
    </row>
    <row r="1152" spans="2:12" ht="20.5" customHeight="1">
      <c r="B1152" s="1722"/>
      <c r="C1152" s="1772"/>
      <c r="D1152" s="1772"/>
      <c r="E1152" s="1772"/>
      <c r="F1152" s="1772"/>
      <c r="G1152" s="1773"/>
    </row>
    <row r="1153" spans="2:7" ht="20.5" customHeight="1" thickBot="1">
      <c r="B1153" s="1723"/>
      <c r="C1153" s="1774"/>
      <c r="D1153" s="1774"/>
      <c r="E1153" s="1774"/>
      <c r="F1153" s="1774"/>
      <c r="G1153" s="1775"/>
    </row>
    <row r="1154" spans="2:7">
      <c r="B1154" s="1724" t="s">
        <v>890</v>
      </c>
      <c r="C1154" s="1726"/>
      <c r="D1154" s="1726"/>
      <c r="E1154" s="1733" t="s">
        <v>891</v>
      </c>
      <c r="F1154" s="1735"/>
      <c r="G1154" s="1736"/>
    </row>
    <row r="1155" spans="2:7">
      <c r="B1155" s="1727"/>
      <c r="C1155" s="1729"/>
      <c r="D1155" s="1729"/>
      <c r="E1155" s="1734"/>
      <c r="F1155" s="1737"/>
      <c r="G1155" s="1738"/>
    </row>
    <row r="1156" spans="2:7">
      <c r="B1156" s="1727"/>
      <c r="C1156" s="1729"/>
      <c r="D1156" s="1729"/>
      <c r="E1156" s="332" t="s">
        <v>892</v>
      </c>
      <c r="F1156" s="1739"/>
      <c r="G1156" s="1740"/>
    </row>
    <row r="1157" spans="2:7">
      <c r="B1157" s="1727"/>
      <c r="C1157" s="1729"/>
      <c r="D1157" s="1729"/>
      <c r="E1157" s="332" t="s">
        <v>893</v>
      </c>
      <c r="F1157" s="1739"/>
      <c r="G1157" s="1740"/>
    </row>
    <row r="1158" spans="2:7">
      <c r="B1158" s="1727"/>
      <c r="C1158" s="1729"/>
      <c r="D1158" s="1729"/>
      <c r="E1158" s="1734" t="s">
        <v>894</v>
      </c>
      <c r="F1158" s="1742"/>
      <c r="G1158" s="1743"/>
    </row>
    <row r="1159" spans="2:7" ht="15" thickBot="1">
      <c r="B1159" s="1730"/>
      <c r="C1159" s="1732"/>
      <c r="D1159" s="1732"/>
      <c r="E1159" s="1741"/>
      <c r="F1159" s="1744"/>
      <c r="G1159" s="1745"/>
    </row>
    <row r="1160" spans="2:7">
      <c r="B1160" s="1755" t="str">
        <f>+PRESUPUESTO!$A$2</f>
        <v>OBJETO: MEJORAMIENTO Y ADECUACIÓN DE LAS VIAS URBANAS DEL MUNICIPIO DE SANTA FE DE ANTIOQUIA</v>
      </c>
      <c r="C1160" s="1757"/>
      <c r="D1160" s="1757"/>
      <c r="E1160" s="1757"/>
      <c r="F1160" s="1757"/>
      <c r="G1160" s="1758"/>
    </row>
    <row r="1161" spans="2:7" ht="15" thickBot="1">
      <c r="B1161" s="1759"/>
      <c r="C1161" s="1761"/>
      <c r="D1161" s="1761"/>
      <c r="E1161" s="1761"/>
      <c r="F1161" s="1761"/>
      <c r="G1161" s="1762"/>
    </row>
    <row r="1162" spans="2:7" ht="15" thickBot="1">
      <c r="B1162" s="167" t="s">
        <v>1</v>
      </c>
      <c r="C1162" s="2059"/>
      <c r="D1162" s="1763"/>
      <c r="E1162" s="1763"/>
      <c r="F1162" s="2060"/>
      <c r="G1162" s="168" t="s">
        <v>193</v>
      </c>
    </row>
    <row r="1163" spans="2:7" ht="47.5" customHeight="1" thickBot="1">
      <c r="B1163" s="145" t="str">
        <f>+P!A46</f>
        <v>10.3</v>
      </c>
      <c r="C1163" s="2061" t="str">
        <f>+P!B46</f>
        <v>Suministro, transporte y colocación de orinal grande blanco, incluye grifería tipo push, abasto metálico y todos los demás elementos necesarios para su correcta instalación y funcionamiento.</v>
      </c>
      <c r="D1163" s="1765"/>
      <c r="E1163" s="1765"/>
      <c r="F1163" s="2062"/>
      <c r="G1163" s="169" t="str">
        <f>+P!C46</f>
        <v>un</v>
      </c>
    </row>
    <row r="1164" spans="2:7" ht="15" thickBot="1">
      <c r="B1164" s="216" t="s">
        <v>1235</v>
      </c>
    </row>
    <row r="1165" spans="2:7">
      <c r="B1165" s="170" t="s">
        <v>897</v>
      </c>
      <c r="C1165" s="171" t="s">
        <v>319</v>
      </c>
      <c r="D1165" s="171" t="s">
        <v>320</v>
      </c>
      <c r="E1165" s="171" t="s">
        <v>898</v>
      </c>
      <c r="F1165" s="172" t="s">
        <v>899</v>
      </c>
      <c r="G1165" s="139"/>
    </row>
    <row r="1166" spans="2:7">
      <c r="B1166" s="217" t="s">
        <v>1009</v>
      </c>
      <c r="C1166" s="208" t="s">
        <v>23</v>
      </c>
      <c r="D1166" s="209">
        <v>1</v>
      </c>
      <c r="E1166" s="210">
        <f>+MATERIALES!D66</f>
        <v>380000</v>
      </c>
      <c r="F1166" s="211">
        <f>+ROUND((D1166*E1166),0)</f>
        <v>380000</v>
      </c>
      <c r="G1166" s="147"/>
    </row>
    <row r="1167" spans="2:7">
      <c r="B1167" s="217" t="s">
        <v>1010</v>
      </c>
      <c r="C1167" s="208" t="s">
        <v>23</v>
      </c>
      <c r="D1167" s="209">
        <v>1</v>
      </c>
      <c r="E1167" s="210">
        <f>+MATERIALES!D67</f>
        <v>32000</v>
      </c>
      <c r="F1167" s="211">
        <f>+ROUND((D1167*E1167),0)</f>
        <v>32000</v>
      </c>
      <c r="G1167" s="147"/>
    </row>
    <row r="1168" spans="2:7" ht="15" thickBot="1">
      <c r="B1168" s="218" t="s">
        <v>1011</v>
      </c>
      <c r="C1168" s="202" t="s">
        <v>23</v>
      </c>
      <c r="D1168" s="203">
        <v>1</v>
      </c>
      <c r="E1168" s="204">
        <f>+MATERIALES!D68</f>
        <v>100000</v>
      </c>
      <c r="F1168" s="206">
        <f>+ROUND((D1168*E1168),0)</f>
        <v>100000</v>
      </c>
      <c r="G1168" s="142"/>
    </row>
    <row r="1169" spans="2:7" ht="15" thickBot="1">
      <c r="B1169" s="212"/>
      <c r="C1169" s="184">
        <f>+G1169/$G$1179</f>
        <v>0.93188672480038148</v>
      </c>
      <c r="D1169" s="190"/>
      <c r="F1169" s="212" t="s">
        <v>900</v>
      </c>
      <c r="G1169" s="149">
        <f>+SUM(F1166:F1168)</f>
        <v>512000</v>
      </c>
    </row>
    <row r="1170" spans="2:7" ht="15" thickBot="1">
      <c r="B1170" s="216" t="s">
        <v>901</v>
      </c>
    </row>
    <row r="1171" spans="2:7">
      <c r="B1171" s="170" t="s">
        <v>897</v>
      </c>
      <c r="C1171" s="171" t="s">
        <v>319</v>
      </c>
      <c r="D1171" s="171" t="s">
        <v>320</v>
      </c>
      <c r="E1171" s="171" t="s">
        <v>898</v>
      </c>
      <c r="F1171" s="172" t="s">
        <v>899</v>
      </c>
      <c r="G1171" s="139"/>
    </row>
    <row r="1172" spans="2:7" ht="15" thickBot="1">
      <c r="B1172" s="218" t="s">
        <v>1233</v>
      </c>
      <c r="C1172" s="202" t="s">
        <v>916</v>
      </c>
      <c r="D1172" s="203">
        <v>0.4</v>
      </c>
      <c r="E1172" s="204">
        <v>89102</v>
      </c>
      <c r="F1172" s="206">
        <f>+ROUND((D1172*E1172),0)</f>
        <v>35641</v>
      </c>
      <c r="G1172" s="142"/>
    </row>
    <row r="1173" spans="2:7" ht="15" thickBot="1">
      <c r="B1173" s="212"/>
      <c r="C1173" s="184">
        <f>+G1173/$G$1179</f>
        <v>6.4869872575410936E-2</v>
      </c>
      <c r="D1173" s="190"/>
      <c r="F1173" s="212" t="s">
        <v>900</v>
      </c>
      <c r="G1173" s="149">
        <f>+SUM(F1172)</f>
        <v>35641</v>
      </c>
    </row>
    <row r="1174" spans="2:7" ht="15" thickBot="1">
      <c r="B1174" s="216" t="s">
        <v>917</v>
      </c>
    </row>
    <row r="1175" spans="2:7">
      <c r="B1175" s="170" t="s">
        <v>897</v>
      </c>
      <c r="C1175" s="171" t="s">
        <v>319</v>
      </c>
      <c r="D1175" s="171" t="s">
        <v>320</v>
      </c>
      <c r="E1175" s="171" t="s">
        <v>898</v>
      </c>
      <c r="F1175" s="172" t="s">
        <v>899</v>
      </c>
      <c r="G1175" s="139"/>
    </row>
    <row r="1176" spans="2:7" ht="15" thickBot="1">
      <c r="B1176" s="218" t="s">
        <v>905</v>
      </c>
      <c r="C1176" s="202" t="s">
        <v>906</v>
      </c>
      <c r="D1176" s="203">
        <v>0.05</v>
      </c>
      <c r="E1176" s="204">
        <v>35641</v>
      </c>
      <c r="F1176" s="206">
        <f>+ROUND((D1176*E1176),0)</f>
        <v>1782</v>
      </c>
      <c r="G1176" s="142"/>
    </row>
    <row r="1177" spans="2:7" ht="15" thickBot="1">
      <c r="B1177" s="212"/>
      <c r="C1177" s="221">
        <f>+G1177/$G$1179</f>
        <v>3.2434026242075778E-3</v>
      </c>
      <c r="D1177" s="190"/>
      <c r="F1177" s="212" t="s">
        <v>900</v>
      </c>
      <c r="G1177" s="149">
        <f>+SUM(F1176)</f>
        <v>1782</v>
      </c>
    </row>
    <row r="1178" spans="2:7" ht="15" thickBot="1">
      <c r="B1178" s="1"/>
    </row>
    <row r="1179" spans="2:7" ht="15" thickBot="1">
      <c r="E1179" s="154" t="s">
        <v>908</v>
      </c>
      <c r="G1179" s="153">
        <f>+SUM(G1165:G1177)</f>
        <v>549423</v>
      </c>
    </row>
    <row r="1180" spans="2:7" ht="15" thickBot="1">
      <c r="B1180" s="155"/>
      <c r="C1180" s="155"/>
    </row>
    <row r="1181" spans="2:7" ht="15" thickBot="1">
      <c r="B1181" s="2063" t="s">
        <v>1236</v>
      </c>
      <c r="C1181" s="2064"/>
      <c r="D1181" s="2064"/>
      <c r="E1181" s="2064"/>
      <c r="F1181" s="2064"/>
      <c r="G1181" s="2065"/>
    </row>
    <row r="1182" spans="2:7" ht="19.25" customHeight="1">
      <c r="B1182" s="1721"/>
      <c r="C1182" s="1770" t="s">
        <v>1175</v>
      </c>
      <c r="D1182" s="1770"/>
      <c r="E1182" s="1770"/>
      <c r="F1182" s="1770"/>
      <c r="G1182" s="1771"/>
    </row>
    <row r="1183" spans="2:7" ht="19.25" customHeight="1">
      <c r="B1183" s="1722"/>
      <c r="C1183" s="1772"/>
      <c r="D1183" s="1772"/>
      <c r="E1183" s="1772"/>
      <c r="F1183" s="1772"/>
      <c r="G1183" s="1773"/>
    </row>
    <row r="1184" spans="2:7" ht="19.25" customHeight="1">
      <c r="B1184" s="1722"/>
      <c r="C1184" s="1772"/>
      <c r="D1184" s="1772"/>
      <c r="E1184" s="1772"/>
      <c r="F1184" s="1772"/>
      <c r="G1184" s="1773"/>
    </row>
    <row r="1185" spans="2:7" ht="19.25" customHeight="1">
      <c r="B1185" s="1722"/>
      <c r="C1185" s="1772"/>
      <c r="D1185" s="1772"/>
      <c r="E1185" s="1772"/>
      <c r="F1185" s="1772"/>
      <c r="G1185" s="1773"/>
    </row>
    <row r="1186" spans="2:7" ht="19.25" customHeight="1" thickBot="1">
      <c r="B1186" s="1723"/>
      <c r="C1186" s="1774"/>
      <c r="D1186" s="1774"/>
      <c r="E1186" s="1774"/>
      <c r="F1186" s="1774"/>
      <c r="G1186" s="1775"/>
    </row>
    <row r="1187" spans="2:7">
      <c r="B1187" s="1724" t="s">
        <v>890</v>
      </c>
      <c r="C1187" s="1726"/>
      <c r="D1187" s="1726"/>
      <c r="E1187" s="1733" t="s">
        <v>891</v>
      </c>
      <c r="F1187" s="1735"/>
      <c r="G1187" s="1736"/>
    </row>
    <row r="1188" spans="2:7">
      <c r="B1188" s="1727"/>
      <c r="C1188" s="1729"/>
      <c r="D1188" s="1729"/>
      <c r="E1188" s="1734"/>
      <c r="F1188" s="1737"/>
      <c r="G1188" s="1738"/>
    </row>
    <row r="1189" spans="2:7">
      <c r="B1189" s="1727"/>
      <c r="C1189" s="1729"/>
      <c r="D1189" s="1729"/>
      <c r="E1189" s="332" t="s">
        <v>892</v>
      </c>
      <c r="F1189" s="1739"/>
      <c r="G1189" s="1740"/>
    </row>
    <row r="1190" spans="2:7">
      <c r="B1190" s="1727"/>
      <c r="C1190" s="1729"/>
      <c r="D1190" s="1729"/>
      <c r="E1190" s="332" t="s">
        <v>893</v>
      </c>
      <c r="F1190" s="1739"/>
      <c r="G1190" s="1740"/>
    </row>
    <row r="1191" spans="2:7">
      <c r="B1191" s="1727"/>
      <c r="C1191" s="1729"/>
      <c r="D1191" s="1729"/>
      <c r="E1191" s="1734" t="s">
        <v>894</v>
      </c>
      <c r="F1191" s="1742"/>
      <c r="G1191" s="1743"/>
    </row>
    <row r="1192" spans="2:7" ht="15" thickBot="1">
      <c r="B1192" s="1730"/>
      <c r="C1192" s="1732"/>
      <c r="D1192" s="1732"/>
      <c r="E1192" s="1741"/>
      <c r="F1192" s="1744"/>
      <c r="G1192" s="1745"/>
    </row>
    <row r="1193" spans="2:7">
      <c r="B1193" s="1755" t="str">
        <f>+PRESUPUESTO!$A$2</f>
        <v>OBJETO: MEJORAMIENTO Y ADECUACIÓN DE LAS VIAS URBANAS DEL MUNICIPIO DE SANTA FE DE ANTIOQUIA</v>
      </c>
      <c r="C1193" s="1757"/>
      <c r="D1193" s="1757"/>
      <c r="E1193" s="1757"/>
      <c r="F1193" s="1757"/>
      <c r="G1193" s="1758"/>
    </row>
    <row r="1194" spans="2:7" ht="15" thickBot="1">
      <c r="B1194" s="1759"/>
      <c r="C1194" s="1761"/>
      <c r="D1194" s="1761"/>
      <c r="E1194" s="1761"/>
      <c r="F1194" s="1761"/>
      <c r="G1194" s="1762"/>
    </row>
    <row r="1195" spans="2:7" ht="15" thickBot="1">
      <c r="B1195" s="167" t="s">
        <v>1</v>
      </c>
      <c r="C1195" s="2059"/>
      <c r="D1195" s="1763"/>
      <c r="E1195" s="1763"/>
      <c r="F1195" s="2060"/>
      <c r="G1195" s="168" t="s">
        <v>193</v>
      </c>
    </row>
    <row r="1196" spans="2:7" ht="96.5" customHeight="1" thickBot="1">
      <c r="B1196" s="145" t="str">
        <f>+P!A48</f>
        <v>11.1</v>
      </c>
      <c r="C1196" s="2061" t="str">
        <f>+P!B48</f>
        <v>Suministro, transporte y colocación de mesón en acero inoxidable AISI 304 calibre 18 tipo Socoda o equivalente, de  0.60 m de anmcho (recto). Incluye salpicadero, bordes redondeados, parales (pieamigos en platina de 2" x 3/16" asegurados a la pared mediante pernos de expansión de 3/8" x 4" c/u) de soporte donde sea necesario y todos los demás elementos necesarios para su correcta instalación y funcionamiento.</v>
      </c>
      <c r="D1196" s="1765"/>
      <c r="E1196" s="1765"/>
      <c r="F1196" s="2062"/>
      <c r="G1196" s="169" t="str">
        <f>+P!C48</f>
        <v>ml</v>
      </c>
    </row>
    <row r="1197" spans="2:7" ht="15" thickBot="1">
      <c r="B1197" s="216" t="s">
        <v>896</v>
      </c>
    </row>
    <row r="1198" spans="2:7">
      <c r="B1198" s="170" t="s">
        <v>897</v>
      </c>
      <c r="C1198" s="224" t="s">
        <v>319</v>
      </c>
      <c r="D1198" s="171" t="s">
        <v>320</v>
      </c>
      <c r="E1198" s="171" t="s">
        <v>898</v>
      </c>
      <c r="F1198" s="172" t="s">
        <v>899</v>
      </c>
      <c r="G1198" s="139"/>
    </row>
    <row r="1199" spans="2:7">
      <c r="B1199" s="217" t="s">
        <v>1237</v>
      </c>
      <c r="C1199" s="208" t="s">
        <v>14</v>
      </c>
      <c r="D1199" s="209">
        <v>6.3E-2</v>
      </c>
      <c r="E1199" s="210">
        <f>+'CONCRETOS Y MORTERO'!G26</f>
        <v>538996.55000000005</v>
      </c>
      <c r="F1199" s="211">
        <f>+ROUND((D1199*E1199),0)</f>
        <v>33957</v>
      </c>
      <c r="G1199" s="147"/>
    </row>
    <row r="1200" spans="2:7" ht="15" thickBot="1">
      <c r="B1200" s="218" t="s">
        <v>1012</v>
      </c>
      <c r="C1200" s="202" t="s">
        <v>10</v>
      </c>
      <c r="D1200" s="203">
        <v>1.06</v>
      </c>
      <c r="E1200" s="204">
        <f>+MATERIALES!D69</f>
        <v>836490</v>
      </c>
      <c r="F1200" s="206">
        <f>+ROUND((D1200*E1200),0)</f>
        <v>886679</v>
      </c>
      <c r="G1200" s="142"/>
    </row>
    <row r="1201" spans="2:7" ht="15" thickBot="1">
      <c r="B1201" s="212"/>
      <c r="C1201" s="184">
        <f>+G1201/$G$1215</f>
        <v>0.7508414625095523</v>
      </c>
      <c r="D1201" s="190"/>
      <c r="F1201" s="212" t="s">
        <v>900</v>
      </c>
      <c r="G1201" s="149">
        <f>+SUM(F1199:F1200)</f>
        <v>920636</v>
      </c>
    </row>
    <row r="1202" spans="2:7" ht="15" thickBot="1">
      <c r="B1202" s="216" t="s">
        <v>901</v>
      </c>
    </row>
    <row r="1203" spans="2:7">
      <c r="B1203" s="170" t="s">
        <v>897</v>
      </c>
      <c r="C1203" s="171" t="s">
        <v>319</v>
      </c>
      <c r="D1203" s="171" t="s">
        <v>320</v>
      </c>
      <c r="E1203" s="171" t="s">
        <v>898</v>
      </c>
      <c r="F1203" s="172" t="s">
        <v>899</v>
      </c>
      <c r="G1203" s="139"/>
    </row>
    <row r="1204" spans="2:7" ht="15" thickBot="1">
      <c r="B1204" s="218" t="s">
        <v>915</v>
      </c>
      <c r="C1204" s="202" t="s">
        <v>916</v>
      </c>
      <c r="D1204" s="203">
        <v>0.90909090909090906</v>
      </c>
      <c r="E1204" s="204">
        <f>+'FP OPERATIVO'!F36</f>
        <v>302186.41694755561</v>
      </c>
      <c r="F1204" s="206">
        <f>+ROUND((D1204*E1204),0)</f>
        <v>274715</v>
      </c>
      <c r="G1204" s="142"/>
    </row>
    <row r="1205" spans="2:7" ht="15" thickBot="1">
      <c r="B1205" s="212"/>
      <c r="C1205" s="184">
        <f>+G1205/$G$1215</f>
        <v>0.22404882317583896</v>
      </c>
      <c r="D1205" s="190"/>
      <c r="F1205" s="212" t="s">
        <v>900</v>
      </c>
      <c r="G1205" s="149">
        <f>+SUM(F1204)</f>
        <v>274715</v>
      </c>
    </row>
    <row r="1206" spans="2:7" ht="15" thickBot="1">
      <c r="B1206" s="216" t="s">
        <v>917</v>
      </c>
    </row>
    <row r="1207" spans="2:7">
      <c r="B1207" s="170" t="s">
        <v>897</v>
      </c>
      <c r="C1207" s="171" t="s">
        <v>319</v>
      </c>
      <c r="D1207" s="171" t="s">
        <v>320</v>
      </c>
      <c r="E1207" s="171" t="s">
        <v>898</v>
      </c>
      <c r="F1207" s="172" t="s">
        <v>899</v>
      </c>
      <c r="G1207" s="139"/>
    </row>
    <row r="1208" spans="2:7" ht="15" thickBot="1">
      <c r="B1208" s="218" t="s">
        <v>905</v>
      </c>
      <c r="C1208" s="202" t="s">
        <v>906</v>
      </c>
      <c r="D1208" s="203">
        <v>0.05</v>
      </c>
      <c r="E1208" s="204">
        <f>+G1205</f>
        <v>274715</v>
      </c>
      <c r="F1208" s="206">
        <f>+ROUND((D1208*E1208),0)</f>
        <v>13736</v>
      </c>
      <c r="G1208" s="142"/>
    </row>
    <row r="1209" spans="2:7" ht="15" thickBot="1">
      <c r="B1209" s="212"/>
      <c r="C1209" s="184">
        <f>+G1209/$G$1215</f>
        <v>1.12026450508466E-2</v>
      </c>
      <c r="D1209" s="190"/>
      <c r="F1209" s="212" t="s">
        <v>900</v>
      </c>
      <c r="G1209" s="149">
        <f>+SUM(F1208)</f>
        <v>13736</v>
      </c>
    </row>
    <row r="1210" spans="2:7" ht="15" thickBot="1">
      <c r="B1210" s="216" t="s">
        <v>1234</v>
      </c>
    </row>
    <row r="1211" spans="2:7">
      <c r="B1211" s="170" t="s">
        <v>897</v>
      </c>
      <c r="C1211" s="171" t="s">
        <v>319</v>
      </c>
      <c r="D1211" s="171" t="s">
        <v>320</v>
      </c>
      <c r="E1211" s="171" t="s">
        <v>898</v>
      </c>
      <c r="F1211" s="172" t="s">
        <v>899</v>
      </c>
      <c r="G1211" s="139"/>
    </row>
    <row r="1212" spans="2:7" ht="15" thickBot="1">
      <c r="B1212" s="218" t="s">
        <v>1218</v>
      </c>
      <c r="C1212" s="202" t="s">
        <v>906</v>
      </c>
      <c r="D1212" s="203">
        <v>3.7894200000000003E-2</v>
      </c>
      <c r="E1212" s="204">
        <f>+EQUIPOS!$C$53</f>
        <v>450000</v>
      </c>
      <c r="F1212" s="206">
        <f>+ROUND((D1212*E1212),0)</f>
        <v>17052</v>
      </c>
      <c r="G1212" s="142"/>
    </row>
    <row r="1213" spans="2:7" ht="15" thickBot="1">
      <c r="B1213" s="212"/>
      <c r="C1213" s="184">
        <f>+G1213/$G$1215</f>
        <v>1.3907069263762102E-2</v>
      </c>
      <c r="D1213" s="190"/>
      <c r="F1213" s="212" t="s">
        <v>900</v>
      </c>
      <c r="G1213" s="149">
        <f>+SUM(F1212)</f>
        <v>17052</v>
      </c>
    </row>
    <row r="1214" spans="2:7" ht="15" thickBot="1"/>
    <row r="1215" spans="2:7" ht="15" thickBot="1">
      <c r="E1215" s="154" t="s">
        <v>908</v>
      </c>
      <c r="G1215" s="153">
        <f>+SUM(G1198:G1213)</f>
        <v>1226139</v>
      </c>
    </row>
    <row r="1216" spans="2:7" ht="15" thickBot="1">
      <c r="B1216" s="155"/>
      <c r="C1216" s="155"/>
    </row>
    <row r="1217" spans="2:7" ht="15" thickBot="1">
      <c r="B1217" s="2063" t="s">
        <v>1238</v>
      </c>
      <c r="C1217" s="2064"/>
      <c r="D1217" s="2064"/>
      <c r="E1217" s="2064"/>
      <c r="F1217" s="2064"/>
      <c r="G1217" s="2065"/>
    </row>
    <row r="1218" spans="2:7" ht="18.5" customHeight="1">
      <c r="B1218" s="1721"/>
      <c r="C1218" s="1770" t="s">
        <v>1175</v>
      </c>
      <c r="D1218" s="1770"/>
      <c r="E1218" s="1770"/>
      <c r="F1218" s="1770"/>
      <c r="G1218" s="1771"/>
    </row>
    <row r="1219" spans="2:7" ht="18.5" customHeight="1">
      <c r="B1219" s="1722"/>
      <c r="C1219" s="1772"/>
      <c r="D1219" s="1772"/>
      <c r="E1219" s="1772"/>
      <c r="F1219" s="1772"/>
      <c r="G1219" s="1773"/>
    </row>
    <row r="1220" spans="2:7" ht="18.5" customHeight="1">
      <c r="B1220" s="1722"/>
      <c r="C1220" s="1772"/>
      <c r="D1220" s="1772"/>
      <c r="E1220" s="1772"/>
      <c r="F1220" s="1772"/>
      <c r="G1220" s="1773"/>
    </row>
    <row r="1221" spans="2:7" ht="18.5" customHeight="1">
      <c r="B1221" s="1722"/>
      <c r="C1221" s="1772"/>
      <c r="D1221" s="1772"/>
      <c r="E1221" s="1772"/>
      <c r="F1221" s="1772"/>
      <c r="G1221" s="1773"/>
    </row>
    <row r="1222" spans="2:7" ht="18.5" customHeight="1" thickBot="1">
      <c r="B1222" s="1723"/>
      <c r="C1222" s="1774"/>
      <c r="D1222" s="1774"/>
      <c r="E1222" s="1774"/>
      <c r="F1222" s="1774"/>
      <c r="G1222" s="1775"/>
    </row>
    <row r="1223" spans="2:7">
      <c r="B1223" s="1724" t="s">
        <v>890</v>
      </c>
      <c r="C1223" s="1726"/>
      <c r="D1223" s="1726"/>
      <c r="E1223" s="1733" t="s">
        <v>891</v>
      </c>
      <c r="F1223" s="1735"/>
      <c r="G1223" s="1736"/>
    </row>
    <row r="1224" spans="2:7">
      <c r="B1224" s="1727"/>
      <c r="C1224" s="1729"/>
      <c r="D1224" s="1729"/>
      <c r="E1224" s="1734"/>
      <c r="F1224" s="1737"/>
      <c r="G1224" s="1738"/>
    </row>
    <row r="1225" spans="2:7">
      <c r="B1225" s="1727"/>
      <c r="C1225" s="1729"/>
      <c r="D1225" s="1729"/>
      <c r="E1225" s="332" t="s">
        <v>892</v>
      </c>
      <c r="F1225" s="1739"/>
      <c r="G1225" s="1740"/>
    </row>
    <row r="1226" spans="2:7">
      <c r="B1226" s="1727"/>
      <c r="C1226" s="1729"/>
      <c r="D1226" s="1729"/>
      <c r="E1226" s="332" t="s">
        <v>893</v>
      </c>
      <c r="F1226" s="1739"/>
      <c r="G1226" s="1740"/>
    </row>
    <row r="1227" spans="2:7">
      <c r="B1227" s="1727"/>
      <c r="C1227" s="1729"/>
      <c r="D1227" s="1729"/>
      <c r="E1227" s="1734" t="s">
        <v>894</v>
      </c>
      <c r="F1227" s="1742"/>
      <c r="G1227" s="1743"/>
    </row>
    <row r="1228" spans="2:7" ht="15" thickBot="1">
      <c r="B1228" s="1730"/>
      <c r="C1228" s="1732"/>
      <c r="D1228" s="1732"/>
      <c r="E1228" s="1741"/>
      <c r="F1228" s="1744"/>
      <c r="G1228" s="1745"/>
    </row>
    <row r="1229" spans="2:7">
      <c r="B1229" s="1755" t="str">
        <f>+PRESUPUESTO!$A$2</f>
        <v>OBJETO: MEJORAMIENTO Y ADECUACIÓN DE LAS VIAS URBANAS DEL MUNICIPIO DE SANTA FE DE ANTIOQUIA</v>
      </c>
      <c r="C1229" s="1757"/>
      <c r="D1229" s="1757"/>
      <c r="E1229" s="1757"/>
      <c r="F1229" s="1757"/>
      <c r="G1229" s="1758"/>
    </row>
    <row r="1230" spans="2:7" ht="15" thickBot="1">
      <c r="B1230" s="1759"/>
      <c r="C1230" s="1761"/>
      <c r="D1230" s="1761"/>
      <c r="E1230" s="1761"/>
      <c r="F1230" s="1761"/>
      <c r="G1230" s="1762"/>
    </row>
    <row r="1231" spans="2:7" ht="15" thickBot="1">
      <c r="B1231" s="167" t="s">
        <v>1</v>
      </c>
      <c r="C1231" s="2059"/>
      <c r="D1231" s="1763"/>
      <c r="E1231" s="1763"/>
      <c r="F1231" s="2060"/>
      <c r="G1231" s="168" t="s">
        <v>193</v>
      </c>
    </row>
    <row r="1232" spans="2:7" ht="47.5" customHeight="1" thickBot="1">
      <c r="B1232" s="145" t="str">
        <f>+P!A51</f>
        <v>12.1.1</v>
      </c>
      <c r="C1232" s="2061" t="str">
        <f>+P!B51</f>
        <v>Suministro, transporte y colocación de puerta metálica (marco y ala) calibre 20 0.8 hasta 1m x  2.10 m. Incluye chapa de seguridad tipo Yale o equivalente, anticorrosivo y esmalte de acabado y todo los demás elementos requeridos para su correcta fabricación e instalación, según diseño.</v>
      </c>
      <c r="D1232" s="1765"/>
      <c r="E1232" s="1765"/>
      <c r="F1232" s="2062"/>
      <c r="G1232" s="169" t="str">
        <f>+P!C48</f>
        <v>ml</v>
      </c>
    </row>
    <row r="1233" spans="2:7" ht="15" thickBot="1">
      <c r="B1233" s="216" t="s">
        <v>896</v>
      </c>
    </row>
    <row r="1234" spans="2:7">
      <c r="B1234" s="170" t="s">
        <v>897</v>
      </c>
      <c r="C1234" s="171" t="s">
        <v>319</v>
      </c>
      <c r="D1234" s="171" t="s">
        <v>320</v>
      </c>
      <c r="E1234" s="171" t="s">
        <v>898</v>
      </c>
      <c r="F1234" s="172" t="s">
        <v>899</v>
      </c>
      <c r="G1234" s="139"/>
    </row>
    <row r="1235" spans="2:7" ht="29">
      <c r="B1235" s="217" t="s">
        <v>1013</v>
      </c>
      <c r="C1235" s="208" t="s">
        <v>23</v>
      </c>
      <c r="D1235" s="209">
        <v>1</v>
      </c>
      <c r="E1235" s="210">
        <f>+MATERIALES!D70</f>
        <v>479000</v>
      </c>
      <c r="F1235" s="211">
        <f>+ROUND((D1235*E1235),0)</f>
        <v>479000</v>
      </c>
      <c r="G1235" s="147"/>
    </row>
    <row r="1236" spans="2:7" ht="15" thickBot="1">
      <c r="B1236" s="218" t="s">
        <v>992</v>
      </c>
      <c r="C1236" s="202" t="s">
        <v>1004</v>
      </c>
      <c r="D1236" s="203">
        <v>0.17849999999999999</v>
      </c>
      <c r="E1236" s="204">
        <f>+MATERIALES!D51</f>
        <v>112000</v>
      </c>
      <c r="F1236" s="206">
        <f>+ROUND((D1236*E1236),0)</f>
        <v>19992</v>
      </c>
      <c r="G1236" s="142"/>
    </row>
    <row r="1237" spans="2:7" ht="15" thickBot="1">
      <c r="B1237" s="212"/>
      <c r="C1237" s="184">
        <f>+G1237/$G$1251</f>
        <v>0.82913965826934677</v>
      </c>
      <c r="D1237" s="190"/>
      <c r="F1237" s="212" t="s">
        <v>900</v>
      </c>
      <c r="G1237" s="149">
        <f>+SUM(F1235:F1236)</f>
        <v>498992</v>
      </c>
    </row>
    <row r="1238" spans="2:7" ht="15" thickBot="1">
      <c r="B1238" s="216" t="s">
        <v>901</v>
      </c>
    </row>
    <row r="1239" spans="2:7">
      <c r="B1239" s="170" t="s">
        <v>897</v>
      </c>
      <c r="C1239" s="171" t="s">
        <v>319</v>
      </c>
      <c r="D1239" s="171" t="s">
        <v>320</v>
      </c>
      <c r="E1239" s="171" t="s">
        <v>898</v>
      </c>
      <c r="F1239" s="172" t="s">
        <v>899</v>
      </c>
      <c r="G1239" s="139"/>
    </row>
    <row r="1240" spans="2:7" ht="15" thickBot="1">
      <c r="B1240" s="218" t="s">
        <v>1239</v>
      </c>
      <c r="C1240" s="202" t="s">
        <v>916</v>
      </c>
      <c r="D1240" s="203">
        <v>0.33333000000000002</v>
      </c>
      <c r="E1240" s="204">
        <f>+'FP OPERATIVO'!F42</f>
        <v>190938.2033777778</v>
      </c>
      <c r="F1240" s="206">
        <f>+ROUND((D1240*E1240),0)</f>
        <v>63645</v>
      </c>
      <c r="G1240" s="142"/>
    </row>
    <row r="1241" spans="2:7" ht="15" thickBot="1">
      <c r="B1241" s="212"/>
      <c r="C1241" s="184">
        <f>+G1241/$G$1251</f>
        <v>0.10575438794720672</v>
      </c>
      <c r="D1241" s="190"/>
      <c r="F1241" s="212" t="s">
        <v>900</v>
      </c>
      <c r="G1241" s="149">
        <f>+SUM(F1240)</f>
        <v>63645</v>
      </c>
    </row>
    <row r="1242" spans="2:7" ht="15" thickBot="1">
      <c r="B1242" s="216" t="s">
        <v>917</v>
      </c>
    </row>
    <row r="1243" spans="2:7">
      <c r="B1243" s="170" t="s">
        <v>897</v>
      </c>
      <c r="C1243" s="171" t="s">
        <v>319</v>
      </c>
      <c r="D1243" s="171" t="s">
        <v>320</v>
      </c>
      <c r="E1243" s="171" t="s">
        <v>898</v>
      </c>
      <c r="F1243" s="172" t="s">
        <v>899</v>
      </c>
      <c r="G1243" s="139"/>
    </row>
    <row r="1244" spans="2:7" ht="15" thickBot="1">
      <c r="B1244" s="218" t="s">
        <v>905</v>
      </c>
      <c r="C1244" s="202" t="s">
        <v>906</v>
      </c>
      <c r="D1244" s="203">
        <v>0.05</v>
      </c>
      <c r="E1244" s="204">
        <f>+G1241</f>
        <v>63645</v>
      </c>
      <c r="F1244" s="206">
        <f>+ROUND((D1244*E1244),0)</f>
        <v>3182</v>
      </c>
      <c r="G1244" s="142"/>
    </row>
    <row r="1245" spans="2:7" ht="15" thickBot="1">
      <c r="B1245" s="212"/>
      <c r="C1245" s="184">
        <f>+G1245/$G$1251</f>
        <v>5.2873039900701042E-3</v>
      </c>
      <c r="D1245" s="190"/>
      <c r="F1245" s="212" t="s">
        <v>900</v>
      </c>
      <c r="G1245" s="149">
        <f>+SUM(F1244)</f>
        <v>3182</v>
      </c>
    </row>
    <row r="1246" spans="2:7" ht="15" thickBot="1">
      <c r="B1246" s="216" t="s">
        <v>1240</v>
      </c>
    </row>
    <row r="1247" spans="2:7">
      <c r="B1247" s="170" t="s">
        <v>897</v>
      </c>
      <c r="C1247" s="171" t="s">
        <v>319</v>
      </c>
      <c r="D1247" s="171" t="s">
        <v>320</v>
      </c>
      <c r="E1247" s="171" t="s">
        <v>898</v>
      </c>
      <c r="F1247" s="172" t="s">
        <v>899</v>
      </c>
      <c r="G1247" s="139"/>
    </row>
    <row r="1248" spans="2:7" ht="15" thickBot="1">
      <c r="B1248" s="218" t="s">
        <v>1218</v>
      </c>
      <c r="C1248" s="202" t="s">
        <v>23</v>
      </c>
      <c r="D1248" s="203">
        <v>0.08</v>
      </c>
      <c r="E1248" s="204">
        <f>+EQUIPOS!C53</f>
        <v>450000</v>
      </c>
      <c r="F1248" s="206">
        <f>+ROUND((D1248*E1248),0)</f>
        <v>36000</v>
      </c>
      <c r="G1248" s="142"/>
    </row>
    <row r="1249" spans="2:7" ht="15" thickBot="1">
      <c r="B1249" s="212"/>
      <c r="C1249" s="221">
        <f>+G1249/$G$1251</f>
        <v>5.9818649793376415E-2</v>
      </c>
      <c r="D1249" s="190"/>
      <c r="F1249" s="212" t="s">
        <v>900</v>
      </c>
      <c r="G1249" s="149">
        <f>+SUM(F1248)</f>
        <v>36000</v>
      </c>
    </row>
    <row r="1250" spans="2:7" ht="15" thickBot="1"/>
    <row r="1251" spans="2:7" ht="15" thickBot="1">
      <c r="E1251" s="154" t="s">
        <v>908</v>
      </c>
      <c r="G1251" s="153">
        <f>+SUM(G1234:G1249)</f>
        <v>601819</v>
      </c>
    </row>
    <row r="1252" spans="2:7" ht="15" thickBot="1"/>
    <row r="1253" spans="2:7" ht="18.5" customHeight="1">
      <c r="B1253" s="1721"/>
      <c r="C1253" s="1770" t="s">
        <v>1175</v>
      </c>
      <c r="D1253" s="1770"/>
      <c r="E1253" s="1770"/>
      <c r="F1253" s="1770"/>
      <c r="G1253" s="1771"/>
    </row>
    <row r="1254" spans="2:7" ht="18.5" customHeight="1">
      <c r="B1254" s="1722"/>
      <c r="C1254" s="1772"/>
      <c r="D1254" s="1772"/>
      <c r="E1254" s="1772"/>
      <c r="F1254" s="1772"/>
      <c r="G1254" s="1773"/>
    </row>
    <row r="1255" spans="2:7" ht="18.5" customHeight="1">
      <c r="B1255" s="1722"/>
      <c r="C1255" s="1772"/>
      <c r="D1255" s="1772"/>
      <c r="E1255" s="1772"/>
      <c r="F1255" s="1772"/>
      <c r="G1255" s="1773"/>
    </row>
    <row r="1256" spans="2:7" ht="18.5" customHeight="1">
      <c r="B1256" s="1722"/>
      <c r="C1256" s="1772"/>
      <c r="D1256" s="1772"/>
      <c r="E1256" s="1772"/>
      <c r="F1256" s="1772"/>
      <c r="G1256" s="1773"/>
    </row>
    <row r="1257" spans="2:7" ht="18.5" customHeight="1" thickBot="1">
      <c r="B1257" s="1723"/>
      <c r="C1257" s="1774"/>
      <c r="D1257" s="1774"/>
      <c r="E1257" s="1774"/>
      <c r="F1257" s="1774"/>
      <c r="G1257" s="1775"/>
    </row>
    <row r="1258" spans="2:7">
      <c r="B1258" s="1724" t="s">
        <v>890</v>
      </c>
      <c r="C1258" s="1726"/>
      <c r="D1258" s="1726"/>
      <c r="E1258" s="1733" t="s">
        <v>891</v>
      </c>
      <c r="F1258" s="1735"/>
      <c r="G1258" s="1736"/>
    </row>
    <row r="1259" spans="2:7">
      <c r="B1259" s="1727"/>
      <c r="C1259" s="1729"/>
      <c r="D1259" s="1729"/>
      <c r="E1259" s="1734"/>
      <c r="F1259" s="1737"/>
      <c r="G1259" s="1738"/>
    </row>
    <row r="1260" spans="2:7">
      <c r="B1260" s="1727"/>
      <c r="C1260" s="1729"/>
      <c r="D1260" s="1729"/>
      <c r="E1260" s="332" t="s">
        <v>892</v>
      </c>
      <c r="F1260" s="1739"/>
      <c r="G1260" s="1740"/>
    </row>
    <row r="1261" spans="2:7">
      <c r="B1261" s="1727"/>
      <c r="C1261" s="1729"/>
      <c r="D1261" s="1729"/>
      <c r="E1261" s="332" t="s">
        <v>893</v>
      </c>
      <c r="F1261" s="1739"/>
      <c r="G1261" s="1740"/>
    </row>
    <row r="1262" spans="2:7">
      <c r="B1262" s="1727"/>
      <c r="C1262" s="1729"/>
      <c r="D1262" s="1729"/>
      <c r="E1262" s="1734" t="s">
        <v>894</v>
      </c>
      <c r="F1262" s="1742"/>
      <c r="G1262" s="1743"/>
    </row>
    <row r="1263" spans="2:7" ht="15" thickBot="1">
      <c r="B1263" s="1730"/>
      <c r="C1263" s="1732"/>
      <c r="D1263" s="1732"/>
      <c r="E1263" s="1741"/>
      <c r="F1263" s="1744"/>
      <c r="G1263" s="1745"/>
    </row>
    <row r="1264" spans="2:7">
      <c r="B1264" s="1755" t="str">
        <f>+PRESUPUESTO!$A$2</f>
        <v>OBJETO: MEJORAMIENTO Y ADECUACIÓN DE LAS VIAS URBANAS DEL MUNICIPIO DE SANTA FE DE ANTIOQUIA</v>
      </c>
      <c r="C1264" s="1757"/>
      <c r="D1264" s="1757"/>
      <c r="E1264" s="1757"/>
      <c r="F1264" s="1757"/>
      <c r="G1264" s="1758"/>
    </row>
    <row r="1265" spans="2:7" ht="15" thickBot="1">
      <c r="B1265" s="1759"/>
      <c r="C1265" s="1761"/>
      <c r="D1265" s="1761"/>
      <c r="E1265" s="1761"/>
      <c r="F1265" s="1761"/>
      <c r="G1265" s="1762"/>
    </row>
    <row r="1266" spans="2:7" ht="15" thickBot="1">
      <c r="B1266" s="167" t="s">
        <v>1</v>
      </c>
      <c r="C1266" s="2059"/>
      <c r="D1266" s="1763"/>
      <c r="E1266" s="1763"/>
      <c r="F1266" s="2060"/>
      <c r="G1266" s="168" t="s">
        <v>193</v>
      </c>
    </row>
    <row r="1267" spans="2:7" ht="57.5" customHeight="1" thickBot="1">
      <c r="B1267" s="145" t="str">
        <f>+P!A52</f>
        <v>12.1.2</v>
      </c>
      <c r="C1267" s="2061" t="str">
        <f>+P!B52</f>
        <v>Suministro, transporte y colocación de puerta metálica izquierda o derecha(marco y ala) calibre 20 0.6 hasta 0.75 m x 2.10 m. Incluye chapa de seguridad tipo Yale o equivalente, anticorrosivo y esmalte de acabado y todo los demás elementos requeridos para su correcta fabricación e instalación, según diseño.</v>
      </c>
      <c r="D1267" s="1765"/>
      <c r="E1267" s="1765"/>
      <c r="F1267" s="2062"/>
      <c r="G1267" s="169" t="str">
        <f>+P!C52</f>
        <v>un</v>
      </c>
    </row>
    <row r="1268" spans="2:7" ht="15" thickBot="1">
      <c r="B1268" s="216" t="s">
        <v>896</v>
      </c>
    </row>
    <row r="1269" spans="2:7">
      <c r="B1269" s="170" t="s">
        <v>897</v>
      </c>
      <c r="C1269" s="171" t="s">
        <v>319</v>
      </c>
      <c r="D1269" s="171" t="s">
        <v>320</v>
      </c>
      <c r="E1269" s="171" t="s">
        <v>898</v>
      </c>
      <c r="F1269" s="172" t="s">
        <v>899</v>
      </c>
      <c r="G1269" s="139"/>
    </row>
    <row r="1270" spans="2:7" ht="43.5">
      <c r="B1270" s="217" t="s">
        <v>1014</v>
      </c>
      <c r="C1270" s="208" t="s">
        <v>23</v>
      </c>
      <c r="D1270" s="209">
        <v>1</v>
      </c>
      <c r="E1270" s="210">
        <f>+MATERIALES!D71</f>
        <v>565000</v>
      </c>
      <c r="F1270" s="211">
        <f>+ROUND((D1270*E1270),0)</f>
        <v>565000</v>
      </c>
      <c r="G1270" s="147"/>
    </row>
    <row r="1271" spans="2:7" ht="15" thickBot="1">
      <c r="B1271" s="218" t="s">
        <v>992</v>
      </c>
      <c r="C1271" s="202" t="s">
        <v>1004</v>
      </c>
      <c r="D1271" s="203">
        <v>0.62800526845763305</v>
      </c>
      <c r="E1271" s="204">
        <f>+MATERIALES!D51</f>
        <v>112000</v>
      </c>
      <c r="F1271" s="206">
        <f>+ROUND((D1271*E1271),0)</f>
        <v>70337</v>
      </c>
      <c r="G1271" s="142"/>
    </row>
    <row r="1272" spans="2:7" ht="15" thickBot="1">
      <c r="B1272" s="212"/>
      <c r="C1272" s="184">
        <f>+G1272/$G$1251</f>
        <v>1.0556944862159552</v>
      </c>
      <c r="D1272" s="190"/>
      <c r="F1272" s="212" t="s">
        <v>900</v>
      </c>
      <c r="G1272" s="149">
        <f>+SUM(F1270:F1271)</f>
        <v>635337</v>
      </c>
    </row>
    <row r="1273" spans="2:7" ht="15" thickBot="1">
      <c r="B1273" s="216" t="s">
        <v>901</v>
      </c>
    </row>
    <row r="1274" spans="2:7">
      <c r="B1274" s="170" t="s">
        <v>897</v>
      </c>
      <c r="C1274" s="171" t="s">
        <v>319</v>
      </c>
      <c r="D1274" s="171" t="s">
        <v>320</v>
      </c>
      <c r="E1274" s="171" t="s">
        <v>898</v>
      </c>
      <c r="F1274" s="172" t="s">
        <v>899</v>
      </c>
      <c r="G1274" s="139"/>
    </row>
    <row r="1275" spans="2:7" ht="15" thickBot="1">
      <c r="B1275" s="218" t="s">
        <v>1241</v>
      </c>
      <c r="C1275" s="202" t="s">
        <v>916</v>
      </c>
      <c r="D1275" s="203">
        <v>0.68985808330201104</v>
      </c>
      <c r="E1275" s="204">
        <f>+'FP OPERATIVO'!F36</f>
        <v>302186.41694755561</v>
      </c>
      <c r="F1275" s="206">
        <f>+ROUND((D1275*E1275),0)</f>
        <v>208466</v>
      </c>
      <c r="G1275" s="142"/>
    </row>
    <row r="1276" spans="2:7" ht="15" thickBot="1">
      <c r="B1276" s="212"/>
      <c r="C1276" s="184">
        <f>+G1276/$G$1251</f>
        <v>0.34639318466183355</v>
      </c>
      <c r="D1276" s="190"/>
      <c r="F1276" s="212" t="s">
        <v>900</v>
      </c>
      <c r="G1276" s="149">
        <f>+SUM(F1275)</f>
        <v>208466</v>
      </c>
    </row>
    <row r="1277" spans="2:7" ht="15" thickBot="1">
      <c r="B1277" s="216" t="s">
        <v>917</v>
      </c>
    </row>
    <row r="1278" spans="2:7">
      <c r="B1278" s="170" t="s">
        <v>897</v>
      </c>
      <c r="C1278" s="171" t="s">
        <v>319</v>
      </c>
      <c r="D1278" s="171" t="s">
        <v>320</v>
      </c>
      <c r="E1278" s="171" t="s">
        <v>898</v>
      </c>
      <c r="F1278" s="172" t="s">
        <v>899</v>
      </c>
      <c r="G1278" s="139"/>
    </row>
    <row r="1279" spans="2:7" ht="15" thickBot="1">
      <c r="B1279" s="218" t="s">
        <v>905</v>
      </c>
      <c r="C1279" s="202" t="s">
        <v>906</v>
      </c>
      <c r="D1279" s="203">
        <v>0.05</v>
      </c>
      <c r="E1279" s="204">
        <f>+G1276</f>
        <v>208466</v>
      </c>
      <c r="F1279" s="206">
        <f>+ROUND((D1279*E1279),0)</f>
        <v>10423</v>
      </c>
      <c r="G1279" s="142"/>
    </row>
    <row r="1280" spans="2:7" ht="15" thickBot="1">
      <c r="B1280" s="212"/>
      <c r="C1280" s="221">
        <f>+G1280/$G$1251</f>
        <v>1.73191607443434E-2</v>
      </c>
      <c r="D1280" s="190"/>
      <c r="F1280" s="212" t="s">
        <v>900</v>
      </c>
      <c r="G1280" s="149">
        <f>+SUM(F1279)</f>
        <v>10423</v>
      </c>
    </row>
    <row r="1281" spans="2:11" ht="15" thickBot="1">
      <c r="B1281" s="216" t="s">
        <v>1240</v>
      </c>
    </row>
    <row r="1282" spans="2:11">
      <c r="B1282" s="170" t="s">
        <v>897</v>
      </c>
      <c r="C1282" s="171" t="s">
        <v>319</v>
      </c>
      <c r="D1282" s="171" t="s">
        <v>320</v>
      </c>
      <c r="E1282" s="171" t="s">
        <v>898</v>
      </c>
      <c r="F1282" s="172" t="s">
        <v>899</v>
      </c>
      <c r="G1282" s="139"/>
    </row>
    <row r="1283" spans="2:11" ht="15" thickBot="1">
      <c r="B1283" s="218" t="s">
        <v>1218</v>
      </c>
      <c r="C1283" s="202" t="s">
        <v>23</v>
      </c>
      <c r="D1283" s="203">
        <v>0.08</v>
      </c>
      <c r="E1283" s="204">
        <f>+EQUIPOS!C53</f>
        <v>450000</v>
      </c>
      <c r="F1283" s="206">
        <f>+ROUND((D1283*E1283),0)</f>
        <v>36000</v>
      </c>
      <c r="G1283" s="142"/>
    </row>
    <row r="1284" spans="2:11" ht="15" thickBot="1">
      <c r="B1284" s="212"/>
      <c r="C1284" s="221">
        <f>+G1284/$G$1251</f>
        <v>5.9818649793376415E-2</v>
      </c>
      <c r="D1284" s="190"/>
      <c r="F1284" s="212" t="s">
        <v>900</v>
      </c>
      <c r="G1284" s="149">
        <f>+SUM(F1283)</f>
        <v>36000</v>
      </c>
    </row>
    <row r="1285" spans="2:11" ht="15" thickBot="1"/>
    <row r="1286" spans="2:11" ht="15" thickBot="1">
      <c r="E1286" s="154" t="s">
        <v>908</v>
      </c>
      <c r="G1286" s="153">
        <f>+SUM(G1269:G1284)</f>
        <v>890226</v>
      </c>
      <c r="I1286" s="134"/>
      <c r="K1286" s="5"/>
    </row>
    <row r="1287" spans="2:11" ht="15" thickBot="1">
      <c r="B1287" s="155"/>
      <c r="C1287" s="155"/>
    </row>
    <row r="1288" spans="2:11" ht="19.25" customHeight="1">
      <c r="B1288" s="1721"/>
      <c r="C1288" s="1770" t="s">
        <v>1175</v>
      </c>
      <c r="D1288" s="1770"/>
      <c r="E1288" s="1770"/>
      <c r="F1288" s="1770"/>
      <c r="G1288" s="1771"/>
    </row>
    <row r="1289" spans="2:11" ht="19.25" customHeight="1">
      <c r="B1289" s="1722"/>
      <c r="C1289" s="1772"/>
      <c r="D1289" s="1772"/>
      <c r="E1289" s="1772"/>
      <c r="F1289" s="1772"/>
      <c r="G1289" s="1773"/>
    </row>
    <row r="1290" spans="2:11" ht="19.25" customHeight="1">
      <c r="B1290" s="1722"/>
      <c r="C1290" s="1772"/>
      <c r="D1290" s="1772"/>
      <c r="E1290" s="1772"/>
      <c r="F1290" s="1772"/>
      <c r="G1290" s="1773"/>
    </row>
    <row r="1291" spans="2:11" ht="19.25" customHeight="1">
      <c r="B1291" s="1722"/>
      <c r="C1291" s="1772"/>
      <c r="D1291" s="1772"/>
      <c r="E1291" s="1772"/>
      <c r="F1291" s="1772"/>
      <c r="G1291" s="1773"/>
    </row>
    <row r="1292" spans="2:11" ht="19.25" customHeight="1" thickBot="1">
      <c r="B1292" s="1723"/>
      <c r="C1292" s="1774"/>
      <c r="D1292" s="1774"/>
      <c r="E1292" s="1774"/>
      <c r="F1292" s="1774"/>
      <c r="G1292" s="1775"/>
    </row>
    <row r="1293" spans="2:11">
      <c r="B1293" s="1724" t="s">
        <v>890</v>
      </c>
      <c r="C1293" s="1726"/>
      <c r="D1293" s="1726"/>
      <c r="E1293" s="1733" t="s">
        <v>891</v>
      </c>
      <c r="F1293" s="1735"/>
      <c r="G1293" s="1736"/>
    </row>
    <row r="1294" spans="2:11">
      <c r="B1294" s="1727"/>
      <c r="C1294" s="1729"/>
      <c r="D1294" s="1729"/>
      <c r="E1294" s="1734"/>
      <c r="F1294" s="1737"/>
      <c r="G1294" s="1738"/>
    </row>
    <row r="1295" spans="2:11">
      <c r="B1295" s="1727"/>
      <c r="C1295" s="1729"/>
      <c r="D1295" s="1729"/>
      <c r="E1295" s="332" t="s">
        <v>892</v>
      </c>
      <c r="F1295" s="1739"/>
      <c r="G1295" s="1740"/>
    </row>
    <row r="1296" spans="2:11">
      <c r="B1296" s="1727"/>
      <c r="C1296" s="1729"/>
      <c r="D1296" s="1729"/>
      <c r="E1296" s="332" t="s">
        <v>893</v>
      </c>
      <c r="F1296" s="1739"/>
      <c r="G1296" s="1740"/>
    </row>
    <row r="1297" spans="2:7">
      <c r="B1297" s="1727"/>
      <c r="C1297" s="1729"/>
      <c r="D1297" s="1729"/>
      <c r="E1297" s="1734" t="s">
        <v>894</v>
      </c>
      <c r="F1297" s="1742"/>
      <c r="G1297" s="1743"/>
    </row>
    <row r="1298" spans="2:7" ht="15" thickBot="1">
      <c r="B1298" s="1730"/>
      <c r="C1298" s="1732"/>
      <c r="D1298" s="1732"/>
      <c r="E1298" s="1741"/>
      <c r="F1298" s="1744"/>
      <c r="G1298" s="1745"/>
    </row>
    <row r="1299" spans="2:7">
      <c r="B1299" s="1755" t="str">
        <f>+PRESUPUESTO!$A$2</f>
        <v>OBJETO: MEJORAMIENTO Y ADECUACIÓN DE LAS VIAS URBANAS DEL MUNICIPIO DE SANTA FE DE ANTIOQUIA</v>
      </c>
      <c r="C1299" s="1757"/>
      <c r="D1299" s="1757"/>
      <c r="E1299" s="1757"/>
      <c r="F1299" s="1757"/>
      <c r="G1299" s="1758"/>
    </row>
    <row r="1300" spans="2:7" ht="15" thickBot="1">
      <c r="B1300" s="1759"/>
      <c r="C1300" s="1761"/>
      <c r="D1300" s="1761"/>
      <c r="E1300" s="1761"/>
      <c r="F1300" s="1761"/>
      <c r="G1300" s="1762"/>
    </row>
    <row r="1301" spans="2:7" ht="15" thickBot="1">
      <c r="B1301" s="167" t="s">
        <v>1</v>
      </c>
      <c r="C1301" s="2059"/>
      <c r="D1301" s="1763"/>
      <c r="E1301" s="1763"/>
      <c r="F1301" s="2060"/>
      <c r="G1301" s="168" t="s">
        <v>193</v>
      </c>
    </row>
    <row r="1302" spans="2:7" ht="93" customHeight="1" thickBot="1">
      <c r="B1302" s="145" t="str">
        <f>+P!A54</f>
        <v>12.2.1</v>
      </c>
      <c r="C1302" s="2061" t="str">
        <f>+P!B54</f>
        <v>Suministro, transporte y colocación de ventana proyectante en aluminio anodizado color natural, cristal templado de 4mm., color claro, de 2.20 x 0.50 m., la ventana se divide en tres cuerpos proyectantes, incluye silicona antihongos en todo el perímetro de los vidrios, empaques, pisavidrios a presión, cerradura de seguridad, tiraderas y todos los elementos necesarios para su correcta instalación y funcionamiento, según diseño y previa aprobación de interventoría.</v>
      </c>
      <c r="D1302" s="1765"/>
      <c r="E1302" s="1765"/>
      <c r="F1302" s="2062"/>
      <c r="G1302" s="169" t="str">
        <f>+P!C54</f>
        <v>un</v>
      </c>
    </row>
    <row r="1303" spans="2:7" ht="15" thickBot="1">
      <c r="B1303" s="216" t="s">
        <v>896</v>
      </c>
    </row>
    <row r="1304" spans="2:7">
      <c r="B1304" s="170" t="s">
        <v>897</v>
      </c>
      <c r="C1304" s="171" t="s">
        <v>319</v>
      </c>
      <c r="D1304" s="171" t="s">
        <v>320</v>
      </c>
      <c r="E1304" s="171" t="s">
        <v>898</v>
      </c>
      <c r="F1304" s="172" t="s">
        <v>899</v>
      </c>
      <c r="G1304" s="139"/>
    </row>
    <row r="1305" spans="2:7">
      <c r="B1305" s="217" t="s">
        <v>1070</v>
      </c>
      <c r="C1305" s="208" t="s">
        <v>23</v>
      </c>
      <c r="D1305" s="209">
        <v>1.018</v>
      </c>
      <c r="E1305" s="210">
        <f>+MATERIALES!D126</f>
        <v>391500</v>
      </c>
      <c r="F1305" s="211">
        <f>+ROUND((D1305*E1305),0)</f>
        <v>398547</v>
      </c>
      <c r="G1305" s="147"/>
    </row>
    <row r="1306" spans="2:7" ht="29">
      <c r="B1306" s="217" t="s">
        <v>998</v>
      </c>
      <c r="C1306" s="208" t="s">
        <v>23</v>
      </c>
      <c r="D1306" s="209">
        <v>3.4649999999999999</v>
      </c>
      <c r="E1306" s="210">
        <f>+MATERIALES!D127</f>
        <v>32500</v>
      </c>
      <c r="F1306" s="211">
        <f>+ROUND((D1306*E1306),0)</f>
        <v>112613</v>
      </c>
      <c r="G1306" s="147"/>
    </row>
    <row r="1307" spans="2:7" ht="15" thickBot="1">
      <c r="B1307" s="218" t="s">
        <v>1071</v>
      </c>
      <c r="C1307" s="202" t="s">
        <v>34</v>
      </c>
      <c r="D1307" s="203">
        <v>1.21</v>
      </c>
      <c r="E1307" s="204">
        <f>+MATERIALES!D128</f>
        <v>115317.00000000001</v>
      </c>
      <c r="F1307" s="206">
        <f>+ROUND((D1307*E1307),0)</f>
        <v>139534</v>
      </c>
      <c r="G1307" s="142"/>
    </row>
    <row r="1308" spans="2:7" ht="15" thickBot="1">
      <c r="B1308" s="212"/>
      <c r="C1308" s="184">
        <f>+G1308/$G$1322</f>
        <v>0.7682410223473185</v>
      </c>
      <c r="D1308" s="190"/>
      <c r="F1308" s="212" t="s">
        <v>900</v>
      </c>
      <c r="G1308" s="149">
        <f>+SUM(F1305:F1307)</f>
        <v>650694</v>
      </c>
    </row>
    <row r="1309" spans="2:7" ht="15" thickBot="1">
      <c r="B1309" s="216" t="s">
        <v>901</v>
      </c>
    </row>
    <row r="1310" spans="2:7">
      <c r="B1310" s="170" t="s">
        <v>897</v>
      </c>
      <c r="C1310" s="171" t="s">
        <v>319</v>
      </c>
      <c r="D1310" s="171" t="s">
        <v>320</v>
      </c>
      <c r="E1310" s="171" t="s">
        <v>898</v>
      </c>
      <c r="F1310" s="172" t="s">
        <v>899</v>
      </c>
      <c r="G1310" s="139"/>
    </row>
    <row r="1311" spans="2:7" ht="15" thickBot="1">
      <c r="B1311" s="218" t="s">
        <v>1232</v>
      </c>
      <c r="C1311" s="202" t="s">
        <v>916</v>
      </c>
      <c r="D1311" s="203">
        <v>0.2</v>
      </c>
      <c r="E1311" s="204">
        <f>+'FP OPERATIVO'!F36</f>
        <v>302186.41694755561</v>
      </c>
      <c r="F1311" s="206">
        <f>+ROUND((D1311*E1311),0)</f>
        <v>60437</v>
      </c>
      <c r="G1311" s="142"/>
    </row>
    <row r="1312" spans="2:7" ht="15" thickBot="1">
      <c r="B1312" s="212"/>
      <c r="C1312" s="184">
        <f>+G1312/$G$1322</f>
        <v>7.1354865217144903E-2</v>
      </c>
      <c r="D1312" s="190"/>
      <c r="F1312" s="212" t="s">
        <v>900</v>
      </c>
      <c r="G1312" s="149">
        <f>+F1311</f>
        <v>60437</v>
      </c>
    </row>
    <row r="1313" spans="2:7" ht="15" thickBot="1">
      <c r="B1313" s="216" t="s">
        <v>917</v>
      </c>
    </row>
    <row r="1314" spans="2:7">
      <c r="B1314" s="170" t="s">
        <v>897</v>
      </c>
      <c r="C1314" s="171" t="s">
        <v>319</v>
      </c>
      <c r="D1314" s="171" t="s">
        <v>320</v>
      </c>
      <c r="E1314" s="171" t="s">
        <v>898</v>
      </c>
      <c r="F1314" s="172" t="s">
        <v>899</v>
      </c>
      <c r="G1314" s="139"/>
    </row>
    <row r="1315" spans="2:7" ht="15" thickBot="1">
      <c r="B1315" s="218" t="s">
        <v>905</v>
      </c>
      <c r="C1315" s="202" t="s">
        <v>906</v>
      </c>
      <c r="D1315" s="203">
        <v>0.05</v>
      </c>
      <c r="E1315" s="204">
        <f>+G1312</f>
        <v>60437</v>
      </c>
      <c r="F1315" s="206">
        <f>+ROUND((D1315*E1315),0)</f>
        <v>3022</v>
      </c>
      <c r="G1315" s="142"/>
    </row>
    <row r="1316" spans="2:7" ht="15" thickBot="1">
      <c r="B1316" s="212"/>
      <c r="C1316" s="221">
        <f>+G1316/$G$1322</f>
        <v>3.5679203581615881E-3</v>
      </c>
      <c r="D1316" s="190"/>
      <c r="F1316" s="212" t="s">
        <v>900</v>
      </c>
      <c r="G1316" s="149">
        <f>+SUM(F1315)</f>
        <v>3022</v>
      </c>
    </row>
    <row r="1317" spans="2:7" ht="15" thickBot="1">
      <c r="B1317" s="216" t="s">
        <v>1240</v>
      </c>
    </row>
    <row r="1318" spans="2:7">
      <c r="B1318" s="170" t="s">
        <v>897</v>
      </c>
      <c r="C1318" s="171" t="s">
        <v>319</v>
      </c>
      <c r="D1318" s="171" t="s">
        <v>320</v>
      </c>
      <c r="E1318" s="171" t="s">
        <v>898</v>
      </c>
      <c r="F1318" s="172" t="s">
        <v>899</v>
      </c>
      <c r="G1318" s="139"/>
    </row>
    <row r="1319" spans="2:7" ht="15" thickBot="1">
      <c r="B1319" s="218" t="s">
        <v>1218</v>
      </c>
      <c r="C1319" s="202" t="s">
        <v>23</v>
      </c>
      <c r="D1319" s="203">
        <v>0.2951975</v>
      </c>
      <c r="E1319" s="204">
        <f>+EQUIPOS!C53</f>
        <v>450000</v>
      </c>
      <c r="F1319" s="206">
        <f>+ROUND((D1319*E1319),0)</f>
        <v>132839</v>
      </c>
      <c r="G1319" s="142"/>
    </row>
    <row r="1320" spans="2:7" ht="15" thickBot="1">
      <c r="B1320" s="212"/>
      <c r="C1320" s="221">
        <f>+G1320/$G$1322</f>
        <v>0.15683619207737498</v>
      </c>
      <c r="D1320" s="190"/>
      <c r="F1320" s="212" t="s">
        <v>900</v>
      </c>
      <c r="G1320" s="149">
        <f>+SUM(F1319)</f>
        <v>132839</v>
      </c>
    </row>
    <row r="1321" spans="2:7" ht="15" thickBot="1">
      <c r="B1321" s="155"/>
      <c r="C1321" s="155"/>
    </row>
    <row r="1322" spans="2:7" ht="15" thickBot="1">
      <c r="E1322" s="154" t="s">
        <v>908</v>
      </c>
      <c r="G1322" s="153">
        <f>+SUM(G1304:G1320)</f>
        <v>846992</v>
      </c>
    </row>
    <row r="1323" spans="2:7" ht="15" thickBot="1">
      <c r="B1323" s="155"/>
      <c r="C1323" s="155"/>
    </row>
    <row r="1324" spans="2:7" ht="15" thickBot="1">
      <c r="B1324" s="2063" t="s">
        <v>1242</v>
      </c>
      <c r="C1324" s="2064"/>
      <c r="D1324" s="2064"/>
      <c r="E1324" s="2064"/>
      <c r="F1324" s="2064"/>
      <c r="G1324" s="2065"/>
    </row>
    <row r="1325" spans="2:7" ht="18.5" customHeight="1">
      <c r="B1325" s="1721"/>
      <c r="C1325" s="1770" t="s">
        <v>1175</v>
      </c>
      <c r="D1325" s="1770"/>
      <c r="E1325" s="1770"/>
      <c r="F1325" s="1770"/>
      <c r="G1325" s="1771"/>
    </row>
    <row r="1326" spans="2:7" ht="18.5" customHeight="1">
      <c r="B1326" s="1722"/>
      <c r="C1326" s="1772"/>
      <c r="D1326" s="1772"/>
      <c r="E1326" s="1772"/>
      <c r="F1326" s="1772"/>
      <c r="G1326" s="1773"/>
    </row>
    <row r="1327" spans="2:7" ht="18.5" customHeight="1">
      <c r="B1327" s="1722"/>
      <c r="C1327" s="1772"/>
      <c r="D1327" s="1772"/>
      <c r="E1327" s="1772"/>
      <c r="F1327" s="1772"/>
      <c r="G1327" s="1773"/>
    </row>
    <row r="1328" spans="2:7" ht="18.5" customHeight="1">
      <c r="B1328" s="1722"/>
      <c r="C1328" s="1772"/>
      <c r="D1328" s="1772"/>
      <c r="E1328" s="1772"/>
      <c r="F1328" s="1772"/>
      <c r="G1328" s="1773"/>
    </row>
    <row r="1329" spans="2:7" ht="18.5" customHeight="1" thickBot="1">
      <c r="B1329" s="1723"/>
      <c r="C1329" s="1774"/>
      <c r="D1329" s="1774"/>
      <c r="E1329" s="1774"/>
      <c r="F1329" s="1774"/>
      <c r="G1329" s="1775"/>
    </row>
    <row r="1330" spans="2:7">
      <c r="B1330" s="1724" t="s">
        <v>890</v>
      </c>
      <c r="C1330" s="1726"/>
      <c r="D1330" s="1726"/>
      <c r="E1330" s="1733" t="s">
        <v>891</v>
      </c>
      <c r="F1330" s="1735"/>
      <c r="G1330" s="1736"/>
    </row>
    <row r="1331" spans="2:7">
      <c r="B1331" s="1727"/>
      <c r="C1331" s="1729"/>
      <c r="D1331" s="1729"/>
      <c r="E1331" s="1734"/>
      <c r="F1331" s="1737"/>
      <c r="G1331" s="1738"/>
    </row>
    <row r="1332" spans="2:7">
      <c r="B1332" s="1727"/>
      <c r="C1332" s="1729"/>
      <c r="D1332" s="1729"/>
      <c r="E1332" s="332" t="s">
        <v>892</v>
      </c>
      <c r="F1332" s="1739"/>
      <c r="G1332" s="1740"/>
    </row>
    <row r="1333" spans="2:7">
      <c r="B1333" s="1727"/>
      <c r="C1333" s="1729"/>
      <c r="D1333" s="1729"/>
      <c r="E1333" s="332" t="s">
        <v>893</v>
      </c>
      <c r="F1333" s="1739"/>
      <c r="G1333" s="1740"/>
    </row>
    <row r="1334" spans="2:7">
      <c r="B1334" s="1727"/>
      <c r="C1334" s="1729"/>
      <c r="D1334" s="1729"/>
      <c r="E1334" s="1734" t="s">
        <v>894</v>
      </c>
      <c r="F1334" s="1742"/>
      <c r="G1334" s="1743"/>
    </row>
    <row r="1335" spans="2:7" ht="15" thickBot="1">
      <c r="B1335" s="1730"/>
      <c r="C1335" s="1732"/>
      <c r="D1335" s="1732"/>
      <c r="E1335" s="1741"/>
      <c r="F1335" s="1744"/>
      <c r="G1335" s="1745"/>
    </row>
    <row r="1336" spans="2:7">
      <c r="B1336" s="1755" t="str">
        <f>+PRESUPUESTO!$A$2</f>
        <v>OBJETO: MEJORAMIENTO Y ADECUACIÓN DE LAS VIAS URBANAS DEL MUNICIPIO DE SANTA FE DE ANTIOQUIA</v>
      </c>
      <c r="C1336" s="1757"/>
      <c r="D1336" s="1757"/>
      <c r="E1336" s="1757"/>
      <c r="F1336" s="1757"/>
      <c r="G1336" s="1758"/>
    </row>
    <row r="1337" spans="2:7" ht="15" thickBot="1">
      <c r="B1337" s="1759"/>
      <c r="C1337" s="1761"/>
      <c r="D1337" s="1761"/>
      <c r="E1337" s="1761"/>
      <c r="F1337" s="1761"/>
      <c r="G1337" s="1762"/>
    </row>
    <row r="1338" spans="2:7" ht="15" thickBot="1">
      <c r="B1338" s="167" t="s">
        <v>1</v>
      </c>
      <c r="C1338" s="2059"/>
      <c r="D1338" s="1763"/>
      <c r="E1338" s="1763"/>
      <c r="F1338" s="2060"/>
      <c r="G1338" s="168" t="s">
        <v>193</v>
      </c>
    </row>
    <row r="1339" spans="2:7" ht="45" customHeight="1" thickBot="1">
      <c r="B1339" s="145" t="str">
        <f>+P!A57</f>
        <v>13.1.1</v>
      </c>
      <c r="C1339" s="2061" t="str">
        <f>+P!B57</f>
        <v>Suministro, transporte e instalación de tubería metálica EMT diámetro 3/4". Incluye adaptadores, uniones, curvas, grapas doble ala, resanes en mortero 1:4 y demás accesorios necesarios para su correcta instalación.</v>
      </c>
      <c r="D1339" s="1765"/>
      <c r="E1339" s="1765"/>
      <c r="F1339" s="2062"/>
      <c r="G1339" s="169" t="str">
        <f>+P!C57</f>
        <v>m</v>
      </c>
    </row>
    <row r="1340" spans="2:7" ht="15" thickBot="1">
      <c r="B1340" s="216" t="s">
        <v>896</v>
      </c>
    </row>
    <row r="1341" spans="2:7">
      <c r="B1341" s="170" t="s">
        <v>897</v>
      </c>
      <c r="C1341" s="171" t="s">
        <v>319</v>
      </c>
      <c r="D1341" s="171" t="s">
        <v>320</v>
      </c>
      <c r="E1341" s="171" t="s">
        <v>898</v>
      </c>
      <c r="F1341" s="172" t="s">
        <v>899</v>
      </c>
      <c r="G1341" s="139"/>
    </row>
    <row r="1342" spans="2:7">
      <c r="B1342" s="217" t="s">
        <v>1015</v>
      </c>
      <c r="C1342" s="208" t="s">
        <v>10</v>
      </c>
      <c r="D1342" s="209">
        <v>1</v>
      </c>
      <c r="E1342" s="210">
        <f>+MATERIALES!D72</f>
        <v>9983.3333333333339</v>
      </c>
      <c r="F1342" s="211">
        <f t="shared" ref="F1342:F1347" si="5">+ROUND((D1342*E1342),0)</f>
        <v>9983</v>
      </c>
      <c r="G1342" s="147"/>
    </row>
    <row r="1343" spans="2:7">
      <c r="B1343" s="217" t="s">
        <v>1016</v>
      </c>
      <c r="C1343" s="208" t="s">
        <v>23</v>
      </c>
      <c r="D1343" s="209">
        <v>0.16667000000000001</v>
      </c>
      <c r="E1343" s="210">
        <f>+MATERIALES!D73</f>
        <v>2750</v>
      </c>
      <c r="F1343" s="211">
        <f t="shared" si="5"/>
        <v>458</v>
      </c>
      <c r="G1343" s="147"/>
    </row>
    <row r="1344" spans="2:7">
      <c r="B1344" s="217" t="s">
        <v>1017</v>
      </c>
      <c r="C1344" s="208" t="s">
        <v>23</v>
      </c>
      <c r="D1344" s="209">
        <v>0.1</v>
      </c>
      <c r="E1344" s="210">
        <f>+MATERIALES!D74</f>
        <v>2850</v>
      </c>
      <c r="F1344" s="211">
        <f t="shared" si="5"/>
        <v>285</v>
      </c>
      <c r="G1344" s="147"/>
    </row>
    <row r="1345" spans="2:7">
      <c r="B1345" s="217" t="s">
        <v>1018</v>
      </c>
      <c r="C1345" s="208" t="s">
        <v>23</v>
      </c>
      <c r="D1345" s="209">
        <v>0.1</v>
      </c>
      <c r="E1345" s="210">
        <f>+MATERIALES!D75</f>
        <v>2750</v>
      </c>
      <c r="F1345" s="211">
        <f t="shared" si="5"/>
        <v>275</v>
      </c>
      <c r="G1345" s="147"/>
    </row>
    <row r="1346" spans="2:7" ht="32" customHeight="1">
      <c r="B1346" s="217" t="s">
        <v>1019</v>
      </c>
      <c r="C1346" s="208" t="s">
        <v>23</v>
      </c>
      <c r="D1346" s="209">
        <v>1</v>
      </c>
      <c r="E1346" s="210">
        <f>+MATERIALES!D76</f>
        <v>1850</v>
      </c>
      <c r="F1346" s="211">
        <f t="shared" si="5"/>
        <v>1850</v>
      </c>
      <c r="G1346" s="147"/>
    </row>
    <row r="1347" spans="2:7" ht="15" thickBot="1">
      <c r="B1347" s="218" t="s">
        <v>1237</v>
      </c>
      <c r="C1347" s="202" t="s">
        <v>14</v>
      </c>
      <c r="D1347" s="203">
        <v>2.4599999999999999E-3</v>
      </c>
      <c r="E1347" s="204">
        <f>+'CONCRETOS Y MORTERO'!G26</f>
        <v>538996.55000000005</v>
      </c>
      <c r="F1347" s="206">
        <f t="shared" si="5"/>
        <v>1326</v>
      </c>
      <c r="G1347" s="142"/>
    </row>
    <row r="1348" spans="2:7" ht="15" thickBot="1">
      <c r="B1348" s="212"/>
      <c r="C1348" s="219">
        <f>+G1348/$G$1363</f>
        <v>0.61846180691881514</v>
      </c>
      <c r="D1348" s="190"/>
      <c r="F1348" s="212" t="s">
        <v>900</v>
      </c>
      <c r="G1348" s="149">
        <f>+SUM(F1342:F1347)</f>
        <v>14177</v>
      </c>
    </row>
    <row r="1349" spans="2:7" ht="15" thickBot="1">
      <c r="B1349" s="216" t="s">
        <v>901</v>
      </c>
    </row>
    <row r="1350" spans="2:7">
      <c r="B1350" s="170" t="s">
        <v>897</v>
      </c>
      <c r="C1350" s="171" t="s">
        <v>319</v>
      </c>
      <c r="D1350" s="171" t="s">
        <v>320</v>
      </c>
      <c r="E1350" s="171" t="s">
        <v>898</v>
      </c>
      <c r="F1350" s="172" t="s">
        <v>899</v>
      </c>
      <c r="G1350" s="139"/>
    </row>
    <row r="1351" spans="2:7" ht="15" thickBot="1">
      <c r="B1351" s="223" t="s">
        <v>1243</v>
      </c>
      <c r="C1351" s="202" t="s">
        <v>916</v>
      </c>
      <c r="D1351" s="203">
        <v>2.5319999999999999E-2</v>
      </c>
      <c r="E1351" s="204">
        <f>+'FP OPERATIVO'!F35</f>
        <v>295642.2840888889</v>
      </c>
      <c r="F1351" s="206">
        <f>+ROUND((D1351*E1351),0)</f>
        <v>7486</v>
      </c>
      <c r="G1351" s="147"/>
    </row>
    <row r="1352" spans="2:7" ht="15" thickBot="1">
      <c r="B1352" s="212"/>
      <c r="C1352" s="219">
        <f>+G1352/$G$1363</f>
        <v>0.32657156567639489</v>
      </c>
      <c r="D1352" s="190"/>
      <c r="F1352" s="212" t="s">
        <v>900</v>
      </c>
      <c r="G1352" s="148">
        <f>+SUM(F1351)</f>
        <v>7486</v>
      </c>
    </row>
    <row r="1353" spans="2:7" ht="15" thickBot="1">
      <c r="B1353" s="216" t="s">
        <v>917</v>
      </c>
    </row>
    <row r="1354" spans="2:7">
      <c r="B1354" s="170" t="s">
        <v>897</v>
      </c>
      <c r="C1354" s="171" t="s">
        <v>319</v>
      </c>
      <c r="D1354" s="171" t="s">
        <v>320</v>
      </c>
      <c r="E1354" s="171" t="s">
        <v>898</v>
      </c>
      <c r="F1354" s="172" t="s">
        <v>899</v>
      </c>
      <c r="G1354" s="139"/>
    </row>
    <row r="1355" spans="2:7" ht="15" thickBot="1">
      <c r="B1355" s="218" t="s">
        <v>905</v>
      </c>
      <c r="C1355" s="202" t="s">
        <v>906</v>
      </c>
      <c r="D1355" s="203">
        <v>0.05</v>
      </c>
      <c r="E1355" s="204">
        <f>+G1352</f>
        <v>7486</v>
      </c>
      <c r="F1355" s="206">
        <f>+ROUND((D1355*E1355),0)</f>
        <v>374</v>
      </c>
      <c r="G1355" s="142"/>
    </row>
    <row r="1356" spans="2:7" ht="15" thickBot="1">
      <c r="B1356" s="212"/>
      <c r="C1356" s="219">
        <f>+G1356/$G$1363</f>
        <v>1.6315490991580507E-2</v>
      </c>
      <c r="D1356" s="190"/>
      <c r="F1356" s="212" t="s">
        <v>900</v>
      </c>
      <c r="G1356" s="149">
        <f>+SUM(F1355)</f>
        <v>374</v>
      </c>
    </row>
    <row r="1357" spans="2:7" ht="15" thickBot="1">
      <c r="B1357" s="216" t="s">
        <v>1182</v>
      </c>
    </row>
    <row r="1358" spans="2:7">
      <c r="B1358" s="170" t="s">
        <v>897</v>
      </c>
      <c r="C1358" s="171" t="s">
        <v>319</v>
      </c>
      <c r="D1358" s="171" t="s">
        <v>320</v>
      </c>
      <c r="E1358" s="171" t="s">
        <v>898</v>
      </c>
      <c r="F1358" s="187" t="s">
        <v>899</v>
      </c>
      <c r="G1358" s="143"/>
    </row>
    <row r="1359" spans="2:7">
      <c r="B1359" s="309" t="s">
        <v>1218</v>
      </c>
      <c r="C1359" s="208" t="s">
        <v>23</v>
      </c>
      <c r="D1359" s="209">
        <v>1.5250000000000001E-3</v>
      </c>
      <c r="E1359" s="210">
        <f>+EQUIPOS!$C$53</f>
        <v>450000</v>
      </c>
      <c r="F1359" s="213">
        <f>+ROUND((D1359*E1359),0)</f>
        <v>686</v>
      </c>
      <c r="G1359" s="162"/>
    </row>
    <row r="1360" spans="2:7" ht="15" thickBot="1">
      <c r="B1360" s="218" t="s">
        <v>1244</v>
      </c>
      <c r="C1360" s="304" t="s">
        <v>23</v>
      </c>
      <c r="D1360" s="303">
        <v>5.7099999999999998E-3</v>
      </c>
      <c r="E1360" s="305">
        <v>35000</v>
      </c>
      <c r="F1360" s="306">
        <f>+ROUND((D1360*E1360),0)</f>
        <v>200</v>
      </c>
      <c r="G1360" s="144"/>
    </row>
    <row r="1361" spans="2:7" ht="15" thickBot="1">
      <c r="B1361" s="212"/>
      <c r="C1361" s="225">
        <f>+G1361/$G$1561</f>
        <v>0.11033623910336239</v>
      </c>
      <c r="D1361" s="190"/>
      <c r="F1361" s="212" t="s">
        <v>900</v>
      </c>
      <c r="G1361" s="149">
        <f>+SUM(F1359:F1360)</f>
        <v>886</v>
      </c>
    </row>
    <row r="1362" spans="2:7" ht="15" thickBot="1"/>
    <row r="1363" spans="2:7" ht="15" thickBot="1">
      <c r="E1363" s="154" t="s">
        <v>908</v>
      </c>
      <c r="G1363" s="153">
        <f>+SUM(G1341:G1361)</f>
        <v>22923</v>
      </c>
    </row>
    <row r="1364" spans="2:7" ht="15" thickBot="1">
      <c r="B1364" s="340"/>
      <c r="C1364" s="201"/>
      <c r="D1364" s="253"/>
      <c r="E1364" s="253"/>
      <c r="F1364" s="253"/>
      <c r="G1364" s="196"/>
    </row>
    <row r="1365" spans="2:7" ht="19.25" customHeight="1">
      <c r="B1365" s="1721"/>
      <c r="C1365" s="1770" t="s">
        <v>1175</v>
      </c>
      <c r="D1365" s="1770"/>
      <c r="E1365" s="1770"/>
      <c r="F1365" s="1770"/>
      <c r="G1365" s="1771"/>
    </row>
    <row r="1366" spans="2:7" ht="19.25" customHeight="1">
      <c r="B1366" s="1722"/>
      <c r="C1366" s="1772"/>
      <c r="D1366" s="1772"/>
      <c r="E1366" s="1772"/>
      <c r="F1366" s="1772"/>
      <c r="G1366" s="1773"/>
    </row>
    <row r="1367" spans="2:7" ht="19.25" customHeight="1">
      <c r="B1367" s="1722"/>
      <c r="C1367" s="1772"/>
      <c r="D1367" s="1772"/>
      <c r="E1367" s="1772"/>
      <c r="F1367" s="1772"/>
      <c r="G1367" s="1773"/>
    </row>
    <row r="1368" spans="2:7" ht="19.25" customHeight="1">
      <c r="B1368" s="1722"/>
      <c r="C1368" s="1772"/>
      <c r="D1368" s="1772"/>
      <c r="E1368" s="1772"/>
      <c r="F1368" s="1772"/>
      <c r="G1368" s="1773"/>
    </row>
    <row r="1369" spans="2:7" ht="19.25" customHeight="1" thickBot="1">
      <c r="B1369" s="1723"/>
      <c r="C1369" s="1774"/>
      <c r="D1369" s="1774"/>
      <c r="E1369" s="1774"/>
      <c r="F1369" s="1774"/>
      <c r="G1369" s="1775"/>
    </row>
    <row r="1370" spans="2:7">
      <c r="B1370" s="1724" t="s">
        <v>890</v>
      </c>
      <c r="C1370" s="1726"/>
      <c r="D1370" s="1726"/>
      <c r="E1370" s="1733" t="s">
        <v>891</v>
      </c>
      <c r="F1370" s="1735"/>
      <c r="G1370" s="1736"/>
    </row>
    <row r="1371" spans="2:7">
      <c r="B1371" s="1727"/>
      <c r="C1371" s="1729"/>
      <c r="D1371" s="1729"/>
      <c r="E1371" s="1734"/>
      <c r="F1371" s="1737"/>
      <c r="G1371" s="1738"/>
    </row>
    <row r="1372" spans="2:7">
      <c r="B1372" s="1727"/>
      <c r="C1372" s="1729"/>
      <c r="D1372" s="1729"/>
      <c r="E1372" s="332" t="s">
        <v>892</v>
      </c>
      <c r="F1372" s="1739"/>
      <c r="G1372" s="1740"/>
    </row>
    <row r="1373" spans="2:7">
      <c r="B1373" s="1727"/>
      <c r="C1373" s="1729"/>
      <c r="D1373" s="1729"/>
      <c r="E1373" s="332" t="s">
        <v>893</v>
      </c>
      <c r="F1373" s="1739"/>
      <c r="G1373" s="1740"/>
    </row>
    <row r="1374" spans="2:7">
      <c r="B1374" s="1727"/>
      <c r="C1374" s="1729"/>
      <c r="D1374" s="1729"/>
      <c r="E1374" s="1734" t="s">
        <v>894</v>
      </c>
      <c r="F1374" s="1742"/>
      <c r="G1374" s="1743"/>
    </row>
    <row r="1375" spans="2:7" ht="15" thickBot="1">
      <c r="B1375" s="1730"/>
      <c r="C1375" s="1732"/>
      <c r="D1375" s="1732"/>
      <c r="E1375" s="1741"/>
      <c r="F1375" s="1744"/>
      <c r="G1375" s="1745"/>
    </row>
    <row r="1376" spans="2:7">
      <c r="B1376" s="1755" t="str">
        <f>+PRESUPUESTO!$A$2</f>
        <v>OBJETO: MEJORAMIENTO Y ADECUACIÓN DE LAS VIAS URBANAS DEL MUNICIPIO DE SANTA FE DE ANTIOQUIA</v>
      </c>
      <c r="C1376" s="1757"/>
      <c r="D1376" s="1757"/>
      <c r="E1376" s="1757"/>
      <c r="F1376" s="1757"/>
      <c r="G1376" s="1758"/>
    </row>
    <row r="1377" spans="2:7" ht="15" thickBot="1">
      <c r="B1377" s="1759"/>
      <c r="C1377" s="1761"/>
      <c r="D1377" s="1761"/>
      <c r="E1377" s="1761"/>
      <c r="F1377" s="1761"/>
      <c r="G1377" s="1762"/>
    </row>
    <row r="1378" spans="2:7" ht="15" thickBot="1">
      <c r="B1378" s="167" t="s">
        <v>1</v>
      </c>
      <c r="C1378" s="2059"/>
      <c r="D1378" s="1763"/>
      <c r="E1378" s="1763"/>
      <c r="F1378" s="2060"/>
      <c r="G1378" s="168" t="s">
        <v>193</v>
      </c>
    </row>
    <row r="1379" spans="2:7" ht="43.25" customHeight="1" thickBot="1">
      <c r="B1379" s="145" t="str">
        <f>+P!A58</f>
        <v>13.1.2</v>
      </c>
      <c r="C1379" s="2061" t="str">
        <f>+P!B58</f>
        <v>Suministro, transporte e instalación de tubería metálica EMT diámetro 1/2". Incluye adaptadores, uniones, curvas, grapas doble ala, resanes en mortero 1:4 y demás accesorios necesarios para su correcta instalación.</v>
      </c>
      <c r="D1379" s="1765"/>
      <c r="E1379" s="1765"/>
      <c r="F1379" s="2062"/>
      <c r="G1379" s="169" t="str">
        <f>+P!C58</f>
        <v>m</v>
      </c>
    </row>
    <row r="1380" spans="2:7" ht="15" thickBot="1">
      <c r="B1380" s="216" t="s">
        <v>896</v>
      </c>
    </row>
    <row r="1381" spans="2:7">
      <c r="B1381" s="170" t="s">
        <v>897</v>
      </c>
      <c r="C1381" s="171" t="s">
        <v>319</v>
      </c>
      <c r="D1381" s="171" t="s">
        <v>320</v>
      </c>
      <c r="E1381" s="171" t="s">
        <v>898</v>
      </c>
      <c r="F1381" s="172" t="s">
        <v>899</v>
      </c>
      <c r="G1381" s="139"/>
    </row>
    <row r="1382" spans="2:7">
      <c r="B1382" s="217" t="s">
        <v>1020</v>
      </c>
      <c r="C1382" s="208" t="s">
        <v>10</v>
      </c>
      <c r="D1382" s="209">
        <v>1.01</v>
      </c>
      <c r="E1382" s="210">
        <f>+MATERIALES!D77</f>
        <v>8287.3333333333339</v>
      </c>
      <c r="F1382" s="211">
        <f t="shared" ref="F1382:F1387" si="6">+ROUND((D1382*E1382),0)</f>
        <v>8370</v>
      </c>
      <c r="G1382" s="147"/>
    </row>
    <row r="1383" spans="2:7">
      <c r="B1383" s="217" t="s">
        <v>1021</v>
      </c>
      <c r="C1383" s="208" t="s">
        <v>23</v>
      </c>
      <c r="D1383" s="209">
        <v>0.16667000000000001</v>
      </c>
      <c r="E1383" s="210">
        <f>+MATERIALES!D78</f>
        <v>2250</v>
      </c>
      <c r="F1383" s="211">
        <f t="shared" si="6"/>
        <v>375</v>
      </c>
      <c r="G1383" s="147"/>
    </row>
    <row r="1384" spans="2:7">
      <c r="B1384" s="217" t="s">
        <v>1022</v>
      </c>
      <c r="C1384" s="208" t="s">
        <v>23</v>
      </c>
      <c r="D1384" s="209">
        <v>0.1</v>
      </c>
      <c r="E1384" s="210">
        <f>+MATERIALES!D79</f>
        <v>2150</v>
      </c>
      <c r="F1384" s="211">
        <f t="shared" si="6"/>
        <v>215</v>
      </c>
      <c r="G1384" s="147"/>
    </row>
    <row r="1385" spans="2:7">
      <c r="B1385" s="217" t="s">
        <v>1023</v>
      </c>
      <c r="C1385" s="208" t="s">
        <v>23</v>
      </c>
      <c r="D1385" s="209">
        <v>0.1</v>
      </c>
      <c r="E1385" s="210">
        <f>+MATERIALES!D80</f>
        <v>1940</v>
      </c>
      <c r="F1385" s="211">
        <f t="shared" si="6"/>
        <v>194</v>
      </c>
      <c r="G1385" s="147"/>
    </row>
    <row r="1386" spans="2:7">
      <c r="B1386" s="217" t="s">
        <v>1024</v>
      </c>
      <c r="C1386" s="208" t="s">
        <v>23</v>
      </c>
      <c r="D1386" s="209">
        <v>1</v>
      </c>
      <c r="E1386" s="210">
        <f>+MATERIALES!D81</f>
        <v>1433</v>
      </c>
      <c r="F1386" s="211">
        <f t="shared" si="6"/>
        <v>1433</v>
      </c>
      <c r="G1386" s="147"/>
    </row>
    <row r="1387" spans="2:7" ht="15" thickBot="1">
      <c r="B1387" s="218" t="s">
        <v>1237</v>
      </c>
      <c r="C1387" s="202" t="s">
        <v>14</v>
      </c>
      <c r="D1387" s="203">
        <v>2.4599999999999999E-3</v>
      </c>
      <c r="E1387" s="204">
        <f>+'CONCRETOS Y MORTERO'!G26</f>
        <v>538996.55000000005</v>
      </c>
      <c r="F1387" s="206">
        <f t="shared" si="6"/>
        <v>1326</v>
      </c>
      <c r="G1387" s="142"/>
    </row>
    <row r="1388" spans="2:7" ht="15" thickBot="1">
      <c r="B1388" s="212"/>
      <c r="C1388" s="184">
        <f>+G1388/$G$1403</f>
        <v>0.57664940219758942</v>
      </c>
      <c r="D1388" s="190"/>
      <c r="F1388" s="212" t="s">
        <v>900</v>
      </c>
      <c r="G1388" s="149">
        <f>+SUM(F1382:F1387)</f>
        <v>11913</v>
      </c>
    </row>
    <row r="1389" spans="2:7" ht="15" thickBot="1">
      <c r="B1389" s="216" t="s">
        <v>901</v>
      </c>
    </row>
    <row r="1390" spans="2:7">
      <c r="B1390" s="170" t="s">
        <v>897</v>
      </c>
      <c r="C1390" s="171" t="s">
        <v>319</v>
      </c>
      <c r="D1390" s="171" t="s">
        <v>320</v>
      </c>
      <c r="E1390" s="171" t="s">
        <v>898</v>
      </c>
      <c r="F1390" s="172" t="s">
        <v>899</v>
      </c>
      <c r="G1390" s="139"/>
    </row>
    <row r="1391" spans="2:7" ht="15" thickBot="1">
      <c r="B1391" s="218" t="s">
        <v>1243</v>
      </c>
      <c r="C1391" s="202" t="s">
        <v>916</v>
      </c>
      <c r="D1391" s="203">
        <v>2.5319999999999999E-2</v>
      </c>
      <c r="E1391" s="204">
        <f>+'FP OPERATIVO'!F35</f>
        <v>295642.2840888889</v>
      </c>
      <c r="F1391" s="206">
        <f>+ROUND((D1391*E1391),0)</f>
        <v>7486</v>
      </c>
      <c r="G1391" s="142"/>
    </row>
    <row r="1392" spans="2:7" ht="15" thickBot="1">
      <c r="B1392" s="212"/>
      <c r="C1392" s="184">
        <f>+G1392/$G$1403</f>
        <v>0.3623602304080546</v>
      </c>
      <c r="D1392" s="190"/>
      <c r="F1392" s="212" t="s">
        <v>900</v>
      </c>
      <c r="G1392" s="149">
        <f>+SUM(F1391)</f>
        <v>7486</v>
      </c>
    </row>
    <row r="1393" spans="2:7" ht="15" thickBot="1">
      <c r="B1393" s="216" t="s">
        <v>917</v>
      </c>
    </row>
    <row r="1394" spans="2:7">
      <c r="B1394" s="170" t="s">
        <v>897</v>
      </c>
      <c r="C1394" s="171" t="s">
        <v>319</v>
      </c>
      <c r="D1394" s="171" t="s">
        <v>320</v>
      </c>
      <c r="E1394" s="171" t="s">
        <v>898</v>
      </c>
      <c r="F1394" s="187" t="s">
        <v>899</v>
      </c>
      <c r="G1394" s="139"/>
    </row>
    <row r="1395" spans="2:7" ht="15" thickBot="1">
      <c r="B1395" s="218" t="s">
        <v>905</v>
      </c>
      <c r="C1395" s="202" t="s">
        <v>906</v>
      </c>
      <c r="D1395" s="203">
        <v>0.05</v>
      </c>
      <c r="E1395" s="204">
        <f>+G1392</f>
        <v>7486</v>
      </c>
      <c r="F1395" s="205">
        <f>+ROUND((D1395*E1395),0)</f>
        <v>374</v>
      </c>
      <c r="G1395" s="142"/>
    </row>
    <row r="1396" spans="2:7" ht="15" thickBot="1">
      <c r="B1396" s="212"/>
      <c r="C1396" s="184">
        <f>+G1396/$G$1403</f>
        <v>1.8103490004356456E-2</v>
      </c>
      <c r="D1396" s="190"/>
      <c r="F1396" s="212" t="s">
        <v>900</v>
      </c>
      <c r="G1396" s="149">
        <f>+SUM(F1395)</f>
        <v>374</v>
      </c>
    </row>
    <row r="1397" spans="2:7" ht="15" thickBot="1">
      <c r="B1397" s="216" t="s">
        <v>1182</v>
      </c>
    </row>
    <row r="1398" spans="2:7">
      <c r="B1398" s="170" t="s">
        <v>897</v>
      </c>
      <c r="C1398" s="171" t="s">
        <v>319</v>
      </c>
      <c r="D1398" s="171" t="s">
        <v>320</v>
      </c>
      <c r="E1398" s="171" t="s">
        <v>898</v>
      </c>
      <c r="F1398" s="187" t="s">
        <v>899</v>
      </c>
      <c r="G1398" s="143"/>
    </row>
    <row r="1399" spans="2:7">
      <c r="B1399" s="309" t="s">
        <v>1218</v>
      </c>
      <c r="C1399" s="208" t="s">
        <v>23</v>
      </c>
      <c r="D1399" s="209">
        <v>1.5250000000000001E-3</v>
      </c>
      <c r="E1399" s="210">
        <f>+EQUIPOS!$C$53</f>
        <v>450000</v>
      </c>
      <c r="F1399" s="213">
        <f>+ROUND((D1399*E1399),0)</f>
        <v>686</v>
      </c>
      <c r="G1399" s="162"/>
    </row>
    <row r="1400" spans="2:7" ht="15" thickBot="1">
      <c r="B1400" s="218" t="s">
        <v>1244</v>
      </c>
      <c r="C1400" s="304" t="s">
        <v>23</v>
      </c>
      <c r="D1400" s="303">
        <v>5.7099999999999998E-3</v>
      </c>
      <c r="E1400" s="305">
        <v>35000</v>
      </c>
      <c r="F1400" s="306">
        <f>+ROUND((D1400*E1400),0)</f>
        <v>200</v>
      </c>
      <c r="G1400" s="144"/>
    </row>
    <row r="1401" spans="2:7" ht="15" thickBot="1">
      <c r="B1401" s="212"/>
      <c r="C1401" s="225">
        <f>+G1401/$G$1561</f>
        <v>0.11033623910336239</v>
      </c>
      <c r="D1401" s="190"/>
      <c r="F1401" s="212" t="s">
        <v>900</v>
      </c>
      <c r="G1401" s="149">
        <f>+SUM(F1399:F1400)</f>
        <v>886</v>
      </c>
    </row>
    <row r="1402" spans="2:7" ht="15" thickBot="1"/>
    <row r="1403" spans="2:7" ht="15" thickBot="1">
      <c r="E1403" s="154" t="s">
        <v>908</v>
      </c>
      <c r="G1403" s="153">
        <f>+SUM(G1381:G1401)</f>
        <v>20659</v>
      </c>
    </row>
    <row r="1404" spans="2:7" ht="15" thickBot="1">
      <c r="B1404" s="340"/>
      <c r="C1404" s="201"/>
      <c r="D1404" s="253"/>
      <c r="E1404" s="253"/>
      <c r="F1404" s="253"/>
      <c r="G1404" s="196"/>
    </row>
    <row r="1405" spans="2:7" ht="19.25" customHeight="1">
      <c r="B1405" s="1721"/>
      <c r="C1405" s="1770" t="s">
        <v>1175</v>
      </c>
      <c r="D1405" s="1770"/>
      <c r="E1405" s="1770"/>
      <c r="F1405" s="1770"/>
      <c r="G1405" s="1771"/>
    </row>
    <row r="1406" spans="2:7" ht="19.25" customHeight="1">
      <c r="B1406" s="1722"/>
      <c r="C1406" s="1772"/>
      <c r="D1406" s="1772"/>
      <c r="E1406" s="1772"/>
      <c r="F1406" s="1772"/>
      <c r="G1406" s="1773"/>
    </row>
    <row r="1407" spans="2:7" ht="19.25" customHeight="1">
      <c r="B1407" s="1722"/>
      <c r="C1407" s="1772"/>
      <c r="D1407" s="1772"/>
      <c r="E1407" s="1772"/>
      <c r="F1407" s="1772"/>
      <c r="G1407" s="1773"/>
    </row>
    <row r="1408" spans="2:7" ht="19.25" customHeight="1">
      <c r="B1408" s="1722"/>
      <c r="C1408" s="1772"/>
      <c r="D1408" s="1772"/>
      <c r="E1408" s="1772"/>
      <c r="F1408" s="1772"/>
      <c r="G1408" s="1773"/>
    </row>
    <row r="1409" spans="2:7" ht="19.25" customHeight="1" thickBot="1">
      <c r="B1409" s="1723"/>
      <c r="C1409" s="1774"/>
      <c r="D1409" s="1774"/>
      <c r="E1409" s="1774"/>
      <c r="F1409" s="1774"/>
      <c r="G1409" s="1775"/>
    </row>
    <row r="1410" spans="2:7">
      <c r="B1410" s="1724" t="s">
        <v>890</v>
      </c>
      <c r="C1410" s="1726"/>
      <c r="D1410" s="1726"/>
      <c r="E1410" s="1733" t="s">
        <v>891</v>
      </c>
      <c r="F1410" s="1735"/>
      <c r="G1410" s="1736"/>
    </row>
    <row r="1411" spans="2:7">
      <c r="B1411" s="1727"/>
      <c r="C1411" s="1729"/>
      <c r="D1411" s="1729"/>
      <c r="E1411" s="1734"/>
      <c r="F1411" s="1737"/>
      <c r="G1411" s="1738"/>
    </row>
    <row r="1412" spans="2:7">
      <c r="B1412" s="1727"/>
      <c r="C1412" s="1729"/>
      <c r="D1412" s="1729"/>
      <c r="E1412" s="332" t="s">
        <v>892</v>
      </c>
      <c r="F1412" s="1739"/>
      <c r="G1412" s="1740"/>
    </row>
    <row r="1413" spans="2:7">
      <c r="B1413" s="1727"/>
      <c r="C1413" s="1729"/>
      <c r="D1413" s="1729"/>
      <c r="E1413" s="332" t="s">
        <v>893</v>
      </c>
      <c r="F1413" s="1739"/>
      <c r="G1413" s="1740"/>
    </row>
    <row r="1414" spans="2:7">
      <c r="B1414" s="1727"/>
      <c r="C1414" s="1729"/>
      <c r="D1414" s="1729"/>
      <c r="E1414" s="1734" t="s">
        <v>894</v>
      </c>
      <c r="F1414" s="1742"/>
      <c r="G1414" s="1743"/>
    </row>
    <row r="1415" spans="2:7" ht="15" thickBot="1">
      <c r="B1415" s="1730"/>
      <c r="C1415" s="1732"/>
      <c r="D1415" s="1732"/>
      <c r="E1415" s="1741"/>
      <c r="F1415" s="1744"/>
      <c r="G1415" s="1745"/>
    </row>
    <row r="1416" spans="2:7">
      <c r="B1416" s="1755" t="str">
        <f>+PRESUPUESTO!$A$2</f>
        <v>OBJETO: MEJORAMIENTO Y ADECUACIÓN DE LAS VIAS URBANAS DEL MUNICIPIO DE SANTA FE DE ANTIOQUIA</v>
      </c>
      <c r="C1416" s="1757"/>
      <c r="D1416" s="1757"/>
      <c r="E1416" s="1757"/>
      <c r="F1416" s="1757"/>
      <c r="G1416" s="1758"/>
    </row>
    <row r="1417" spans="2:7" ht="15" thickBot="1">
      <c r="B1417" s="1759"/>
      <c r="C1417" s="1761"/>
      <c r="D1417" s="1761"/>
      <c r="E1417" s="1761"/>
      <c r="F1417" s="1761"/>
      <c r="G1417" s="1762"/>
    </row>
    <row r="1418" spans="2:7" ht="15" thickBot="1">
      <c r="B1418" s="167" t="s">
        <v>1</v>
      </c>
      <c r="C1418" s="2059"/>
      <c r="D1418" s="1763"/>
      <c r="E1418" s="1763"/>
      <c r="F1418" s="2060"/>
      <c r="G1418" s="168" t="s">
        <v>193</v>
      </c>
    </row>
    <row r="1419" spans="2:7" ht="99.5" customHeight="1" thickBot="1">
      <c r="B1419" s="145" t="str">
        <f>+P!A60</f>
        <v>13.2.1</v>
      </c>
      <c r="C1419" s="2061" t="str">
        <f>+P!B60</f>
        <v>Suministro, transporte e instalación de materiales para salida eléctrica de toma doble con polo a tierra 15 A, .LEV ref 5320, 125 V y según la norma NEMA 5-15R, certificación RETIE y pruebas de conformidad UL. Incluye toma, la tapa, cajas 4"x4" con tapa suplemento, ducto pvc, conectores de conexión y empalme, adaptadores terminales, curvas, pega pvc, tornillos, conductores de cobre 12 AWG-CU-THHN/THWN-90ºC, obra civil, y demás accesorios y elementos para su correcta instalación y funcionamiento.(Salida promedio de 4 m).</v>
      </c>
      <c r="D1419" s="1765"/>
      <c r="E1419" s="1765"/>
      <c r="F1419" s="2062"/>
      <c r="G1419" s="169" t="str">
        <f>+P!C60</f>
        <v>un</v>
      </c>
    </row>
    <row r="1420" spans="2:7" ht="15" thickBot="1">
      <c r="B1420" s="216" t="s">
        <v>896</v>
      </c>
    </row>
    <row r="1421" spans="2:7">
      <c r="B1421" s="170" t="s">
        <v>897</v>
      </c>
      <c r="C1421" s="171" t="s">
        <v>319</v>
      </c>
      <c r="D1421" s="171" t="s">
        <v>320</v>
      </c>
      <c r="E1421" s="171" t="s">
        <v>898</v>
      </c>
      <c r="F1421" s="172" t="s">
        <v>899</v>
      </c>
      <c r="G1421" s="139"/>
    </row>
    <row r="1422" spans="2:7">
      <c r="B1422" s="217" t="s">
        <v>1025</v>
      </c>
      <c r="C1422" s="208" t="s">
        <v>23</v>
      </c>
      <c r="D1422" s="209">
        <v>1</v>
      </c>
      <c r="E1422" s="210">
        <f>+MATERIALES!D82</f>
        <v>8950</v>
      </c>
      <c r="F1422" s="211">
        <f t="shared" ref="F1422:F1430" si="7">+ROUND((D1422*E1422),0)</f>
        <v>8950</v>
      </c>
      <c r="G1422" s="147"/>
    </row>
    <row r="1423" spans="2:7">
      <c r="B1423" s="217" t="s">
        <v>1026</v>
      </c>
      <c r="C1423" s="208" t="s">
        <v>10</v>
      </c>
      <c r="D1423" s="209">
        <v>13.5</v>
      </c>
      <c r="E1423" s="210">
        <f>+MATERIALES!D83</f>
        <v>2640</v>
      </c>
      <c r="F1423" s="211">
        <f t="shared" si="7"/>
        <v>35640</v>
      </c>
      <c r="G1423" s="147"/>
    </row>
    <row r="1424" spans="2:7">
      <c r="B1424" s="217" t="s">
        <v>1032</v>
      </c>
      <c r="C1424" s="208" t="s">
        <v>10</v>
      </c>
      <c r="D1424" s="209">
        <v>4.04</v>
      </c>
      <c r="E1424" s="210">
        <f>+MATERIALES!D89</f>
        <v>1193.3333333333333</v>
      </c>
      <c r="F1424" s="211">
        <f t="shared" si="7"/>
        <v>4821</v>
      </c>
      <c r="G1424" s="147"/>
    </row>
    <row r="1425" spans="2:7">
      <c r="B1425" s="217" t="s">
        <v>1038</v>
      </c>
      <c r="C1425" s="208" t="s">
        <v>23</v>
      </c>
      <c r="D1425" s="209">
        <v>2</v>
      </c>
      <c r="E1425" s="210">
        <f>+MATERIALES!D95</f>
        <v>423</v>
      </c>
      <c r="F1425" s="211">
        <f t="shared" si="7"/>
        <v>846</v>
      </c>
      <c r="G1425" s="147"/>
    </row>
    <row r="1426" spans="2:7">
      <c r="B1426" s="217" t="s">
        <v>1039</v>
      </c>
      <c r="C1426" s="208" t="s">
        <v>23</v>
      </c>
      <c r="D1426" s="209">
        <v>2</v>
      </c>
      <c r="E1426" s="210">
        <f>+MATERIALES!D96</f>
        <v>1350</v>
      </c>
      <c r="F1426" s="211">
        <f t="shared" si="7"/>
        <v>2700</v>
      </c>
      <c r="G1426" s="147"/>
    </row>
    <row r="1427" spans="2:7">
      <c r="B1427" s="217" t="s">
        <v>1245</v>
      </c>
      <c r="C1427" s="208" t="s">
        <v>1246</v>
      </c>
      <c r="D1427" s="209">
        <v>4</v>
      </c>
      <c r="E1427" s="210">
        <f>+MATERIALES!D59/250</f>
        <v>372</v>
      </c>
      <c r="F1427" s="211">
        <f t="shared" si="7"/>
        <v>1488</v>
      </c>
      <c r="G1427" s="147"/>
    </row>
    <row r="1428" spans="2:7">
      <c r="B1428" s="217" t="s">
        <v>1247</v>
      </c>
      <c r="C1428" s="208" t="s">
        <v>10</v>
      </c>
      <c r="D1428" s="209">
        <v>4</v>
      </c>
      <c r="E1428" s="210">
        <v>500</v>
      </c>
      <c r="F1428" s="211">
        <f t="shared" si="7"/>
        <v>2000</v>
      </c>
      <c r="G1428" s="147"/>
    </row>
    <row r="1429" spans="2:7">
      <c r="B1429" s="217" t="s">
        <v>1030</v>
      </c>
      <c r="C1429" s="208" t="s">
        <v>23</v>
      </c>
      <c r="D1429" s="209">
        <v>1.5</v>
      </c>
      <c r="E1429" s="210">
        <f>+MATERIALES!D87</f>
        <v>1750</v>
      </c>
      <c r="F1429" s="211">
        <f t="shared" si="7"/>
        <v>2625</v>
      </c>
      <c r="G1429" s="147"/>
    </row>
    <row r="1430" spans="2:7" ht="15" thickBot="1">
      <c r="B1430" s="218" t="s">
        <v>1031</v>
      </c>
      <c r="C1430" s="202" t="s">
        <v>23</v>
      </c>
      <c r="D1430" s="203">
        <v>1</v>
      </c>
      <c r="E1430" s="204">
        <f>+MATERIALES!D88</f>
        <v>9390</v>
      </c>
      <c r="F1430" s="206">
        <f t="shared" si="7"/>
        <v>9390</v>
      </c>
      <c r="G1430" s="142"/>
    </row>
    <row r="1431" spans="2:7" ht="15" thickBot="1">
      <c r="B1431" s="212"/>
      <c r="C1431" s="184">
        <f>+G1431/$G$1446</f>
        <v>0.62222222222222223</v>
      </c>
      <c r="D1431" s="190"/>
      <c r="F1431" s="212" t="s">
        <v>900</v>
      </c>
      <c r="G1431" s="149">
        <f>+SUM(F1422:F1430)</f>
        <v>68460</v>
      </c>
    </row>
    <row r="1432" spans="2:7" ht="15" thickBot="1">
      <c r="B1432" s="216" t="s">
        <v>901</v>
      </c>
    </row>
    <row r="1433" spans="2:7">
      <c r="B1433" s="170" t="s">
        <v>897</v>
      </c>
      <c r="C1433" s="171" t="s">
        <v>319</v>
      </c>
      <c r="D1433" s="171" t="s">
        <v>320</v>
      </c>
      <c r="E1433" s="171" t="s">
        <v>898</v>
      </c>
      <c r="F1433" s="172" t="s">
        <v>899</v>
      </c>
      <c r="G1433" s="139"/>
    </row>
    <row r="1434" spans="2:7" ht="15" thickBot="1">
      <c r="B1434" s="218" t="s">
        <v>1243</v>
      </c>
      <c r="C1434" s="202" t="s">
        <v>916</v>
      </c>
      <c r="D1434" s="203">
        <v>0.13249</v>
      </c>
      <c r="E1434" s="204">
        <f>+'FP OPERATIVO'!F35</f>
        <v>295642.2840888889</v>
      </c>
      <c r="F1434" s="206">
        <f>+ROUND((D1434*E1434),0)</f>
        <v>39170</v>
      </c>
      <c r="G1434" s="142"/>
    </row>
    <row r="1435" spans="2:7" ht="15" thickBot="1">
      <c r="B1435" s="212"/>
      <c r="C1435" s="184">
        <f>+G1435/$G$1446</f>
        <v>0.35600999772778913</v>
      </c>
      <c r="D1435" s="190"/>
      <c r="F1435" s="212" t="s">
        <v>900</v>
      </c>
      <c r="G1435" s="149">
        <f>+SUM(F1434)</f>
        <v>39170</v>
      </c>
    </row>
    <row r="1436" spans="2:7" ht="15" thickBot="1">
      <c r="B1436" s="216" t="s">
        <v>917</v>
      </c>
    </row>
    <row r="1437" spans="2:7">
      <c r="B1437" s="170" t="s">
        <v>897</v>
      </c>
      <c r="C1437" s="171" t="s">
        <v>319</v>
      </c>
      <c r="D1437" s="171" t="s">
        <v>320</v>
      </c>
      <c r="E1437" s="171" t="s">
        <v>898</v>
      </c>
      <c r="F1437" s="187" t="s">
        <v>899</v>
      </c>
      <c r="G1437" s="139"/>
    </row>
    <row r="1438" spans="2:7" ht="15" thickBot="1">
      <c r="B1438" s="218" t="s">
        <v>905</v>
      </c>
      <c r="C1438" s="202" t="s">
        <v>906</v>
      </c>
      <c r="D1438" s="203">
        <v>0.05</v>
      </c>
      <c r="E1438" s="204">
        <f>+G1435</f>
        <v>39170</v>
      </c>
      <c r="F1438" s="205">
        <f>+ROUND((D1438*E1438),0)</f>
        <v>1959</v>
      </c>
      <c r="G1438" s="142"/>
    </row>
    <row r="1439" spans="2:7" ht="15" thickBot="1">
      <c r="B1439" s="212"/>
      <c r="C1439" s="184">
        <f>+G1439/$G$1446</f>
        <v>1.7805044308111792E-2</v>
      </c>
      <c r="D1439" s="190"/>
      <c r="F1439" s="212" t="s">
        <v>900</v>
      </c>
      <c r="G1439" s="149">
        <f>+SUM(F1438)</f>
        <v>1959</v>
      </c>
    </row>
    <row r="1440" spans="2:7" ht="15" thickBot="1">
      <c r="B1440" s="216" t="s">
        <v>1182</v>
      </c>
    </row>
    <row r="1441" spans="2:7">
      <c r="B1441" s="170" t="s">
        <v>897</v>
      </c>
      <c r="C1441" s="171" t="s">
        <v>319</v>
      </c>
      <c r="D1441" s="171" t="s">
        <v>320</v>
      </c>
      <c r="E1441" s="171" t="s">
        <v>898</v>
      </c>
      <c r="F1441" s="187" t="s">
        <v>899</v>
      </c>
      <c r="G1441" s="143"/>
    </row>
    <row r="1442" spans="2:7">
      <c r="B1442" s="309" t="s">
        <v>1218</v>
      </c>
      <c r="C1442" s="208" t="s">
        <v>23</v>
      </c>
      <c r="D1442" s="209">
        <v>5.2499999999999997E-4</v>
      </c>
      <c r="E1442" s="210">
        <f>+EQUIPOS!$C$53</f>
        <v>450000</v>
      </c>
      <c r="F1442" s="213">
        <f>+ROUND((D1442*E1442),0)</f>
        <v>236</v>
      </c>
      <c r="G1442" s="162"/>
    </row>
    <row r="1443" spans="2:7" ht="15" thickBot="1">
      <c r="B1443" s="218" t="s">
        <v>1244</v>
      </c>
      <c r="C1443" s="304" t="s">
        <v>23</v>
      </c>
      <c r="D1443" s="303">
        <v>5.7099999999999998E-3</v>
      </c>
      <c r="E1443" s="305">
        <v>35000</v>
      </c>
      <c r="F1443" s="306">
        <f>+ROUND((D1443*E1443),0)</f>
        <v>200</v>
      </c>
      <c r="G1443" s="144"/>
    </row>
    <row r="1444" spans="2:7" ht="15" thickBot="1">
      <c r="B1444" s="212"/>
      <c r="C1444" s="225">
        <f>+G1444/$G$1561</f>
        <v>5.4296388542963883E-2</v>
      </c>
      <c r="D1444" s="190"/>
      <c r="F1444" s="212" t="s">
        <v>900</v>
      </c>
      <c r="G1444" s="149">
        <f>+SUM(F1442:F1443)</f>
        <v>436</v>
      </c>
    </row>
    <row r="1445" spans="2:7" ht="15" thickBot="1"/>
    <row r="1446" spans="2:7" ht="15" thickBot="1">
      <c r="E1446" s="154" t="s">
        <v>908</v>
      </c>
      <c r="G1446" s="153">
        <f>+SUM(G1421:G1444)</f>
        <v>110025</v>
      </c>
    </row>
    <row r="1447" spans="2:7" ht="15" thickBot="1">
      <c r="B1447" s="155"/>
      <c r="C1447" s="155"/>
    </row>
    <row r="1448" spans="2:7" ht="18" customHeight="1">
      <c r="B1448" s="1721"/>
      <c r="C1448" s="1770" t="s">
        <v>1175</v>
      </c>
      <c r="D1448" s="1770"/>
      <c r="E1448" s="1770"/>
      <c r="F1448" s="1770"/>
      <c r="G1448" s="1771"/>
    </row>
    <row r="1449" spans="2:7" ht="18" customHeight="1">
      <c r="B1449" s="1722"/>
      <c r="C1449" s="1772"/>
      <c r="D1449" s="1772"/>
      <c r="E1449" s="1772"/>
      <c r="F1449" s="1772"/>
      <c r="G1449" s="1773"/>
    </row>
    <row r="1450" spans="2:7" ht="18" customHeight="1">
      <c r="B1450" s="1722"/>
      <c r="C1450" s="1772"/>
      <c r="D1450" s="1772"/>
      <c r="E1450" s="1772"/>
      <c r="F1450" s="1772"/>
      <c r="G1450" s="1773"/>
    </row>
    <row r="1451" spans="2:7" ht="18" customHeight="1">
      <c r="B1451" s="1722"/>
      <c r="C1451" s="1772"/>
      <c r="D1451" s="1772"/>
      <c r="E1451" s="1772"/>
      <c r="F1451" s="1772"/>
      <c r="G1451" s="1773"/>
    </row>
    <row r="1452" spans="2:7" ht="18" customHeight="1" thickBot="1">
      <c r="B1452" s="1723"/>
      <c r="C1452" s="1774"/>
      <c r="D1452" s="1774"/>
      <c r="E1452" s="1774"/>
      <c r="F1452" s="1774"/>
      <c r="G1452" s="1775"/>
    </row>
    <row r="1453" spans="2:7">
      <c r="B1453" s="1724" t="s">
        <v>890</v>
      </c>
      <c r="C1453" s="1726"/>
      <c r="D1453" s="1726"/>
      <c r="E1453" s="1733" t="s">
        <v>891</v>
      </c>
      <c r="F1453" s="1735"/>
      <c r="G1453" s="1736"/>
    </row>
    <row r="1454" spans="2:7">
      <c r="B1454" s="1727"/>
      <c r="C1454" s="1729"/>
      <c r="D1454" s="1729"/>
      <c r="E1454" s="1734"/>
      <c r="F1454" s="1737"/>
      <c r="G1454" s="1738"/>
    </row>
    <row r="1455" spans="2:7">
      <c r="B1455" s="1727"/>
      <c r="C1455" s="1729"/>
      <c r="D1455" s="1729"/>
      <c r="E1455" s="332" t="s">
        <v>892</v>
      </c>
      <c r="F1455" s="1739"/>
      <c r="G1455" s="1740"/>
    </row>
    <row r="1456" spans="2:7">
      <c r="B1456" s="1727"/>
      <c r="C1456" s="1729"/>
      <c r="D1456" s="1729"/>
      <c r="E1456" s="332" t="s">
        <v>893</v>
      </c>
      <c r="F1456" s="1739"/>
      <c r="G1456" s="1740"/>
    </row>
    <row r="1457" spans="2:7">
      <c r="B1457" s="1727"/>
      <c r="C1457" s="1729"/>
      <c r="D1457" s="1729"/>
      <c r="E1457" s="1734" t="s">
        <v>894</v>
      </c>
      <c r="F1457" s="1742"/>
      <c r="G1457" s="1743"/>
    </row>
    <row r="1458" spans="2:7" ht="15" thickBot="1">
      <c r="B1458" s="1730"/>
      <c r="C1458" s="1732"/>
      <c r="D1458" s="1732"/>
      <c r="E1458" s="1741"/>
      <c r="F1458" s="1744"/>
      <c r="G1458" s="1745"/>
    </row>
    <row r="1459" spans="2:7">
      <c r="B1459" s="1755" t="str">
        <f>+PRESUPUESTO!$A$2</f>
        <v>OBJETO: MEJORAMIENTO Y ADECUACIÓN DE LAS VIAS URBANAS DEL MUNICIPIO DE SANTA FE DE ANTIOQUIA</v>
      </c>
      <c r="C1459" s="1757"/>
      <c r="D1459" s="1757"/>
      <c r="E1459" s="1757"/>
      <c r="F1459" s="1757"/>
      <c r="G1459" s="1758"/>
    </row>
    <row r="1460" spans="2:7" ht="15" thickBot="1">
      <c r="B1460" s="1759"/>
      <c r="C1460" s="1761"/>
      <c r="D1460" s="1761"/>
      <c r="E1460" s="1761"/>
      <c r="F1460" s="1761"/>
      <c r="G1460" s="1762"/>
    </row>
    <row r="1461" spans="2:7" ht="15" thickBot="1">
      <c r="B1461" s="167" t="s">
        <v>1</v>
      </c>
      <c r="C1461" s="2059"/>
      <c r="D1461" s="1763"/>
      <c r="E1461" s="1763"/>
      <c r="F1461" s="2060"/>
      <c r="G1461" s="168" t="s">
        <v>193</v>
      </c>
    </row>
    <row r="1462" spans="2:7" ht="88.25" customHeight="1" thickBot="1">
      <c r="B1462" s="145" t="str">
        <f>+P!A61</f>
        <v>13.2.2</v>
      </c>
      <c r="C1462" s="2061" t="str">
        <f>+P!B61</f>
        <v>Suministro, transporte e instalación de materiales para salida eléctrica de interruptor DOBLE de alumbrado. TIPO LEV referencia ref 5224 según certificación RETIE y pruebas de conformidad UL por ducto pvc. Incluye el interruptor, tapa, cajas 4"x4" con tapa suplemento, conductores de cobre 12 AWG-CU-THHN-90ºC, conectores de conexión y empalme, tornillos, ducto pvc, adaptadores terminal, obra civil y demás accesorios y elementos necesarios para su correcta instalación y funcionamiento. (salida promedio 4 m).</v>
      </c>
      <c r="D1462" s="1765"/>
      <c r="E1462" s="1765"/>
      <c r="F1462" s="2062"/>
      <c r="G1462" s="169" t="str">
        <f>+P!C61</f>
        <v>un</v>
      </c>
    </row>
    <row r="1463" spans="2:7" ht="15" thickBot="1">
      <c r="B1463" s="216" t="s">
        <v>896</v>
      </c>
    </row>
    <row r="1464" spans="2:7">
      <c r="B1464" s="170" t="s">
        <v>897</v>
      </c>
      <c r="C1464" s="171" t="s">
        <v>319</v>
      </c>
      <c r="D1464" s="171" t="s">
        <v>320</v>
      </c>
      <c r="E1464" s="171" t="s">
        <v>898</v>
      </c>
      <c r="F1464" s="172" t="s">
        <v>899</v>
      </c>
      <c r="G1464" s="139"/>
    </row>
    <row r="1465" spans="2:7">
      <c r="B1465" s="222" t="s">
        <v>1040</v>
      </c>
      <c r="C1465" s="208" t="s">
        <v>23</v>
      </c>
      <c r="D1465" s="209">
        <v>1</v>
      </c>
      <c r="E1465" s="210">
        <f>+MATERIALES!D97</f>
        <v>13500</v>
      </c>
      <c r="F1465" s="211">
        <f t="shared" ref="F1465:F1473" si="8">+ROUND((D1465*E1465),0)</f>
        <v>13500</v>
      </c>
      <c r="G1465" s="147"/>
    </row>
    <row r="1466" spans="2:7">
      <c r="B1466" s="222" t="s">
        <v>1032</v>
      </c>
      <c r="C1466" s="208" t="s">
        <v>10</v>
      </c>
      <c r="D1466" s="209">
        <v>4.04</v>
      </c>
      <c r="E1466" s="210">
        <f>+MATERIALES!D89</f>
        <v>1193.3333333333333</v>
      </c>
      <c r="F1466" s="211">
        <f t="shared" si="8"/>
        <v>4821</v>
      </c>
      <c r="G1466" s="147"/>
    </row>
    <row r="1467" spans="2:7">
      <c r="B1467" s="222" t="s">
        <v>1038</v>
      </c>
      <c r="C1467" s="208" t="s">
        <v>23</v>
      </c>
      <c r="D1467" s="209">
        <v>2</v>
      </c>
      <c r="E1467" s="210">
        <f>+MATERIALES!D95</f>
        <v>423</v>
      </c>
      <c r="F1467" s="211">
        <f t="shared" si="8"/>
        <v>846</v>
      </c>
      <c r="G1467" s="147"/>
    </row>
    <row r="1468" spans="2:7">
      <c r="B1468" s="222" t="s">
        <v>1039</v>
      </c>
      <c r="C1468" s="208" t="s">
        <v>23</v>
      </c>
      <c r="D1468" s="209">
        <v>2</v>
      </c>
      <c r="E1468" s="210">
        <f>+MATERIALES!D96</f>
        <v>1350</v>
      </c>
      <c r="F1468" s="211">
        <f t="shared" si="8"/>
        <v>2700</v>
      </c>
      <c r="G1468" s="147"/>
    </row>
    <row r="1469" spans="2:7">
      <c r="B1469" s="222" t="s">
        <v>1245</v>
      </c>
      <c r="C1469" s="208" t="s">
        <v>1246</v>
      </c>
      <c r="D1469" s="209">
        <v>4</v>
      </c>
      <c r="E1469" s="210">
        <v>372</v>
      </c>
      <c r="F1469" s="211">
        <f t="shared" si="8"/>
        <v>1488</v>
      </c>
      <c r="G1469" s="147"/>
    </row>
    <row r="1470" spans="2:7">
      <c r="B1470" s="222" t="s">
        <v>1247</v>
      </c>
      <c r="C1470" s="208" t="s">
        <v>10</v>
      </c>
      <c r="D1470" s="209">
        <v>4</v>
      </c>
      <c r="E1470" s="210">
        <v>500</v>
      </c>
      <c r="F1470" s="211">
        <f t="shared" si="8"/>
        <v>2000</v>
      </c>
      <c r="G1470" s="147"/>
    </row>
    <row r="1471" spans="2:7">
      <c r="B1471" s="222" t="s">
        <v>1026</v>
      </c>
      <c r="C1471" s="208" t="s">
        <v>10</v>
      </c>
      <c r="D1471" s="209">
        <v>13.5</v>
      </c>
      <c r="E1471" s="210">
        <f>+MATERIALES!D83</f>
        <v>2640</v>
      </c>
      <c r="F1471" s="211">
        <f t="shared" si="8"/>
        <v>35640</v>
      </c>
      <c r="G1471" s="147"/>
    </row>
    <row r="1472" spans="2:7">
      <c r="B1472" s="222" t="s">
        <v>1031</v>
      </c>
      <c r="C1472" s="208" t="s">
        <v>23</v>
      </c>
      <c r="D1472" s="209">
        <v>1</v>
      </c>
      <c r="E1472" s="210">
        <f>+MATERIALES!D88</f>
        <v>9390</v>
      </c>
      <c r="F1472" s="211">
        <f t="shared" si="8"/>
        <v>9390</v>
      </c>
      <c r="G1472" s="147"/>
    </row>
    <row r="1473" spans="2:7" ht="15" thickBot="1">
      <c r="B1473" s="223" t="s">
        <v>1030</v>
      </c>
      <c r="C1473" s="202" t="s">
        <v>23</v>
      </c>
      <c r="D1473" s="203">
        <v>1.5</v>
      </c>
      <c r="E1473" s="204">
        <f>+MATERIALES!D87</f>
        <v>1750</v>
      </c>
      <c r="F1473" s="206">
        <f t="shared" si="8"/>
        <v>2625</v>
      </c>
      <c r="G1473" s="142"/>
    </row>
    <row r="1474" spans="2:7" ht="15" thickBot="1">
      <c r="B1474" s="212"/>
      <c r="C1474" s="184">
        <f>+G1474/$G$1489</f>
        <v>0.64690194132605594</v>
      </c>
      <c r="D1474" s="190"/>
      <c r="F1474" s="212" t="s">
        <v>900</v>
      </c>
      <c r="G1474" s="149">
        <f>+SUM(F1465:F1473)</f>
        <v>73010</v>
      </c>
    </row>
    <row r="1475" spans="2:7" ht="15" thickBot="1">
      <c r="B1475" s="216" t="s">
        <v>901</v>
      </c>
    </row>
    <row r="1476" spans="2:7">
      <c r="B1476" s="170" t="s">
        <v>897</v>
      </c>
      <c r="C1476" s="171" t="s">
        <v>319</v>
      </c>
      <c r="D1476" s="171" t="s">
        <v>320</v>
      </c>
      <c r="E1476" s="171" t="s">
        <v>898</v>
      </c>
      <c r="F1476" s="172" t="s">
        <v>899</v>
      </c>
      <c r="G1476" s="139"/>
    </row>
    <row r="1477" spans="2:7" ht="15" thickBot="1">
      <c r="B1477" s="218" t="s">
        <v>1243</v>
      </c>
      <c r="C1477" s="202" t="s">
        <v>916</v>
      </c>
      <c r="D1477" s="203">
        <v>0.12697</v>
      </c>
      <c r="E1477" s="204">
        <f>+'FP OPERATIVO'!F35</f>
        <v>295642.2840888889</v>
      </c>
      <c r="F1477" s="206">
        <f>+ROUND((D1477*E1477),0)</f>
        <v>37538</v>
      </c>
      <c r="G1477" s="142"/>
    </row>
    <row r="1478" spans="2:7" ht="15" thickBot="1">
      <c r="B1478" s="212"/>
      <c r="C1478" s="184">
        <f>+G1478/$G$1489</f>
        <v>0.33260382240100655</v>
      </c>
      <c r="D1478" s="190"/>
      <c r="F1478" s="212" t="s">
        <v>900</v>
      </c>
      <c r="G1478" s="149">
        <f>+SUM(F1477)</f>
        <v>37538</v>
      </c>
    </row>
    <row r="1479" spans="2:7" ht="15" thickBot="1">
      <c r="B1479" s="216" t="s">
        <v>917</v>
      </c>
    </row>
    <row r="1480" spans="2:7">
      <c r="B1480" s="170" t="s">
        <v>897</v>
      </c>
      <c r="C1480" s="171" t="s">
        <v>319</v>
      </c>
      <c r="D1480" s="171" t="s">
        <v>320</v>
      </c>
      <c r="E1480" s="171" t="s">
        <v>898</v>
      </c>
      <c r="F1480" s="172" t="s">
        <v>899</v>
      </c>
      <c r="G1480" s="139"/>
    </row>
    <row r="1481" spans="2:7" ht="15" thickBot="1">
      <c r="B1481" s="218" t="s">
        <v>905</v>
      </c>
      <c r="C1481" s="202" t="s">
        <v>906</v>
      </c>
      <c r="D1481" s="203">
        <v>0.05</v>
      </c>
      <c r="E1481" s="204">
        <f>+G1478</f>
        <v>37538</v>
      </c>
      <c r="F1481" s="206">
        <f>+ROUND((D1481*E1481),0)</f>
        <v>1877</v>
      </c>
      <c r="G1481" s="142"/>
    </row>
    <row r="1482" spans="2:7" ht="15" thickBot="1">
      <c r="B1482" s="212"/>
      <c r="C1482" s="184">
        <f>+G1482/$G$1489</f>
        <v>1.6631077165717122E-2</v>
      </c>
      <c r="D1482" s="190"/>
      <c r="F1482" s="212" t="s">
        <v>900</v>
      </c>
      <c r="G1482" s="149">
        <f>+SUM(F1481)</f>
        <v>1877</v>
      </c>
    </row>
    <row r="1483" spans="2:7" ht="15" thickBot="1">
      <c r="B1483" s="216" t="s">
        <v>1182</v>
      </c>
    </row>
    <row r="1484" spans="2:7">
      <c r="B1484" s="170" t="s">
        <v>897</v>
      </c>
      <c r="C1484" s="171" t="s">
        <v>319</v>
      </c>
      <c r="D1484" s="171" t="s">
        <v>320</v>
      </c>
      <c r="E1484" s="171" t="s">
        <v>898</v>
      </c>
      <c r="F1484" s="187" t="s">
        <v>899</v>
      </c>
      <c r="G1484" s="143"/>
    </row>
    <row r="1485" spans="2:7">
      <c r="B1485" s="309" t="s">
        <v>1218</v>
      </c>
      <c r="C1485" s="208" t="s">
        <v>23</v>
      </c>
      <c r="D1485" s="209">
        <v>5.2499999999999997E-4</v>
      </c>
      <c r="E1485" s="210">
        <f>+EQUIPOS!$C$53</f>
        <v>450000</v>
      </c>
      <c r="F1485" s="213">
        <f>+ROUND((D1485*E1485),0)</f>
        <v>236</v>
      </c>
      <c r="G1485" s="162"/>
    </row>
    <row r="1486" spans="2:7" ht="15" thickBot="1">
      <c r="B1486" s="218" t="s">
        <v>1244</v>
      </c>
      <c r="C1486" s="304" t="s">
        <v>23</v>
      </c>
      <c r="D1486" s="303">
        <v>5.7099999999999998E-3</v>
      </c>
      <c r="E1486" s="305">
        <v>35000</v>
      </c>
      <c r="F1486" s="306">
        <f>+ROUND((D1486*E1486),0)</f>
        <v>200</v>
      </c>
      <c r="G1486" s="144"/>
    </row>
    <row r="1487" spans="2:7" ht="15" thickBot="1">
      <c r="B1487" s="212"/>
      <c r="C1487" s="225">
        <f>+G1487/$G$1561</f>
        <v>5.4296388542963883E-2</v>
      </c>
      <c r="D1487" s="190"/>
      <c r="F1487" s="212" t="s">
        <v>900</v>
      </c>
      <c r="G1487" s="149">
        <f>+SUM(F1485:F1486)</f>
        <v>436</v>
      </c>
    </row>
    <row r="1488" spans="2:7" ht="15" thickBot="1">
      <c r="B1488" s="1"/>
    </row>
    <row r="1489" spans="2:7" ht="15" thickBot="1">
      <c r="E1489" s="154" t="s">
        <v>908</v>
      </c>
      <c r="G1489" s="153">
        <f>+SUM(G1464:G1487)</f>
        <v>112861</v>
      </c>
    </row>
    <row r="1490" spans="2:7" ht="15" thickBot="1">
      <c r="B1490" s="340"/>
      <c r="C1490" s="201"/>
      <c r="D1490" s="253"/>
      <c r="E1490" s="253"/>
      <c r="F1490" s="253"/>
      <c r="G1490" s="196"/>
    </row>
    <row r="1491" spans="2:7" ht="19.25" customHeight="1">
      <c r="B1491" s="1721"/>
      <c r="C1491" s="1770" t="s">
        <v>1175</v>
      </c>
      <c r="D1491" s="1770"/>
      <c r="E1491" s="1770"/>
      <c r="F1491" s="1770"/>
      <c r="G1491" s="1771"/>
    </row>
    <row r="1492" spans="2:7" ht="19.25" customHeight="1">
      <c r="B1492" s="1722"/>
      <c r="C1492" s="1772"/>
      <c r="D1492" s="1772"/>
      <c r="E1492" s="1772"/>
      <c r="F1492" s="1772"/>
      <c r="G1492" s="1773"/>
    </row>
    <row r="1493" spans="2:7" ht="19.25" customHeight="1">
      <c r="B1493" s="1722"/>
      <c r="C1493" s="1772"/>
      <c r="D1493" s="1772"/>
      <c r="E1493" s="1772"/>
      <c r="F1493" s="1772"/>
      <c r="G1493" s="1773"/>
    </row>
    <row r="1494" spans="2:7" ht="19.25" customHeight="1">
      <c r="B1494" s="1722"/>
      <c r="C1494" s="1772"/>
      <c r="D1494" s="1772"/>
      <c r="E1494" s="1772"/>
      <c r="F1494" s="1772"/>
      <c r="G1494" s="1773"/>
    </row>
    <row r="1495" spans="2:7" ht="19.25" customHeight="1" thickBot="1">
      <c r="B1495" s="1723"/>
      <c r="C1495" s="1774"/>
      <c r="D1495" s="1774"/>
      <c r="E1495" s="1774"/>
      <c r="F1495" s="1774"/>
      <c r="G1495" s="1775"/>
    </row>
    <row r="1496" spans="2:7">
      <c r="B1496" s="1724" t="s">
        <v>890</v>
      </c>
      <c r="C1496" s="1726"/>
      <c r="D1496" s="1726"/>
      <c r="E1496" s="1733" t="s">
        <v>891</v>
      </c>
      <c r="F1496" s="1735"/>
      <c r="G1496" s="1736"/>
    </row>
    <row r="1497" spans="2:7">
      <c r="B1497" s="1727"/>
      <c r="C1497" s="1729"/>
      <c r="D1497" s="1729"/>
      <c r="E1497" s="1734"/>
      <c r="F1497" s="1737"/>
      <c r="G1497" s="1738"/>
    </row>
    <row r="1498" spans="2:7">
      <c r="B1498" s="1727"/>
      <c r="C1498" s="1729"/>
      <c r="D1498" s="1729"/>
      <c r="E1498" s="332" t="s">
        <v>892</v>
      </c>
      <c r="F1498" s="1739"/>
      <c r="G1498" s="1740"/>
    </row>
    <row r="1499" spans="2:7">
      <c r="B1499" s="1727"/>
      <c r="C1499" s="1729"/>
      <c r="D1499" s="1729"/>
      <c r="E1499" s="332" t="s">
        <v>893</v>
      </c>
      <c r="F1499" s="1739"/>
      <c r="G1499" s="1740"/>
    </row>
    <row r="1500" spans="2:7">
      <c r="B1500" s="1727"/>
      <c r="C1500" s="1729"/>
      <c r="D1500" s="1729"/>
      <c r="E1500" s="1734" t="s">
        <v>894</v>
      </c>
      <c r="F1500" s="1742"/>
      <c r="G1500" s="1743"/>
    </row>
    <row r="1501" spans="2:7" ht="15" thickBot="1">
      <c r="B1501" s="1730"/>
      <c r="C1501" s="1732"/>
      <c r="D1501" s="1732"/>
      <c r="E1501" s="1741"/>
      <c r="F1501" s="1744"/>
      <c r="G1501" s="1745"/>
    </row>
    <row r="1502" spans="2:7">
      <c r="B1502" s="1755" t="str">
        <f>+PRESUPUESTO!$A$2</f>
        <v>OBJETO: MEJORAMIENTO Y ADECUACIÓN DE LAS VIAS URBANAS DEL MUNICIPIO DE SANTA FE DE ANTIOQUIA</v>
      </c>
      <c r="C1502" s="1757"/>
      <c r="D1502" s="1757"/>
      <c r="E1502" s="1757"/>
      <c r="F1502" s="1757"/>
      <c r="G1502" s="1758"/>
    </row>
    <row r="1503" spans="2:7" ht="15" thickBot="1">
      <c r="B1503" s="1759"/>
      <c r="C1503" s="1761"/>
      <c r="D1503" s="1761"/>
      <c r="E1503" s="1761"/>
      <c r="F1503" s="1761"/>
      <c r="G1503" s="1762"/>
    </row>
    <row r="1504" spans="2:7" ht="15" thickBot="1">
      <c r="B1504" s="167" t="s">
        <v>1</v>
      </c>
      <c r="C1504" s="2059"/>
      <c r="D1504" s="1763"/>
      <c r="E1504" s="1763"/>
      <c r="F1504" s="2060"/>
      <c r="G1504" s="168" t="s">
        <v>193</v>
      </c>
    </row>
    <row r="1505" spans="2:7" ht="43.25" customHeight="1" thickBot="1">
      <c r="B1505" s="145" t="str">
        <f>+P!A63</f>
        <v>13.3.1</v>
      </c>
      <c r="C1505" s="2061" t="str">
        <f>+P!B63</f>
        <v>Suministro, transporte e instalación de cable blando 1 No12 cobre THHN/THWN-90ºC. Por ducto o canaleta. Incluye conectores, marcación y demás accesorios para su correcta instalación y funcionamiento según RETIE.</v>
      </c>
      <c r="D1505" s="1765"/>
      <c r="E1505" s="1765"/>
      <c r="F1505" s="2062"/>
      <c r="G1505" s="169" t="str">
        <f>+P!C63</f>
        <v>m</v>
      </c>
    </row>
    <row r="1506" spans="2:7" ht="15" thickBot="1">
      <c r="B1506" s="216" t="s">
        <v>896</v>
      </c>
    </row>
    <row r="1507" spans="2:7">
      <c r="B1507" s="170" t="s">
        <v>897</v>
      </c>
      <c r="C1507" s="171" t="s">
        <v>319</v>
      </c>
      <c r="D1507" s="171" t="s">
        <v>320</v>
      </c>
      <c r="E1507" s="171" t="s">
        <v>898</v>
      </c>
      <c r="F1507" s="172" t="s">
        <v>899</v>
      </c>
      <c r="G1507" s="139"/>
    </row>
    <row r="1508" spans="2:7">
      <c r="B1508" s="217" t="s">
        <v>1248</v>
      </c>
      <c r="C1508" s="208" t="s">
        <v>10</v>
      </c>
      <c r="D1508" s="209">
        <v>3.03</v>
      </c>
      <c r="E1508" s="210">
        <f>+MATERIALES!D83</f>
        <v>2640</v>
      </c>
      <c r="F1508" s="211">
        <f>+ROUND((D1508*E1508),0)</f>
        <v>7999</v>
      </c>
      <c r="G1508" s="147"/>
    </row>
    <row r="1509" spans="2:7" ht="15" thickBot="1">
      <c r="B1509" s="218" t="s">
        <v>1249</v>
      </c>
      <c r="C1509" s="202" t="s">
        <v>23</v>
      </c>
      <c r="D1509" s="203">
        <v>1</v>
      </c>
      <c r="E1509" s="204">
        <v>150</v>
      </c>
      <c r="F1509" s="206">
        <f>+ROUND((D1509*E1509),0)</f>
        <v>150</v>
      </c>
      <c r="G1509" s="142"/>
    </row>
    <row r="1510" spans="2:7" ht="15" thickBot="1">
      <c r="B1510" s="212"/>
      <c r="C1510" s="184">
        <f>+G1510/$G$1525</f>
        <v>0.76101979828165855</v>
      </c>
      <c r="D1510" s="190"/>
      <c r="F1510" s="212" t="s">
        <v>900</v>
      </c>
      <c r="G1510" s="149">
        <f>+SUM(F1508:F1509)</f>
        <v>8149</v>
      </c>
    </row>
    <row r="1511" spans="2:7" ht="15" thickBot="1">
      <c r="B1511" s="216" t="s">
        <v>901</v>
      </c>
    </row>
    <row r="1512" spans="2:7">
      <c r="B1512" s="170" t="s">
        <v>897</v>
      </c>
      <c r="C1512" s="171" t="s">
        <v>319</v>
      </c>
      <c r="D1512" s="171" t="s">
        <v>320</v>
      </c>
      <c r="E1512" s="171" t="s">
        <v>898</v>
      </c>
      <c r="F1512" s="172" t="s">
        <v>899</v>
      </c>
      <c r="G1512" s="139"/>
    </row>
    <row r="1513" spans="2:7" ht="15" thickBot="1">
      <c r="B1513" s="218" t="s">
        <v>1243</v>
      </c>
      <c r="C1513" s="202" t="s">
        <v>916</v>
      </c>
      <c r="D1513" s="203">
        <v>6.8399999999999997E-3</v>
      </c>
      <c r="E1513" s="204">
        <f>+'FP OPERATIVO'!F35</f>
        <v>295642.2840888889</v>
      </c>
      <c r="F1513" s="206">
        <f>+ROUND((D1513*E1513),0)</f>
        <v>2022</v>
      </c>
      <c r="G1513" s="142"/>
    </row>
    <row r="1514" spans="2:7" ht="15" thickBot="1">
      <c r="B1514" s="212"/>
      <c r="C1514" s="184">
        <f>+G1514/$G$1525</f>
        <v>0.18883078072469181</v>
      </c>
      <c r="D1514" s="190"/>
      <c r="F1514" s="212" t="s">
        <v>900</v>
      </c>
      <c r="G1514" s="149">
        <f>+SUM(F1513)</f>
        <v>2022</v>
      </c>
    </row>
    <row r="1515" spans="2:7" ht="15" thickBot="1">
      <c r="B1515" s="216" t="s">
        <v>917</v>
      </c>
    </row>
    <row r="1516" spans="2:7">
      <c r="B1516" s="170" t="s">
        <v>897</v>
      </c>
      <c r="C1516" s="171" t="s">
        <v>319</v>
      </c>
      <c r="D1516" s="171" t="s">
        <v>320</v>
      </c>
      <c r="E1516" s="171" t="s">
        <v>898</v>
      </c>
      <c r="F1516" s="172" t="s">
        <v>899</v>
      </c>
      <c r="G1516" s="139"/>
    </row>
    <row r="1517" spans="2:7" ht="15" thickBot="1">
      <c r="B1517" s="218" t="s">
        <v>905</v>
      </c>
      <c r="C1517" s="202" t="s">
        <v>906</v>
      </c>
      <c r="D1517" s="203">
        <v>0.05</v>
      </c>
      <c r="E1517" s="204">
        <f>+G1514</f>
        <v>2022</v>
      </c>
      <c r="F1517" s="206">
        <f>+ROUND((D1517*E1517),0)</f>
        <v>101</v>
      </c>
      <c r="G1517" s="142"/>
    </row>
    <row r="1518" spans="2:7" ht="15" thickBot="1">
      <c r="B1518" s="212"/>
      <c r="C1518" s="184">
        <f>+G1518/$G$1525</f>
        <v>9.4322002241314911E-3</v>
      </c>
      <c r="D1518" s="190"/>
      <c r="F1518" s="212" t="s">
        <v>900</v>
      </c>
      <c r="G1518" s="149">
        <f>+SUM(F1517)</f>
        <v>101</v>
      </c>
    </row>
    <row r="1519" spans="2:7" ht="15" thickBot="1">
      <c r="B1519" s="216" t="s">
        <v>1182</v>
      </c>
    </row>
    <row r="1520" spans="2:7">
      <c r="B1520" s="170" t="s">
        <v>897</v>
      </c>
      <c r="C1520" s="171" t="s">
        <v>319</v>
      </c>
      <c r="D1520" s="171" t="s">
        <v>320</v>
      </c>
      <c r="E1520" s="171" t="s">
        <v>898</v>
      </c>
      <c r="F1520" s="187" t="s">
        <v>899</v>
      </c>
      <c r="G1520" s="143"/>
    </row>
    <row r="1521" spans="2:7">
      <c r="B1521" s="309" t="s">
        <v>1218</v>
      </c>
      <c r="C1521" s="208" t="s">
        <v>23</v>
      </c>
      <c r="D1521" s="209">
        <v>5.2499999999999997E-4</v>
      </c>
      <c r="E1521" s="210">
        <f>+EQUIPOS!$C$53</f>
        <v>450000</v>
      </c>
      <c r="F1521" s="213">
        <f>+ROUND((D1521*E1521),0)</f>
        <v>236</v>
      </c>
      <c r="G1521" s="162"/>
    </row>
    <row r="1522" spans="2:7" ht="15" thickBot="1">
      <c r="B1522" s="218" t="s">
        <v>1244</v>
      </c>
      <c r="C1522" s="304" t="s">
        <v>23</v>
      </c>
      <c r="D1522" s="303">
        <v>5.7099999999999998E-3</v>
      </c>
      <c r="E1522" s="305">
        <v>35000</v>
      </c>
      <c r="F1522" s="306">
        <f>+ROUND((D1522*E1522),0)</f>
        <v>200</v>
      </c>
      <c r="G1522" s="144"/>
    </row>
    <row r="1523" spans="2:7" ht="15" thickBot="1">
      <c r="B1523" s="212"/>
      <c r="C1523" s="225">
        <f>+G1523/$G$1561</f>
        <v>5.4296388542963883E-2</v>
      </c>
      <c r="D1523" s="190"/>
      <c r="F1523" s="212" t="s">
        <v>900</v>
      </c>
      <c r="G1523" s="149">
        <f>+SUM(F1521:F1522)</f>
        <v>436</v>
      </c>
    </row>
    <row r="1524" spans="2:7" ht="15" thickBot="1"/>
    <row r="1525" spans="2:7" ht="15" thickBot="1">
      <c r="E1525" s="154" t="s">
        <v>908</v>
      </c>
      <c r="G1525" s="153">
        <f>+SUM(G1507:G1523)</f>
        <v>10708</v>
      </c>
    </row>
    <row r="1526" spans="2:7" ht="15" thickBot="1">
      <c r="B1526" s="340"/>
      <c r="C1526" s="201"/>
      <c r="D1526" s="253"/>
      <c r="E1526" s="253"/>
      <c r="F1526" s="253"/>
      <c r="G1526" s="196"/>
    </row>
    <row r="1527" spans="2:7" ht="19.25" customHeight="1">
      <c r="B1527" s="1721"/>
      <c r="C1527" s="1770" t="s">
        <v>1175</v>
      </c>
      <c r="D1527" s="1770"/>
      <c r="E1527" s="1770"/>
      <c r="F1527" s="1770"/>
      <c r="G1527" s="1771"/>
    </row>
    <row r="1528" spans="2:7" ht="19.25" customHeight="1">
      <c r="B1528" s="1722"/>
      <c r="C1528" s="1772"/>
      <c r="D1528" s="1772"/>
      <c r="E1528" s="1772"/>
      <c r="F1528" s="1772"/>
      <c r="G1528" s="1773"/>
    </row>
    <row r="1529" spans="2:7" ht="19.25" customHeight="1">
      <c r="B1529" s="1722"/>
      <c r="C1529" s="1772"/>
      <c r="D1529" s="1772"/>
      <c r="E1529" s="1772"/>
      <c r="F1529" s="1772"/>
      <c r="G1529" s="1773"/>
    </row>
    <row r="1530" spans="2:7" ht="19.25" customHeight="1">
      <c r="B1530" s="1722"/>
      <c r="C1530" s="1772"/>
      <c r="D1530" s="1772"/>
      <c r="E1530" s="1772"/>
      <c r="F1530" s="1772"/>
      <c r="G1530" s="1773"/>
    </row>
    <row r="1531" spans="2:7" ht="19.25" customHeight="1" thickBot="1">
      <c r="B1531" s="1723"/>
      <c r="C1531" s="1774"/>
      <c r="D1531" s="1774"/>
      <c r="E1531" s="1774"/>
      <c r="F1531" s="1774"/>
      <c r="G1531" s="1775"/>
    </row>
    <row r="1532" spans="2:7">
      <c r="B1532" s="1724" t="s">
        <v>890</v>
      </c>
      <c r="C1532" s="1726"/>
      <c r="D1532" s="1726"/>
      <c r="E1532" s="1733" t="s">
        <v>891</v>
      </c>
      <c r="F1532" s="1735"/>
      <c r="G1532" s="1736"/>
    </row>
    <row r="1533" spans="2:7">
      <c r="B1533" s="1727"/>
      <c r="C1533" s="1729"/>
      <c r="D1533" s="1729"/>
      <c r="E1533" s="1734"/>
      <c r="F1533" s="1737"/>
      <c r="G1533" s="1738"/>
    </row>
    <row r="1534" spans="2:7">
      <c r="B1534" s="1727"/>
      <c r="C1534" s="1729"/>
      <c r="D1534" s="1729"/>
      <c r="E1534" s="332" t="s">
        <v>892</v>
      </c>
      <c r="F1534" s="1739"/>
      <c r="G1534" s="1740"/>
    </row>
    <row r="1535" spans="2:7">
      <c r="B1535" s="1727"/>
      <c r="C1535" s="1729"/>
      <c r="D1535" s="1729"/>
      <c r="E1535" s="332" t="s">
        <v>893</v>
      </c>
      <c r="F1535" s="1739"/>
      <c r="G1535" s="1740"/>
    </row>
    <row r="1536" spans="2:7">
      <c r="B1536" s="1727"/>
      <c r="C1536" s="1729"/>
      <c r="D1536" s="1729"/>
      <c r="E1536" s="1734" t="s">
        <v>894</v>
      </c>
      <c r="F1536" s="1742"/>
      <c r="G1536" s="1743"/>
    </row>
    <row r="1537" spans="2:7" ht="15" thickBot="1">
      <c r="B1537" s="1730"/>
      <c r="C1537" s="1732"/>
      <c r="D1537" s="1732"/>
      <c r="E1537" s="1741"/>
      <c r="F1537" s="1744"/>
      <c r="G1537" s="1745"/>
    </row>
    <row r="1538" spans="2:7">
      <c r="B1538" s="1755" t="str">
        <f>+PRESUPUESTO!$A$2</f>
        <v>OBJETO: MEJORAMIENTO Y ADECUACIÓN DE LAS VIAS URBANAS DEL MUNICIPIO DE SANTA FE DE ANTIOQUIA</v>
      </c>
      <c r="C1538" s="1757"/>
      <c r="D1538" s="1757"/>
      <c r="E1538" s="1757"/>
      <c r="F1538" s="1757"/>
      <c r="G1538" s="1758"/>
    </row>
    <row r="1539" spans="2:7" ht="15" thickBot="1">
      <c r="B1539" s="1759"/>
      <c r="C1539" s="1761"/>
      <c r="D1539" s="1761"/>
      <c r="E1539" s="1761"/>
      <c r="F1539" s="1761"/>
      <c r="G1539" s="1762"/>
    </row>
    <row r="1540" spans="2:7" ht="15" thickBot="1">
      <c r="B1540" s="167" t="s">
        <v>1</v>
      </c>
      <c r="C1540" s="2059"/>
      <c r="D1540" s="1763"/>
      <c r="E1540" s="1763"/>
      <c r="F1540" s="2060"/>
      <c r="G1540" s="168" t="s">
        <v>193</v>
      </c>
    </row>
    <row r="1541" spans="2:7" ht="51.5" customHeight="1" thickBot="1">
      <c r="B1541" s="145" t="str">
        <f>+P!A64</f>
        <v>13.3.2</v>
      </c>
      <c r="C1541" s="2061" t="str">
        <f>+P!B64</f>
        <v>Suministro, transporte e instalación de cable blando 1 No14 cobre THHN/THWN-90ºC. Por ducto o canaleta. Incluye conectores, marcación y demás accesorios para su correcta instalación y funcionamiento según RETIE.</v>
      </c>
      <c r="D1541" s="1765"/>
      <c r="E1541" s="1765"/>
      <c r="F1541" s="2062"/>
      <c r="G1541" s="169" t="str">
        <f>+P!C64</f>
        <v>m</v>
      </c>
    </row>
    <row r="1542" spans="2:7" ht="15" thickBot="1">
      <c r="B1542" s="216" t="s">
        <v>896</v>
      </c>
    </row>
    <row r="1543" spans="2:7">
      <c r="B1543" s="170" t="s">
        <v>897</v>
      </c>
      <c r="C1543" s="171" t="s">
        <v>319</v>
      </c>
      <c r="D1543" s="171" t="s">
        <v>320</v>
      </c>
      <c r="E1543" s="171" t="s">
        <v>898</v>
      </c>
      <c r="F1543" s="172" t="s">
        <v>899</v>
      </c>
      <c r="G1543" s="139"/>
    </row>
    <row r="1544" spans="2:7">
      <c r="B1544" s="217" t="s">
        <v>1250</v>
      </c>
      <c r="C1544" s="208" t="s">
        <v>10</v>
      </c>
      <c r="D1544" s="209">
        <v>3.03</v>
      </c>
      <c r="E1544" s="210">
        <f>+MATERIALES!D84</f>
        <v>1766</v>
      </c>
      <c r="F1544" s="211">
        <f>+ROUND((D1544*E1544),0)</f>
        <v>5351</v>
      </c>
      <c r="G1544" s="147"/>
    </row>
    <row r="1545" spans="2:7" ht="15" thickBot="1">
      <c r="B1545" s="218" t="s">
        <v>1251</v>
      </c>
      <c r="C1545" s="202" t="s">
        <v>23</v>
      </c>
      <c r="D1545" s="203">
        <v>1</v>
      </c>
      <c r="E1545" s="204">
        <v>150</v>
      </c>
      <c r="F1545" s="206">
        <f>+ROUND((D1545*E1545),0)</f>
        <v>150</v>
      </c>
      <c r="G1545" s="142"/>
    </row>
    <row r="1546" spans="2:7" ht="15" thickBot="1">
      <c r="B1546" s="212"/>
      <c r="C1546" s="225">
        <f>+G1546/$G$1561</f>
        <v>0.68505603985056041</v>
      </c>
      <c r="D1546" s="190"/>
      <c r="F1546" s="212" t="s">
        <v>900</v>
      </c>
      <c r="G1546" s="149">
        <f>+SUM(F1544:F1545)</f>
        <v>5501</v>
      </c>
    </row>
    <row r="1547" spans="2:7" ht="15" thickBot="1">
      <c r="B1547" s="216" t="s">
        <v>901</v>
      </c>
    </row>
    <row r="1548" spans="2:7">
      <c r="B1548" s="170" t="s">
        <v>897</v>
      </c>
      <c r="C1548" s="171" t="s">
        <v>319</v>
      </c>
      <c r="D1548" s="171" t="s">
        <v>320</v>
      </c>
      <c r="E1548" s="171" t="s">
        <v>898</v>
      </c>
      <c r="F1548" s="172" t="s">
        <v>899</v>
      </c>
      <c r="G1548" s="139"/>
    </row>
    <row r="1549" spans="2:7" ht="15" thickBot="1">
      <c r="B1549" s="218" t="s">
        <v>1243</v>
      </c>
      <c r="C1549" s="202" t="s">
        <v>916</v>
      </c>
      <c r="D1549" s="203">
        <v>6.7400000000000003E-3</v>
      </c>
      <c r="E1549" s="204">
        <f>+'FP OPERATIVO'!F35</f>
        <v>295642.2840888889</v>
      </c>
      <c r="F1549" s="206">
        <f>+ROUND((D1549*E1549),0)</f>
        <v>1993</v>
      </c>
      <c r="G1549" s="142"/>
    </row>
    <row r="1550" spans="2:7" ht="15" thickBot="1">
      <c r="B1550" s="212"/>
      <c r="C1550" s="225">
        <f>+G1550/$G$1561</f>
        <v>0.2481942714819427</v>
      </c>
      <c r="D1550" s="190"/>
      <c r="F1550" s="212" t="s">
        <v>900</v>
      </c>
      <c r="G1550" s="149">
        <f>+SUM(F1549)</f>
        <v>1993</v>
      </c>
    </row>
    <row r="1551" spans="2:7" ht="15" thickBot="1">
      <c r="B1551" s="216" t="s">
        <v>917</v>
      </c>
    </row>
    <row r="1552" spans="2:7">
      <c r="B1552" s="170" t="s">
        <v>897</v>
      </c>
      <c r="C1552" s="171" t="s">
        <v>319</v>
      </c>
      <c r="D1552" s="171" t="s">
        <v>320</v>
      </c>
      <c r="E1552" s="171" t="s">
        <v>898</v>
      </c>
      <c r="F1552" s="172" t="s">
        <v>899</v>
      </c>
      <c r="G1552" s="139"/>
    </row>
    <row r="1553" spans="2:7" ht="15" thickBot="1">
      <c r="B1553" s="218" t="s">
        <v>905</v>
      </c>
      <c r="C1553" s="202" t="s">
        <v>906</v>
      </c>
      <c r="D1553" s="203">
        <v>0.05</v>
      </c>
      <c r="E1553" s="204">
        <f>+G1550</f>
        <v>1993</v>
      </c>
      <c r="F1553" s="206">
        <f>+ROUND((D1553*E1553),0)</f>
        <v>100</v>
      </c>
      <c r="G1553" s="142"/>
    </row>
    <row r="1554" spans="2:7" ht="15" thickBot="1">
      <c r="B1554" s="212"/>
      <c r="C1554" s="225">
        <f>+G1554/$G$1561</f>
        <v>1.2453300124533001E-2</v>
      </c>
      <c r="D1554" s="190"/>
      <c r="F1554" s="212" t="s">
        <v>900</v>
      </c>
      <c r="G1554" s="149">
        <f>+SUM(F1553)</f>
        <v>100</v>
      </c>
    </row>
    <row r="1555" spans="2:7" ht="15" thickBot="1">
      <c r="B1555" s="216" t="s">
        <v>1182</v>
      </c>
    </row>
    <row r="1556" spans="2:7">
      <c r="B1556" s="170" t="s">
        <v>897</v>
      </c>
      <c r="C1556" s="171" t="s">
        <v>319</v>
      </c>
      <c r="D1556" s="171" t="s">
        <v>320</v>
      </c>
      <c r="E1556" s="171" t="s">
        <v>898</v>
      </c>
      <c r="F1556" s="187" t="s">
        <v>899</v>
      </c>
      <c r="G1556" s="143"/>
    </row>
    <row r="1557" spans="2:7">
      <c r="B1557" s="309" t="s">
        <v>1218</v>
      </c>
      <c r="C1557" s="208" t="s">
        <v>23</v>
      </c>
      <c r="D1557" s="209">
        <v>5.2499999999999997E-4</v>
      </c>
      <c r="E1557" s="210">
        <f>+EQUIPOS!$C$53</f>
        <v>450000</v>
      </c>
      <c r="F1557" s="213">
        <f>+ROUND((D1557*E1557),0)</f>
        <v>236</v>
      </c>
      <c r="G1557" s="162"/>
    </row>
    <row r="1558" spans="2:7" ht="15" thickBot="1">
      <c r="B1558" s="218" t="s">
        <v>1244</v>
      </c>
      <c r="C1558" s="304" t="s">
        <v>23</v>
      </c>
      <c r="D1558" s="303">
        <v>5.7099999999999998E-3</v>
      </c>
      <c r="E1558" s="305">
        <v>35000</v>
      </c>
      <c r="F1558" s="306">
        <f>+ROUND((D1558*E1558),0)</f>
        <v>200</v>
      </c>
      <c r="G1558" s="144"/>
    </row>
    <row r="1559" spans="2:7" ht="15" thickBot="1">
      <c r="B1559" s="212"/>
      <c r="C1559" s="225">
        <f>+G1559/$G$1561</f>
        <v>5.4296388542963883E-2</v>
      </c>
      <c r="D1559" s="190"/>
      <c r="F1559" s="212" t="s">
        <v>900</v>
      </c>
      <c r="G1559" s="149">
        <f>+SUM(F1557:F1558)</f>
        <v>436</v>
      </c>
    </row>
    <row r="1560" spans="2:7" ht="15" thickBot="1"/>
    <row r="1561" spans="2:7" ht="15" thickBot="1">
      <c r="E1561" s="154" t="s">
        <v>908</v>
      </c>
      <c r="G1561" s="153">
        <f>+SUM(G1543:G1559)</f>
        <v>8030</v>
      </c>
    </row>
    <row r="1562" spans="2:7" ht="15" thickBot="1">
      <c r="B1562" s="155"/>
      <c r="C1562" s="155"/>
    </row>
    <row r="1563" spans="2:7" ht="19.25" customHeight="1">
      <c r="B1563" s="1721"/>
      <c r="C1563" s="1770" t="s">
        <v>1175</v>
      </c>
      <c r="D1563" s="1770"/>
      <c r="E1563" s="1770"/>
      <c r="F1563" s="1770"/>
      <c r="G1563" s="1771"/>
    </row>
    <row r="1564" spans="2:7" ht="19.25" customHeight="1">
      <c r="B1564" s="1722"/>
      <c r="C1564" s="1772"/>
      <c r="D1564" s="1772"/>
      <c r="E1564" s="1772"/>
      <c r="F1564" s="1772"/>
      <c r="G1564" s="1773"/>
    </row>
    <row r="1565" spans="2:7" ht="19.25" customHeight="1">
      <c r="B1565" s="1722"/>
      <c r="C1565" s="1772"/>
      <c r="D1565" s="1772"/>
      <c r="E1565" s="1772"/>
      <c r="F1565" s="1772"/>
      <c r="G1565" s="1773"/>
    </row>
    <row r="1566" spans="2:7" ht="19.25" customHeight="1">
      <c r="B1566" s="1722"/>
      <c r="C1566" s="1772"/>
      <c r="D1566" s="1772"/>
      <c r="E1566" s="1772"/>
      <c r="F1566" s="1772"/>
      <c r="G1566" s="1773"/>
    </row>
    <row r="1567" spans="2:7" ht="19.25" customHeight="1" thickBot="1">
      <c r="B1567" s="1723"/>
      <c r="C1567" s="1774"/>
      <c r="D1567" s="1774"/>
      <c r="E1567" s="1774"/>
      <c r="F1567" s="1774"/>
      <c r="G1567" s="1775"/>
    </row>
    <row r="1568" spans="2:7">
      <c r="B1568" s="1724" t="s">
        <v>890</v>
      </c>
      <c r="C1568" s="1726"/>
      <c r="D1568" s="1726"/>
      <c r="E1568" s="1733" t="s">
        <v>891</v>
      </c>
      <c r="F1568" s="1735"/>
      <c r="G1568" s="1736"/>
    </row>
    <row r="1569" spans="2:7">
      <c r="B1569" s="1727"/>
      <c r="C1569" s="1729"/>
      <c r="D1569" s="1729"/>
      <c r="E1569" s="1734"/>
      <c r="F1569" s="1737"/>
      <c r="G1569" s="1738"/>
    </row>
    <row r="1570" spans="2:7">
      <c r="B1570" s="1727"/>
      <c r="C1570" s="1729"/>
      <c r="D1570" s="1729"/>
      <c r="E1570" s="332" t="s">
        <v>892</v>
      </c>
      <c r="F1570" s="1739"/>
      <c r="G1570" s="1740"/>
    </row>
    <row r="1571" spans="2:7">
      <c r="B1571" s="1727"/>
      <c r="C1571" s="1729"/>
      <c r="D1571" s="1729"/>
      <c r="E1571" s="332" t="s">
        <v>893</v>
      </c>
      <c r="F1571" s="1739"/>
      <c r="G1571" s="1740"/>
    </row>
    <row r="1572" spans="2:7">
      <c r="B1572" s="1727"/>
      <c r="C1572" s="1729"/>
      <c r="D1572" s="1729"/>
      <c r="E1572" s="1734" t="s">
        <v>894</v>
      </c>
      <c r="F1572" s="1742"/>
      <c r="G1572" s="1743"/>
    </row>
    <row r="1573" spans="2:7" ht="15" thickBot="1">
      <c r="B1573" s="1730"/>
      <c r="C1573" s="1732"/>
      <c r="D1573" s="1732"/>
      <c r="E1573" s="1741"/>
      <c r="F1573" s="1744"/>
      <c r="G1573" s="1745"/>
    </row>
    <row r="1574" spans="2:7">
      <c r="B1574" s="1755" t="str">
        <f>+PRESUPUESTO!$A$2</f>
        <v>OBJETO: MEJORAMIENTO Y ADECUACIÓN DE LAS VIAS URBANAS DEL MUNICIPIO DE SANTA FE DE ANTIOQUIA</v>
      </c>
      <c r="C1574" s="1757"/>
      <c r="D1574" s="1757"/>
      <c r="E1574" s="1757"/>
      <c r="F1574" s="1757"/>
      <c r="G1574" s="1758"/>
    </row>
    <row r="1575" spans="2:7" ht="15" thickBot="1">
      <c r="B1575" s="1759"/>
      <c r="C1575" s="1761"/>
      <c r="D1575" s="1761"/>
      <c r="E1575" s="1761"/>
      <c r="F1575" s="1761"/>
      <c r="G1575" s="1762"/>
    </row>
    <row r="1576" spans="2:7" ht="15" thickBot="1">
      <c r="B1576" s="167" t="s">
        <v>1</v>
      </c>
      <c r="C1576" s="2059"/>
      <c r="D1576" s="1763"/>
      <c r="E1576" s="1763"/>
      <c r="F1576" s="2060"/>
      <c r="G1576" s="168" t="s">
        <v>193</v>
      </c>
    </row>
    <row r="1577" spans="2:7" ht="41.5" customHeight="1" thickBot="1">
      <c r="B1577" s="145" t="str">
        <f>+P!A65</f>
        <v>13.3.3</v>
      </c>
      <c r="C1577" s="2061" t="str">
        <f>+P!B65</f>
        <v>Suministro, transporte e instalación de cable blando 1 No10 cobre THHN/THWN-90ºC. Por ducto o canaleta. Incluye conectores, marcación y demás accesorios para su correcta instalación y funcionamiento según RETIE.</v>
      </c>
      <c r="D1577" s="1765"/>
      <c r="E1577" s="1765"/>
      <c r="F1577" s="2062"/>
      <c r="G1577" s="169" t="str">
        <f>+P!C65</f>
        <v>m</v>
      </c>
    </row>
    <row r="1578" spans="2:7" ht="15" thickBot="1">
      <c r="B1578" s="216" t="s">
        <v>896</v>
      </c>
    </row>
    <row r="1579" spans="2:7">
      <c r="B1579" s="170" t="s">
        <v>897</v>
      </c>
      <c r="C1579" s="171" t="s">
        <v>319</v>
      </c>
      <c r="D1579" s="171" t="s">
        <v>320</v>
      </c>
      <c r="E1579" s="171" t="s">
        <v>898</v>
      </c>
      <c r="F1579" s="172" t="s">
        <v>899</v>
      </c>
      <c r="G1579" s="139"/>
    </row>
    <row r="1580" spans="2:7">
      <c r="B1580" s="217" t="s">
        <v>1252</v>
      </c>
      <c r="C1580" s="208" t="s">
        <v>10</v>
      </c>
      <c r="D1580" s="209">
        <v>3.03</v>
      </c>
      <c r="E1580" s="210">
        <f>+MATERIALES!D85</f>
        <v>4284</v>
      </c>
      <c r="F1580" s="211">
        <f>+ROUND((D1580*E1580),0)</f>
        <v>12981</v>
      </c>
      <c r="G1580" s="147"/>
    </row>
    <row r="1581" spans="2:7" ht="15" thickBot="1">
      <c r="B1581" s="218" t="s">
        <v>1253</v>
      </c>
      <c r="C1581" s="202" t="s">
        <v>23</v>
      </c>
      <c r="D1581" s="203">
        <v>1</v>
      </c>
      <c r="E1581" s="204">
        <v>150</v>
      </c>
      <c r="F1581" s="206">
        <f>+ROUND((D1581*E1581),0)</f>
        <v>150</v>
      </c>
      <c r="G1581" s="142"/>
    </row>
    <row r="1582" spans="2:7" ht="15" thickBot="1">
      <c r="B1582" s="212"/>
      <c r="C1582" s="184">
        <f>+G1582/$G$1597</f>
        <v>0.80657248157248163</v>
      </c>
      <c r="D1582" s="190"/>
      <c r="F1582" s="212" t="s">
        <v>900</v>
      </c>
      <c r="G1582" s="149">
        <f>+SUM(F1580:F1581)</f>
        <v>13131</v>
      </c>
    </row>
    <row r="1583" spans="2:7" ht="15" thickBot="1">
      <c r="B1583" s="216" t="s">
        <v>901</v>
      </c>
    </row>
    <row r="1584" spans="2:7">
      <c r="B1584" s="170" t="s">
        <v>897</v>
      </c>
      <c r="C1584" s="171" t="s">
        <v>319</v>
      </c>
      <c r="D1584" s="171" t="s">
        <v>320</v>
      </c>
      <c r="E1584" s="171" t="s">
        <v>898</v>
      </c>
      <c r="F1584" s="172" t="s">
        <v>899</v>
      </c>
      <c r="G1584" s="139"/>
    </row>
    <row r="1585" spans="2:7" ht="15" thickBot="1">
      <c r="B1585" s="218" t="s">
        <v>1243</v>
      </c>
      <c r="C1585" s="202" t="s">
        <v>916</v>
      </c>
      <c r="D1585" s="203">
        <v>8.7399999999999995E-3</v>
      </c>
      <c r="E1585" s="204">
        <f>+'FP OPERATIVO'!$F$35</f>
        <v>295642.2840888889</v>
      </c>
      <c r="F1585" s="206">
        <f>+ROUND((D1585*E1585),0)</f>
        <v>2584</v>
      </c>
      <c r="G1585" s="142"/>
    </row>
    <row r="1586" spans="2:7" ht="15" thickBot="1">
      <c r="B1586" s="212"/>
      <c r="C1586" s="184">
        <f>+G1586/$G$1597</f>
        <v>0.15872235872235874</v>
      </c>
      <c r="D1586" s="190"/>
      <c r="F1586" s="212" t="s">
        <v>900</v>
      </c>
      <c r="G1586" s="149">
        <f>+SUM(F1585)</f>
        <v>2584</v>
      </c>
    </row>
    <row r="1587" spans="2:7" ht="15" thickBot="1">
      <c r="B1587" s="216" t="s">
        <v>917</v>
      </c>
    </row>
    <row r="1588" spans="2:7">
      <c r="B1588" s="170" t="s">
        <v>897</v>
      </c>
      <c r="C1588" s="171" t="s">
        <v>319</v>
      </c>
      <c r="D1588" s="171" t="s">
        <v>320</v>
      </c>
      <c r="E1588" s="171" t="s">
        <v>898</v>
      </c>
      <c r="F1588" s="172" t="s">
        <v>899</v>
      </c>
      <c r="G1588" s="139"/>
    </row>
    <row r="1589" spans="2:7" ht="15" thickBot="1">
      <c r="B1589" s="218" t="s">
        <v>905</v>
      </c>
      <c r="C1589" s="202" t="s">
        <v>906</v>
      </c>
      <c r="D1589" s="203">
        <v>0.05</v>
      </c>
      <c r="E1589" s="204">
        <f>+G1586</f>
        <v>2584</v>
      </c>
      <c r="F1589" s="206">
        <f>+ROUND((D1589*E1589),0)</f>
        <v>129</v>
      </c>
      <c r="G1589" s="142"/>
    </row>
    <row r="1590" spans="2:7" ht="15" thickBot="1">
      <c r="B1590" s="212"/>
      <c r="C1590" s="184">
        <f>+G1590/$G$1597</f>
        <v>7.9238329238329238E-3</v>
      </c>
      <c r="D1590" s="190"/>
      <c r="F1590" s="212" t="s">
        <v>900</v>
      </c>
      <c r="G1590" s="149">
        <f>+SUM(F1589)</f>
        <v>129</v>
      </c>
    </row>
    <row r="1591" spans="2:7" ht="15" thickBot="1">
      <c r="B1591" s="216" t="s">
        <v>1182</v>
      </c>
    </row>
    <row r="1592" spans="2:7">
      <c r="B1592" s="170" t="s">
        <v>897</v>
      </c>
      <c r="C1592" s="171" t="s">
        <v>319</v>
      </c>
      <c r="D1592" s="171" t="s">
        <v>320</v>
      </c>
      <c r="E1592" s="171" t="s">
        <v>898</v>
      </c>
      <c r="F1592" s="187" t="s">
        <v>899</v>
      </c>
      <c r="G1592" s="143"/>
    </row>
    <row r="1593" spans="2:7">
      <c r="B1593" s="308" t="s">
        <v>1218</v>
      </c>
      <c r="C1593" s="208" t="s">
        <v>23</v>
      </c>
      <c r="D1593" s="209">
        <v>5.2499999999999997E-4</v>
      </c>
      <c r="E1593" s="210">
        <f>+EQUIPOS!$C$53</f>
        <v>450000</v>
      </c>
      <c r="F1593" s="213">
        <f>+ROUND((D1593*E1593),0)</f>
        <v>236</v>
      </c>
      <c r="G1593" s="162"/>
    </row>
    <row r="1594" spans="2:7" ht="15" thickBot="1">
      <c r="B1594" s="223" t="s">
        <v>1244</v>
      </c>
      <c r="C1594" s="202" t="s">
        <v>23</v>
      </c>
      <c r="D1594" s="203">
        <v>5.7099999999999998E-3</v>
      </c>
      <c r="E1594" s="204">
        <v>35000</v>
      </c>
      <c r="F1594" s="205">
        <f>+ROUND((D1594*E1594),0)</f>
        <v>200</v>
      </c>
      <c r="G1594" s="144"/>
    </row>
    <row r="1595" spans="2:7" ht="15" thickBot="1">
      <c r="B1595" s="212"/>
      <c r="C1595" s="184">
        <f>+G1595/$G$1597</f>
        <v>2.6781326781326782E-2</v>
      </c>
      <c r="D1595" s="190"/>
      <c r="F1595" s="212" t="s">
        <v>900</v>
      </c>
      <c r="G1595" s="149">
        <f>+SUM(F1593:F1594)</f>
        <v>436</v>
      </c>
    </row>
    <row r="1596" spans="2:7" ht="15" thickBot="1"/>
    <row r="1597" spans="2:7" ht="15" thickBot="1">
      <c r="E1597" s="154" t="s">
        <v>908</v>
      </c>
      <c r="G1597" s="153">
        <f>+SUM(G1579:G1595)</f>
        <v>16280</v>
      </c>
    </row>
    <row r="1598" spans="2:7" ht="15" thickBot="1">
      <c r="B1598" s="340"/>
      <c r="C1598" s="201"/>
      <c r="D1598" s="253"/>
      <c r="E1598" s="253"/>
      <c r="F1598" s="253"/>
      <c r="G1598" s="196"/>
    </row>
    <row r="1599" spans="2:7" ht="19.25" customHeight="1">
      <c r="B1599" s="1721"/>
      <c r="C1599" s="1770" t="s">
        <v>1175</v>
      </c>
      <c r="D1599" s="1770"/>
      <c r="E1599" s="1770"/>
      <c r="F1599" s="1770"/>
      <c r="G1599" s="1771"/>
    </row>
    <row r="1600" spans="2:7" ht="19.25" customHeight="1">
      <c r="B1600" s="1722"/>
      <c r="C1600" s="1772"/>
      <c r="D1600" s="1772"/>
      <c r="E1600" s="1772"/>
      <c r="F1600" s="1772"/>
      <c r="G1600" s="1773"/>
    </row>
    <row r="1601" spans="2:7" ht="19.25" customHeight="1">
      <c r="B1601" s="1722"/>
      <c r="C1601" s="1772"/>
      <c r="D1601" s="1772"/>
      <c r="E1601" s="1772"/>
      <c r="F1601" s="1772"/>
      <c r="G1601" s="1773"/>
    </row>
    <row r="1602" spans="2:7" ht="19.25" customHeight="1">
      <c r="B1602" s="1722"/>
      <c r="C1602" s="1772"/>
      <c r="D1602" s="1772"/>
      <c r="E1602" s="1772"/>
      <c r="F1602" s="1772"/>
      <c r="G1602" s="1773"/>
    </row>
    <row r="1603" spans="2:7" ht="19.25" customHeight="1" thickBot="1">
      <c r="B1603" s="1723"/>
      <c r="C1603" s="1774"/>
      <c r="D1603" s="1774"/>
      <c r="E1603" s="1774"/>
      <c r="F1603" s="1774"/>
      <c r="G1603" s="1775"/>
    </row>
    <row r="1604" spans="2:7">
      <c r="B1604" s="1724" t="s">
        <v>890</v>
      </c>
      <c r="C1604" s="1726"/>
      <c r="D1604" s="1726"/>
      <c r="E1604" s="1733" t="s">
        <v>891</v>
      </c>
      <c r="F1604" s="1735"/>
      <c r="G1604" s="1736"/>
    </row>
    <row r="1605" spans="2:7">
      <c r="B1605" s="1727"/>
      <c r="C1605" s="1729"/>
      <c r="D1605" s="1729"/>
      <c r="E1605" s="1734"/>
      <c r="F1605" s="1737"/>
      <c r="G1605" s="1738"/>
    </row>
    <row r="1606" spans="2:7">
      <c r="B1606" s="1727"/>
      <c r="C1606" s="1729"/>
      <c r="D1606" s="1729"/>
      <c r="E1606" s="332" t="s">
        <v>892</v>
      </c>
      <c r="F1606" s="1739"/>
      <c r="G1606" s="1740"/>
    </row>
    <row r="1607" spans="2:7">
      <c r="B1607" s="1727"/>
      <c r="C1607" s="1729"/>
      <c r="D1607" s="1729"/>
      <c r="E1607" s="332" t="s">
        <v>893</v>
      </c>
      <c r="F1607" s="1739"/>
      <c r="G1607" s="1740"/>
    </row>
    <row r="1608" spans="2:7">
      <c r="B1608" s="1727"/>
      <c r="C1608" s="1729"/>
      <c r="D1608" s="1729"/>
      <c r="E1608" s="1734" t="s">
        <v>894</v>
      </c>
      <c r="F1608" s="1742"/>
      <c r="G1608" s="1743"/>
    </row>
    <row r="1609" spans="2:7" ht="15" thickBot="1">
      <c r="B1609" s="1730"/>
      <c r="C1609" s="1732"/>
      <c r="D1609" s="1732"/>
      <c r="E1609" s="1741"/>
      <c r="F1609" s="1744"/>
      <c r="G1609" s="1745"/>
    </row>
    <row r="1610" spans="2:7">
      <c r="B1610" s="1755" t="str">
        <f>+PRESUPUESTO!$A$2</f>
        <v>OBJETO: MEJORAMIENTO Y ADECUACIÓN DE LAS VIAS URBANAS DEL MUNICIPIO DE SANTA FE DE ANTIOQUIA</v>
      </c>
      <c r="C1610" s="1757"/>
      <c r="D1610" s="1757"/>
      <c r="E1610" s="1757"/>
      <c r="F1610" s="1757"/>
      <c r="G1610" s="1758"/>
    </row>
    <row r="1611" spans="2:7" ht="15" thickBot="1">
      <c r="B1611" s="1759"/>
      <c r="C1611" s="1761"/>
      <c r="D1611" s="1761"/>
      <c r="E1611" s="1761"/>
      <c r="F1611" s="1761"/>
      <c r="G1611" s="1762"/>
    </row>
    <row r="1612" spans="2:7" ht="15" thickBot="1">
      <c r="B1612" s="167" t="s">
        <v>1</v>
      </c>
      <c r="C1612" s="2059"/>
      <c r="D1612" s="1763"/>
      <c r="E1612" s="1763"/>
      <c r="F1612" s="2060"/>
      <c r="G1612" s="168" t="s">
        <v>193</v>
      </c>
    </row>
    <row r="1613" spans="2:7" ht="49.25" customHeight="1" thickBot="1">
      <c r="B1613" s="145" t="str">
        <f>+P!A66</f>
        <v>13.3.4</v>
      </c>
      <c r="C1613" s="2061" t="str">
        <f>+P!B66</f>
        <v>Suministro, transporte e instalación de cable blando 1 No8 cobre THHN/THWN-90ºC. Por ducto o canaleta. Incluye conectores, marcación y demás accesorios para su correcta instalación y funcionamiento según RETIE.</v>
      </c>
      <c r="D1613" s="1765"/>
      <c r="E1613" s="1765"/>
      <c r="F1613" s="2062"/>
      <c r="G1613" s="169" t="str">
        <f>+P!C66</f>
        <v>m</v>
      </c>
    </row>
    <row r="1614" spans="2:7" ht="15" thickBot="1">
      <c r="B1614" s="216" t="s">
        <v>896</v>
      </c>
    </row>
    <row r="1615" spans="2:7">
      <c r="B1615" s="170" t="s">
        <v>897</v>
      </c>
      <c r="C1615" s="171" t="s">
        <v>319</v>
      </c>
      <c r="D1615" s="171" t="s">
        <v>320</v>
      </c>
      <c r="E1615" s="171" t="s">
        <v>898</v>
      </c>
      <c r="F1615" s="172" t="s">
        <v>899</v>
      </c>
      <c r="G1615" s="139"/>
    </row>
    <row r="1616" spans="2:7">
      <c r="B1616" s="217" t="s">
        <v>1254</v>
      </c>
      <c r="C1616" s="208" t="s">
        <v>10</v>
      </c>
      <c r="D1616" s="209">
        <v>3.03</v>
      </c>
      <c r="E1616" s="210">
        <f>+MATERIALES!D86</f>
        <v>5712</v>
      </c>
      <c r="F1616" s="211">
        <f>+ROUND((D1616*E1616),0)</f>
        <v>17307</v>
      </c>
      <c r="G1616" s="147"/>
    </row>
    <row r="1617" spans="2:7" ht="15" thickBot="1">
      <c r="B1617" s="218" t="s">
        <v>1255</v>
      </c>
      <c r="C1617" s="202" t="s">
        <v>23</v>
      </c>
      <c r="D1617" s="203">
        <v>1</v>
      </c>
      <c r="E1617" s="204">
        <v>150</v>
      </c>
      <c r="F1617" s="206">
        <f>+ROUND((D1617*E1617),0)</f>
        <v>150</v>
      </c>
      <c r="G1617" s="142"/>
    </row>
    <row r="1618" spans="2:7" ht="15" thickBot="1">
      <c r="B1618" s="212"/>
      <c r="C1618" s="184">
        <f>+G1618/$G$1633</f>
        <v>0.82239600508785982</v>
      </c>
      <c r="D1618" s="190"/>
      <c r="F1618" s="212" t="s">
        <v>900</v>
      </c>
      <c r="G1618" s="149">
        <f>+SUM(F1616:F1617)</f>
        <v>17457</v>
      </c>
    </row>
    <row r="1619" spans="2:7" ht="15" thickBot="1">
      <c r="B1619" s="216" t="s">
        <v>901</v>
      </c>
    </row>
    <row r="1620" spans="2:7">
      <c r="B1620" s="170" t="s">
        <v>897</v>
      </c>
      <c r="C1620" s="171" t="s">
        <v>319</v>
      </c>
      <c r="D1620" s="171" t="s">
        <v>320</v>
      </c>
      <c r="E1620" s="171" t="s">
        <v>898</v>
      </c>
      <c r="F1620" s="172" t="s">
        <v>899</v>
      </c>
      <c r="G1620" s="139"/>
    </row>
    <row r="1621" spans="2:7" ht="15" thickBot="1">
      <c r="B1621" s="218" t="s">
        <v>1243</v>
      </c>
      <c r="C1621" s="202" t="s">
        <v>916</v>
      </c>
      <c r="D1621" s="203">
        <v>1.074E-2</v>
      </c>
      <c r="E1621" s="204">
        <f>+'FP OPERATIVO'!$F$35</f>
        <v>295642.2840888889</v>
      </c>
      <c r="F1621" s="206">
        <f>+ROUND((D1621*E1621),0)</f>
        <v>3175</v>
      </c>
      <c r="G1621" s="142"/>
    </row>
    <row r="1622" spans="2:7" ht="15" thickBot="1">
      <c r="B1622" s="212"/>
      <c r="C1622" s="184">
        <f>+G1622/$G$1633</f>
        <v>0.14957365619258492</v>
      </c>
      <c r="D1622" s="190"/>
      <c r="F1622" s="212" t="s">
        <v>900</v>
      </c>
      <c r="G1622" s="149">
        <f>+SUM(F1621)</f>
        <v>3175</v>
      </c>
    </row>
    <row r="1623" spans="2:7" ht="15" thickBot="1">
      <c r="B1623" s="216" t="s">
        <v>917</v>
      </c>
    </row>
    <row r="1624" spans="2:7">
      <c r="B1624" s="170" t="s">
        <v>897</v>
      </c>
      <c r="C1624" s="171" t="s">
        <v>319</v>
      </c>
      <c r="D1624" s="171" t="s">
        <v>320</v>
      </c>
      <c r="E1624" s="171" t="s">
        <v>898</v>
      </c>
      <c r="F1624" s="172" t="s">
        <v>899</v>
      </c>
      <c r="G1624" s="139"/>
    </row>
    <row r="1625" spans="2:7" ht="15" thickBot="1">
      <c r="B1625" s="218" t="s">
        <v>905</v>
      </c>
      <c r="C1625" s="202" t="s">
        <v>906</v>
      </c>
      <c r="D1625" s="203">
        <v>0.05</v>
      </c>
      <c r="E1625" s="204">
        <f>+G1622</f>
        <v>3175</v>
      </c>
      <c r="F1625" s="206">
        <f>+ROUND((D1625*E1625),0)</f>
        <v>159</v>
      </c>
      <c r="G1625" s="142"/>
    </row>
    <row r="1626" spans="2:7" ht="15" thickBot="1">
      <c r="B1626" s="212"/>
      <c r="C1626" s="184">
        <f>+G1626/$G$1633</f>
        <v>7.4904602628727565E-3</v>
      </c>
      <c r="D1626" s="190"/>
      <c r="F1626" s="212" t="s">
        <v>900</v>
      </c>
      <c r="G1626" s="149">
        <f>+SUM(F1625)</f>
        <v>159</v>
      </c>
    </row>
    <row r="1627" spans="2:7" ht="15" thickBot="1">
      <c r="B1627" s="216" t="s">
        <v>1182</v>
      </c>
    </row>
    <row r="1628" spans="2:7">
      <c r="B1628" s="170" t="s">
        <v>897</v>
      </c>
      <c r="C1628" s="171" t="s">
        <v>319</v>
      </c>
      <c r="D1628" s="171" t="s">
        <v>320</v>
      </c>
      <c r="E1628" s="171" t="s">
        <v>898</v>
      </c>
      <c r="F1628" s="187" t="s">
        <v>899</v>
      </c>
      <c r="G1628" s="143"/>
    </row>
    <row r="1629" spans="2:7">
      <c r="B1629" s="222" t="s">
        <v>1218</v>
      </c>
      <c r="C1629" s="208" t="s">
        <v>23</v>
      </c>
      <c r="D1629" s="209">
        <v>5.2499999999999997E-4</v>
      </c>
      <c r="E1629" s="210">
        <f>+EQUIPOS!$C$53</f>
        <v>450000</v>
      </c>
      <c r="F1629" s="213">
        <f>+ROUND((D1629*E1629),0)</f>
        <v>236</v>
      </c>
      <c r="G1629" s="162"/>
    </row>
    <row r="1630" spans="2:7" ht="15" thickBot="1">
      <c r="B1630" s="223" t="s">
        <v>1244</v>
      </c>
      <c r="C1630" s="202" t="s">
        <v>23</v>
      </c>
      <c r="D1630" s="203">
        <v>5.7099999999999998E-3</v>
      </c>
      <c r="E1630" s="204">
        <v>35000</v>
      </c>
      <c r="F1630" s="205">
        <f>+ROUND((D1630*E1630),0)</f>
        <v>200</v>
      </c>
      <c r="G1630" s="162"/>
    </row>
    <row r="1631" spans="2:7" ht="15" thickBot="1">
      <c r="B1631" s="212"/>
      <c r="C1631" s="184">
        <f>+G1631/$G$1633</f>
        <v>2.0539878456682526E-2</v>
      </c>
      <c r="D1631" s="190"/>
      <c r="F1631" s="212" t="s">
        <v>900</v>
      </c>
      <c r="G1631" s="148">
        <f>+SUM(F1629:F1630)</f>
        <v>436</v>
      </c>
    </row>
    <row r="1632" spans="2:7">
      <c r="B1632" s="212"/>
      <c r="C1632" s="184"/>
      <c r="D1632" s="190"/>
      <c r="F1632" s="212"/>
      <c r="G1632" s="302"/>
    </row>
    <row r="1633" spans="2:7">
      <c r="E1633" s="154" t="s">
        <v>908</v>
      </c>
      <c r="G1633" s="307">
        <f>+SUM(G1615:G1631)</f>
        <v>21227</v>
      </c>
    </row>
    <row r="1634" spans="2:7" ht="15" thickBot="1">
      <c r="B1634" s="155"/>
      <c r="C1634" s="155"/>
    </row>
    <row r="1635" spans="2:7" ht="15" thickBot="1">
      <c r="B1635" s="2063" t="s">
        <v>1256</v>
      </c>
      <c r="C1635" s="2064"/>
      <c r="D1635" s="2064"/>
      <c r="E1635" s="2064"/>
      <c r="F1635" s="2064"/>
      <c r="G1635" s="2065"/>
    </row>
    <row r="1636" spans="2:7" ht="18" customHeight="1">
      <c r="B1636" s="1721"/>
      <c r="C1636" s="1770" t="s">
        <v>1175</v>
      </c>
      <c r="D1636" s="1770"/>
      <c r="E1636" s="1770"/>
      <c r="F1636" s="1770"/>
      <c r="G1636" s="1771"/>
    </row>
    <row r="1637" spans="2:7" ht="18" customHeight="1">
      <c r="B1637" s="1722"/>
      <c r="C1637" s="1772"/>
      <c r="D1637" s="1772"/>
      <c r="E1637" s="1772"/>
      <c r="F1637" s="1772"/>
      <c r="G1637" s="1773"/>
    </row>
    <row r="1638" spans="2:7" ht="18" customHeight="1">
      <c r="B1638" s="1722"/>
      <c r="C1638" s="1772"/>
      <c r="D1638" s="1772"/>
      <c r="E1638" s="1772"/>
      <c r="F1638" s="1772"/>
      <c r="G1638" s="1773"/>
    </row>
    <row r="1639" spans="2:7" ht="18" customHeight="1">
      <c r="B1639" s="1722"/>
      <c r="C1639" s="1772"/>
      <c r="D1639" s="1772"/>
      <c r="E1639" s="1772"/>
      <c r="F1639" s="1772"/>
      <c r="G1639" s="1773"/>
    </row>
    <row r="1640" spans="2:7" ht="18" customHeight="1" thickBot="1">
      <c r="B1640" s="1723"/>
      <c r="C1640" s="1774"/>
      <c r="D1640" s="1774"/>
      <c r="E1640" s="1774"/>
      <c r="F1640" s="1774"/>
      <c r="G1640" s="1775"/>
    </row>
    <row r="1641" spans="2:7">
      <c r="B1641" s="1724" t="s">
        <v>890</v>
      </c>
      <c r="C1641" s="1726"/>
      <c r="D1641" s="1726"/>
      <c r="E1641" s="1733" t="s">
        <v>891</v>
      </c>
      <c r="F1641" s="1735"/>
      <c r="G1641" s="1736"/>
    </row>
    <row r="1642" spans="2:7">
      <c r="B1642" s="1727"/>
      <c r="C1642" s="1729"/>
      <c r="D1642" s="1729"/>
      <c r="E1642" s="1734"/>
      <c r="F1642" s="1737"/>
      <c r="G1642" s="1738"/>
    </row>
    <row r="1643" spans="2:7">
      <c r="B1643" s="1727"/>
      <c r="C1643" s="1729"/>
      <c r="D1643" s="1729"/>
      <c r="E1643" s="332" t="s">
        <v>892</v>
      </c>
      <c r="F1643" s="1739"/>
      <c r="G1643" s="1740"/>
    </row>
    <row r="1644" spans="2:7">
      <c r="B1644" s="1727"/>
      <c r="C1644" s="1729"/>
      <c r="D1644" s="1729"/>
      <c r="E1644" s="332" t="s">
        <v>893</v>
      </c>
      <c r="F1644" s="1739"/>
      <c r="G1644" s="1740"/>
    </row>
    <row r="1645" spans="2:7">
      <c r="B1645" s="1727"/>
      <c r="C1645" s="1729"/>
      <c r="D1645" s="1729"/>
      <c r="E1645" s="1734" t="s">
        <v>894</v>
      </c>
      <c r="F1645" s="1742"/>
      <c r="G1645" s="1743"/>
    </row>
    <row r="1646" spans="2:7" ht="15" thickBot="1">
      <c r="B1646" s="1730"/>
      <c r="C1646" s="1732"/>
      <c r="D1646" s="1732"/>
      <c r="E1646" s="1741"/>
      <c r="F1646" s="1744"/>
      <c r="G1646" s="1745"/>
    </row>
    <row r="1647" spans="2:7">
      <c r="B1647" s="1755" t="str">
        <f>+PRESUPUESTO!$A$2</f>
        <v>OBJETO: MEJORAMIENTO Y ADECUACIÓN DE LAS VIAS URBANAS DEL MUNICIPIO DE SANTA FE DE ANTIOQUIA</v>
      </c>
      <c r="C1647" s="1757"/>
      <c r="D1647" s="1757"/>
      <c r="E1647" s="1757"/>
      <c r="F1647" s="1757"/>
      <c r="G1647" s="1758"/>
    </row>
    <row r="1648" spans="2:7" ht="15" thickBot="1">
      <c r="B1648" s="1759"/>
      <c r="C1648" s="1761"/>
      <c r="D1648" s="1761"/>
      <c r="E1648" s="1761"/>
      <c r="F1648" s="1761"/>
      <c r="G1648" s="1762"/>
    </row>
    <row r="1649" spans="2:7" ht="15" thickBot="1">
      <c r="B1649" s="167" t="s">
        <v>1</v>
      </c>
      <c r="C1649" s="2059"/>
      <c r="D1649" s="1763"/>
      <c r="E1649" s="1763"/>
      <c r="F1649" s="2060"/>
      <c r="G1649" s="168" t="s">
        <v>193</v>
      </c>
    </row>
    <row r="1650" spans="2:7" ht="106.25" customHeight="1" thickBot="1">
      <c r="B1650" s="145" t="str">
        <f>+P!A68</f>
        <v>14.1</v>
      </c>
      <c r="C1650" s="2061" t="str">
        <f>+P!B68</f>
        <v>Suministro, transporte e instalación de Luminaria Led Hermetica 2x12w T8 Pc Luz Neutra 3600 Lm. Incluye tubos T8 trifósforo(flujo luminoso 2950 lumen por tubo) ISO 14000, Color 8 40 impreso en el tubo, vida útil de 20.000 horas, Cable encauchetado 3x14 AWG(promedio de 100 cm), clavija con polo a tierra, prensaestopa, elementos de fijación según norma NRS-10 y demás accesorios para su correcta instalación. La luminaria completa debe cumplir las últimas disposiciones del  RETILAP y el RETIE se debe entregar curva fotométrica certificada del fabricante.</v>
      </c>
      <c r="D1650" s="1765"/>
      <c r="E1650" s="1765"/>
      <c r="F1650" s="2062"/>
      <c r="G1650" s="169" t="str">
        <f>+P!C68</f>
        <v>un</v>
      </c>
    </row>
    <row r="1651" spans="2:7" ht="15" thickBot="1">
      <c r="B1651" s="216" t="s">
        <v>896</v>
      </c>
    </row>
    <row r="1652" spans="2:7">
      <c r="B1652" s="170" t="s">
        <v>897</v>
      </c>
      <c r="C1652" s="226" t="s">
        <v>319</v>
      </c>
      <c r="D1652" s="226" t="s">
        <v>320</v>
      </c>
      <c r="E1652" s="226" t="s">
        <v>898</v>
      </c>
      <c r="F1652" s="227" t="s">
        <v>899</v>
      </c>
      <c r="G1652" s="139"/>
    </row>
    <row r="1653" spans="2:7" ht="29">
      <c r="B1653" s="217" t="s">
        <v>1257</v>
      </c>
      <c r="C1653" s="208" t="s">
        <v>23</v>
      </c>
      <c r="D1653" s="209">
        <v>1</v>
      </c>
      <c r="E1653" s="210">
        <f>+MATERIALES!D98</f>
        <v>162000</v>
      </c>
      <c r="F1653" s="213">
        <f>+ROUND((D1653*E1653),0)</f>
        <v>162000</v>
      </c>
      <c r="G1653" s="147"/>
    </row>
    <row r="1654" spans="2:7">
      <c r="B1654" s="217" t="s">
        <v>1043</v>
      </c>
      <c r="C1654" s="208" t="s">
        <v>23</v>
      </c>
      <c r="D1654" s="209">
        <v>1</v>
      </c>
      <c r="E1654" s="210">
        <f>+MATERIALES!D100</f>
        <v>6890</v>
      </c>
      <c r="F1654" s="213">
        <f>+ROUND((D1654*E1654),0)</f>
        <v>6890</v>
      </c>
      <c r="G1654" s="147"/>
    </row>
    <row r="1655" spans="2:7">
      <c r="B1655" s="217" t="s">
        <v>1258</v>
      </c>
      <c r="C1655" s="208" t="s">
        <v>10</v>
      </c>
      <c r="D1655" s="209">
        <v>1</v>
      </c>
      <c r="E1655" s="210">
        <f>+MATERIALES!D99</f>
        <v>8900</v>
      </c>
      <c r="F1655" s="213">
        <f>+ROUND((D1655*E1655),0)</f>
        <v>8900</v>
      </c>
      <c r="G1655" s="147"/>
    </row>
    <row r="1656" spans="2:7" ht="15" thickBot="1">
      <c r="B1656" s="218" t="s">
        <v>1044</v>
      </c>
      <c r="C1656" s="202" t="s">
        <v>23</v>
      </c>
      <c r="D1656" s="203">
        <v>1</v>
      </c>
      <c r="E1656" s="204">
        <f>+MATERIALES!D101</f>
        <v>15900</v>
      </c>
      <c r="F1656" s="205">
        <f>+ROUND((D1656*E1656),0)</f>
        <v>15900</v>
      </c>
      <c r="G1656" s="142"/>
    </row>
    <row r="1657" spans="2:7" ht="15" thickBot="1">
      <c r="B1657" s="212"/>
      <c r="C1657" s="184">
        <f>+G1657/$G$1672</f>
        <v>0.8380168650407348</v>
      </c>
      <c r="D1657" s="190"/>
      <c r="F1657" s="212" t="s">
        <v>900</v>
      </c>
      <c r="G1657" s="149">
        <f>+SUM(F1653:F1656)</f>
        <v>193690</v>
      </c>
    </row>
    <row r="1658" spans="2:7" ht="15" thickBot="1">
      <c r="B1658" s="216" t="s">
        <v>901</v>
      </c>
    </row>
    <row r="1659" spans="2:7">
      <c r="B1659" s="170" t="s">
        <v>897</v>
      </c>
      <c r="C1659" s="171" t="s">
        <v>319</v>
      </c>
      <c r="D1659" s="171" t="s">
        <v>320</v>
      </c>
      <c r="E1659" s="171" t="s">
        <v>898</v>
      </c>
      <c r="F1659" s="172" t="s">
        <v>899</v>
      </c>
      <c r="G1659" s="139"/>
    </row>
    <row r="1660" spans="2:7" ht="15" thickBot="1">
      <c r="B1660" s="218" t="s">
        <v>1243</v>
      </c>
      <c r="C1660" s="202" t="s">
        <v>916</v>
      </c>
      <c r="D1660" s="203">
        <v>0.11576</v>
      </c>
      <c r="E1660" s="204">
        <f>+'FP OPERATIVO'!F35</f>
        <v>295642.2840888889</v>
      </c>
      <c r="F1660" s="206">
        <f>+ROUND((D1660*E1660),0)</f>
        <v>34224</v>
      </c>
      <c r="G1660" s="142"/>
    </row>
    <row r="1661" spans="2:7" ht="15" thickBot="1">
      <c r="B1661" s="212"/>
      <c r="C1661" s="184">
        <f>+G1661/$G$1672</f>
        <v>0.14807315395298729</v>
      </c>
      <c r="D1661" s="190"/>
      <c r="F1661" s="212" t="s">
        <v>900</v>
      </c>
      <c r="G1661" s="149">
        <f>+SUM(F1660)</f>
        <v>34224</v>
      </c>
    </row>
    <row r="1662" spans="2:7" ht="15" thickBot="1">
      <c r="B1662" s="216" t="s">
        <v>917</v>
      </c>
    </row>
    <row r="1663" spans="2:7">
      <c r="B1663" s="170" t="s">
        <v>897</v>
      </c>
      <c r="C1663" s="171" t="s">
        <v>319</v>
      </c>
      <c r="D1663" s="171" t="s">
        <v>320</v>
      </c>
      <c r="E1663" s="171" t="s">
        <v>898</v>
      </c>
      <c r="F1663" s="172" t="s">
        <v>899</v>
      </c>
      <c r="G1663" s="139"/>
    </row>
    <row r="1664" spans="2:7" ht="15" thickBot="1">
      <c r="B1664" s="218" t="s">
        <v>905</v>
      </c>
      <c r="C1664" s="202" t="s">
        <v>906</v>
      </c>
      <c r="D1664" s="203">
        <v>0.05</v>
      </c>
      <c r="E1664" s="204">
        <f>+G1661</f>
        <v>34224</v>
      </c>
      <c r="F1664" s="206">
        <f>+ROUND((D1664*E1664),0)</f>
        <v>1711</v>
      </c>
      <c r="G1664" s="142"/>
    </row>
    <row r="1665" spans="2:7" ht="15" thickBot="1">
      <c r="B1665" s="212"/>
      <c r="C1665" s="184">
        <f>+G1665/$G$1672</f>
        <v>7.4027923800128936E-3</v>
      </c>
      <c r="D1665" s="190"/>
      <c r="F1665" s="212" t="s">
        <v>900</v>
      </c>
      <c r="G1665" s="149">
        <f>+SUM(F1664)</f>
        <v>1711</v>
      </c>
    </row>
    <row r="1666" spans="2:7" ht="15" thickBot="1">
      <c r="B1666" s="216" t="s">
        <v>1182</v>
      </c>
    </row>
    <row r="1667" spans="2:7" ht="15" thickBot="1">
      <c r="B1667" s="267" t="s">
        <v>897</v>
      </c>
      <c r="C1667" s="226" t="s">
        <v>319</v>
      </c>
      <c r="D1667" s="226" t="s">
        <v>320</v>
      </c>
      <c r="E1667" s="226" t="s">
        <v>898</v>
      </c>
      <c r="F1667" s="227" t="s">
        <v>899</v>
      </c>
      <c r="G1667" s="143"/>
    </row>
    <row r="1668" spans="2:7">
      <c r="B1668" s="272" t="s">
        <v>1218</v>
      </c>
      <c r="C1668" s="268" t="s">
        <v>23</v>
      </c>
      <c r="D1668" s="268">
        <v>1.1199999999999999E-3</v>
      </c>
      <c r="E1668" s="270">
        <f>+EQUIPOS!C53</f>
        <v>450000</v>
      </c>
      <c r="F1668" s="271">
        <f>+ROUND(D1668*E1668,0)</f>
        <v>504</v>
      </c>
      <c r="G1668" s="162"/>
    </row>
    <row r="1669" spans="2:7" ht="15" thickBot="1">
      <c r="B1669" s="223" t="s">
        <v>1244</v>
      </c>
      <c r="C1669" s="304" t="s">
        <v>23</v>
      </c>
      <c r="D1669" s="203">
        <v>2.8570000000000002E-2</v>
      </c>
      <c r="E1669" s="305">
        <v>35000</v>
      </c>
      <c r="F1669" s="306">
        <f>+ROUND((D1669*E1669),0)</f>
        <v>1000</v>
      </c>
      <c r="G1669" s="144"/>
    </row>
    <row r="1670" spans="2:7" ht="15" thickBot="1">
      <c r="B1670" s="212"/>
      <c r="C1670" s="221">
        <f>+G1670/$G$1672</f>
        <v>6.5071886262649866E-3</v>
      </c>
      <c r="D1670" s="190"/>
      <c r="F1670" s="212" t="s">
        <v>900</v>
      </c>
      <c r="G1670" s="149">
        <f>+SUM(F1668:F1669)</f>
        <v>1504</v>
      </c>
    </row>
    <row r="1671" spans="2:7" ht="15" thickBot="1"/>
    <row r="1672" spans="2:7" ht="15" thickBot="1">
      <c r="E1672" s="154" t="s">
        <v>908</v>
      </c>
      <c r="G1672" s="153">
        <f>+SUM(G1652:G1670)</f>
        <v>231129</v>
      </c>
    </row>
    <row r="1673" spans="2:7" ht="15" thickBot="1">
      <c r="B1673" s="155"/>
      <c r="C1673" s="155"/>
    </row>
    <row r="1674" spans="2:7" ht="15" thickBot="1">
      <c r="B1674" s="2063" t="s">
        <v>1259</v>
      </c>
      <c r="C1674" s="2064"/>
      <c r="D1674" s="2064"/>
      <c r="E1674" s="2064"/>
      <c r="F1674" s="2064"/>
      <c r="G1674" s="2065"/>
    </row>
    <row r="1675" spans="2:7" ht="18.5" customHeight="1">
      <c r="B1675" s="1721"/>
      <c r="C1675" s="1770" t="s">
        <v>1175</v>
      </c>
      <c r="D1675" s="1770"/>
      <c r="E1675" s="1770"/>
      <c r="F1675" s="1770"/>
      <c r="G1675" s="1771"/>
    </row>
    <row r="1676" spans="2:7" ht="18.5" customHeight="1">
      <c r="B1676" s="1722"/>
      <c r="C1676" s="1772"/>
      <c r="D1676" s="1772"/>
      <c r="E1676" s="1772"/>
      <c r="F1676" s="1772"/>
      <c r="G1676" s="1773"/>
    </row>
    <row r="1677" spans="2:7" ht="18.5" customHeight="1">
      <c r="B1677" s="1722"/>
      <c r="C1677" s="1772"/>
      <c r="D1677" s="1772"/>
      <c r="E1677" s="1772"/>
      <c r="F1677" s="1772"/>
      <c r="G1677" s="1773"/>
    </row>
    <row r="1678" spans="2:7" ht="18.5" customHeight="1">
      <c r="B1678" s="1722"/>
      <c r="C1678" s="1772"/>
      <c r="D1678" s="1772"/>
      <c r="E1678" s="1772"/>
      <c r="F1678" s="1772"/>
      <c r="G1678" s="1773"/>
    </row>
    <row r="1679" spans="2:7" ht="18.5" customHeight="1" thickBot="1">
      <c r="B1679" s="1723"/>
      <c r="C1679" s="1774"/>
      <c r="D1679" s="1774"/>
      <c r="E1679" s="1774"/>
      <c r="F1679" s="1774"/>
      <c r="G1679" s="1775"/>
    </row>
    <row r="1680" spans="2:7">
      <c r="B1680" s="1724" t="s">
        <v>890</v>
      </c>
      <c r="C1680" s="1726"/>
      <c r="D1680" s="1726"/>
      <c r="E1680" s="1733" t="s">
        <v>891</v>
      </c>
      <c r="F1680" s="1735"/>
      <c r="G1680" s="1736"/>
    </row>
    <row r="1681" spans="2:7">
      <c r="B1681" s="1727"/>
      <c r="C1681" s="1729"/>
      <c r="D1681" s="1729"/>
      <c r="E1681" s="1734"/>
      <c r="F1681" s="1737"/>
      <c r="G1681" s="1738"/>
    </row>
    <row r="1682" spans="2:7">
      <c r="B1682" s="1727"/>
      <c r="C1682" s="1729"/>
      <c r="D1682" s="1729"/>
      <c r="E1682" s="332" t="s">
        <v>892</v>
      </c>
      <c r="F1682" s="1739"/>
      <c r="G1682" s="1740"/>
    </row>
    <row r="1683" spans="2:7">
      <c r="B1683" s="1727"/>
      <c r="C1683" s="1729"/>
      <c r="D1683" s="1729"/>
      <c r="E1683" s="332" t="s">
        <v>893</v>
      </c>
      <c r="F1683" s="1739"/>
      <c r="G1683" s="1740"/>
    </row>
    <row r="1684" spans="2:7">
      <c r="B1684" s="1727"/>
      <c r="C1684" s="1729"/>
      <c r="D1684" s="1729"/>
      <c r="E1684" s="1734" t="s">
        <v>894</v>
      </c>
      <c r="F1684" s="1742"/>
      <c r="G1684" s="1743"/>
    </row>
    <row r="1685" spans="2:7" ht="15" thickBot="1">
      <c r="B1685" s="1730"/>
      <c r="C1685" s="1732"/>
      <c r="D1685" s="1732"/>
      <c r="E1685" s="1741"/>
      <c r="F1685" s="1744"/>
      <c r="G1685" s="1745"/>
    </row>
    <row r="1686" spans="2:7">
      <c r="B1686" s="1755" t="str">
        <f>+PRESUPUESTO!$A$2</f>
        <v>OBJETO: MEJORAMIENTO Y ADECUACIÓN DE LAS VIAS URBANAS DEL MUNICIPIO DE SANTA FE DE ANTIOQUIA</v>
      </c>
      <c r="C1686" s="1757"/>
      <c r="D1686" s="1757"/>
      <c r="E1686" s="1757"/>
      <c r="F1686" s="1757"/>
      <c r="G1686" s="1758"/>
    </row>
    <row r="1687" spans="2:7" ht="15" thickBot="1">
      <c r="B1687" s="1759"/>
      <c r="C1687" s="1761"/>
      <c r="D1687" s="1761"/>
      <c r="E1687" s="1761"/>
      <c r="F1687" s="1761"/>
      <c r="G1687" s="1762"/>
    </row>
    <row r="1688" spans="2:7" ht="15" thickBot="1">
      <c r="B1688" s="167" t="s">
        <v>1</v>
      </c>
      <c r="C1688" s="2059"/>
      <c r="D1688" s="1763"/>
      <c r="E1688" s="1763"/>
      <c r="F1688" s="2060"/>
      <c r="G1688" s="168" t="s">
        <v>193</v>
      </c>
    </row>
    <row r="1689" spans="2:7" ht="51" customHeight="1" thickBot="1">
      <c r="B1689" s="145" t="str">
        <f>+P!A70</f>
        <v>15.1</v>
      </c>
      <c r="C1689" s="2061" t="str">
        <f>+P!B70</f>
        <v>Suministro, transporte y colocación de cielo falso en lamina pvc de 2,9 x 0,3 e 7cm. Con junta seca, color gris metálico. Incluye perfiles y estructura de fijación y todo lo necesario para su correcta construcción y funcionamiento. Según detalle.</v>
      </c>
      <c r="D1689" s="1765"/>
      <c r="E1689" s="1765"/>
      <c r="F1689" s="2062"/>
      <c r="G1689" s="169" t="str">
        <f>+P!C70</f>
        <v>m2</v>
      </c>
    </row>
    <row r="1690" spans="2:7" ht="15" thickBot="1">
      <c r="B1690" s="216" t="s">
        <v>896</v>
      </c>
    </row>
    <row r="1691" spans="2:7" ht="15" thickBot="1">
      <c r="B1691" s="267" t="s">
        <v>897</v>
      </c>
      <c r="C1691" s="226" t="s">
        <v>319</v>
      </c>
      <c r="D1691" s="226" t="s">
        <v>320</v>
      </c>
      <c r="E1691" s="226" t="s">
        <v>898</v>
      </c>
      <c r="F1691" s="227" t="s">
        <v>899</v>
      </c>
      <c r="G1691" s="139"/>
    </row>
    <row r="1692" spans="2:7" ht="29">
      <c r="B1692" s="272" t="s">
        <v>1074</v>
      </c>
      <c r="C1692" s="268" t="s">
        <v>10</v>
      </c>
      <c r="D1692" s="269">
        <v>0.84775</v>
      </c>
      <c r="E1692" s="270">
        <f>+MATERIALES!D131</f>
        <v>2450</v>
      </c>
      <c r="F1692" s="271">
        <f>+ROUND((D1692*E1692),0)</f>
        <v>2077</v>
      </c>
      <c r="G1692" s="162"/>
    </row>
    <row r="1693" spans="2:7">
      <c r="B1693" s="222" t="s">
        <v>1075</v>
      </c>
      <c r="C1693" s="208" t="s">
        <v>23</v>
      </c>
      <c r="D1693" s="209">
        <v>10</v>
      </c>
      <c r="E1693" s="210">
        <f>+MATERIALES!D132</f>
        <v>99</v>
      </c>
      <c r="F1693" s="213">
        <f t="shared" ref="F1693:F1700" si="9">+ROUND((D1693*E1693),0)</f>
        <v>990</v>
      </c>
      <c r="G1693" s="162"/>
    </row>
    <row r="1694" spans="2:7">
      <c r="B1694" s="222" t="s">
        <v>1076</v>
      </c>
      <c r="C1694" s="208" t="s">
        <v>10</v>
      </c>
      <c r="D1694" s="209">
        <v>1.29098</v>
      </c>
      <c r="E1694" s="210">
        <f>+MATERIALES!D133</f>
        <v>5300</v>
      </c>
      <c r="F1694" s="213">
        <f t="shared" si="9"/>
        <v>6842</v>
      </c>
      <c r="G1694" s="162"/>
    </row>
    <row r="1695" spans="2:7">
      <c r="B1695" s="222" t="s">
        <v>1077</v>
      </c>
      <c r="C1695" s="208" t="s">
        <v>10</v>
      </c>
      <c r="D1695" s="209">
        <v>2.5819700000000001</v>
      </c>
      <c r="E1695" s="210">
        <f>+MATERIALES!D134</f>
        <v>5200</v>
      </c>
      <c r="F1695" s="213">
        <f t="shared" si="9"/>
        <v>13426</v>
      </c>
      <c r="G1695" s="162"/>
    </row>
    <row r="1696" spans="2:7">
      <c r="B1696" s="222" t="s">
        <v>1078</v>
      </c>
      <c r="C1696" s="208" t="s">
        <v>23</v>
      </c>
      <c r="D1696" s="209">
        <v>0.36952000000000002</v>
      </c>
      <c r="E1696" s="210">
        <f>+MATERIALES!D135</f>
        <v>122000</v>
      </c>
      <c r="F1696" s="213">
        <f t="shared" si="9"/>
        <v>45081</v>
      </c>
      <c r="G1696" s="162"/>
    </row>
    <row r="1697" spans="2:7">
      <c r="B1697" s="222" t="s">
        <v>1079</v>
      </c>
      <c r="C1697" s="208" t="s">
        <v>23</v>
      </c>
      <c r="D1697" s="209">
        <v>10.5</v>
      </c>
      <c r="E1697" s="210">
        <f>+MATERIALES!D136</f>
        <v>56</v>
      </c>
      <c r="F1697" s="213">
        <f t="shared" si="9"/>
        <v>588</v>
      </c>
      <c r="G1697" s="162"/>
    </row>
    <row r="1698" spans="2:7">
      <c r="B1698" s="222" t="s">
        <v>1080</v>
      </c>
      <c r="C1698" s="208" t="s">
        <v>23</v>
      </c>
      <c r="D1698" s="209">
        <v>10</v>
      </c>
      <c r="E1698" s="210">
        <f>+MATERIALES!D137</f>
        <v>99</v>
      </c>
      <c r="F1698" s="213">
        <f t="shared" si="9"/>
        <v>990</v>
      </c>
      <c r="G1698" s="162"/>
    </row>
    <row r="1699" spans="2:7">
      <c r="B1699" s="222" t="s">
        <v>1081</v>
      </c>
      <c r="C1699" s="208" t="s">
        <v>10</v>
      </c>
      <c r="D1699" s="209">
        <v>0.3</v>
      </c>
      <c r="E1699" s="210">
        <f>+MATERIALES!D139</f>
        <v>4300</v>
      </c>
      <c r="F1699" s="213">
        <f t="shared" si="9"/>
        <v>1290</v>
      </c>
      <c r="G1699" s="162"/>
    </row>
    <row r="1700" spans="2:7" ht="15" thickBot="1">
      <c r="B1700" s="223" t="s">
        <v>1082</v>
      </c>
      <c r="C1700" s="202" t="s">
        <v>10</v>
      </c>
      <c r="D1700" s="203">
        <v>1.5</v>
      </c>
      <c r="E1700" s="204">
        <v>4300</v>
      </c>
      <c r="F1700" s="205">
        <f t="shared" si="9"/>
        <v>6450</v>
      </c>
      <c r="G1700" s="162"/>
    </row>
    <row r="1701" spans="2:7" ht="15" thickBot="1">
      <c r="B1701" s="212"/>
      <c r="C1701" s="184">
        <f>+G1701/$G$1721</f>
        <v>0.61198718301986321</v>
      </c>
      <c r="D1701" s="190"/>
      <c r="F1701" s="212" t="s">
        <v>900</v>
      </c>
      <c r="G1701" s="149">
        <f>+SUM(F1692:F1700)</f>
        <v>77734</v>
      </c>
    </row>
    <row r="1702" spans="2:7" ht="15" thickBot="1">
      <c r="B1702" s="216" t="s">
        <v>901</v>
      </c>
    </row>
    <row r="1703" spans="2:7">
      <c r="B1703" s="170" t="s">
        <v>897</v>
      </c>
      <c r="C1703" s="171" t="s">
        <v>319</v>
      </c>
      <c r="D1703" s="171" t="s">
        <v>320</v>
      </c>
      <c r="E1703" s="171" t="s">
        <v>898</v>
      </c>
      <c r="F1703" s="172" t="s">
        <v>899</v>
      </c>
      <c r="G1703" s="139"/>
    </row>
    <row r="1704" spans="2:7" ht="15" thickBot="1">
      <c r="B1704" s="218" t="s">
        <v>1232</v>
      </c>
      <c r="C1704" s="202" t="s">
        <v>916</v>
      </c>
      <c r="D1704" s="203">
        <v>0.14285714285714285</v>
      </c>
      <c r="E1704" s="204">
        <f>+'FP OPERATIVO'!F36</f>
        <v>302186.41694755561</v>
      </c>
      <c r="F1704" s="206">
        <f>+ROUND((D1704*E1704),0)</f>
        <v>43169</v>
      </c>
      <c r="G1704" s="142"/>
    </row>
    <row r="1705" spans="2:7" ht="15" thickBot="1">
      <c r="B1705" s="212"/>
      <c r="C1705" s="184">
        <f>+G1705/$G$1721</f>
        <v>0.33986254024988388</v>
      </c>
      <c r="D1705" s="190"/>
      <c r="F1705" s="212" t="s">
        <v>900</v>
      </c>
      <c r="G1705" s="149">
        <f>+SUM(F1704)</f>
        <v>43169</v>
      </c>
    </row>
    <row r="1706" spans="2:7" ht="15" thickBot="1">
      <c r="B1706" s="216" t="s">
        <v>917</v>
      </c>
    </row>
    <row r="1707" spans="2:7">
      <c r="B1707" s="170" t="s">
        <v>897</v>
      </c>
      <c r="C1707" s="171" t="s">
        <v>319</v>
      </c>
      <c r="D1707" s="171" t="s">
        <v>320</v>
      </c>
      <c r="E1707" s="171" t="s">
        <v>898</v>
      </c>
      <c r="F1707" s="172" t="s">
        <v>899</v>
      </c>
      <c r="G1707" s="139"/>
    </row>
    <row r="1708" spans="2:7" ht="15" thickBot="1">
      <c r="B1708" s="218" t="s">
        <v>905</v>
      </c>
      <c r="C1708" s="202" t="s">
        <v>906</v>
      </c>
      <c r="D1708" s="203">
        <v>0.05</v>
      </c>
      <c r="E1708" s="204">
        <f>+G1705</f>
        <v>43169</v>
      </c>
      <c r="F1708" s="206">
        <f>+ROUND((D1708*E1708),0)</f>
        <v>2158</v>
      </c>
      <c r="G1708" s="142"/>
    </row>
    <row r="1709" spans="2:7" ht="15" thickBot="1">
      <c r="B1709" s="212"/>
      <c r="C1709" s="184">
        <f>+G1709/$G$1721</f>
        <v>1.6989584235429345E-2</v>
      </c>
      <c r="D1709" s="190"/>
      <c r="F1709" s="212" t="s">
        <v>900</v>
      </c>
      <c r="G1709" s="149">
        <f>+SUM(F1708)</f>
        <v>2158</v>
      </c>
    </row>
    <row r="1710" spans="2:7" ht="15" thickBot="1">
      <c r="B1710" s="216" t="s">
        <v>1260</v>
      </c>
    </row>
    <row r="1711" spans="2:7">
      <c r="B1711" s="170" t="s">
        <v>897</v>
      </c>
      <c r="C1711" s="171" t="s">
        <v>319</v>
      </c>
      <c r="D1711" s="171" t="s">
        <v>320</v>
      </c>
      <c r="E1711" s="171" t="s">
        <v>898</v>
      </c>
      <c r="F1711" s="187" t="s">
        <v>899</v>
      </c>
      <c r="G1711" s="143"/>
    </row>
    <row r="1712" spans="2:7" ht="29">
      <c r="B1712" s="222" t="s">
        <v>1193</v>
      </c>
      <c r="C1712" s="208" t="s">
        <v>198</v>
      </c>
      <c r="D1712" s="209">
        <v>2</v>
      </c>
      <c r="E1712" s="210">
        <f>+EQUIPOS!C35</f>
        <v>5500</v>
      </c>
      <c r="F1712" s="213">
        <f t="shared" ref="F1712:F1713" si="10">+ROUND((D1712*E1712),0)</f>
        <v>11000</v>
      </c>
      <c r="G1712" s="162"/>
    </row>
    <row r="1713" spans="2:7" ht="29.5" thickBot="1">
      <c r="B1713" s="223" t="s">
        <v>1194</v>
      </c>
      <c r="C1713" s="202" t="s">
        <v>198</v>
      </c>
      <c r="D1713" s="203">
        <v>4</v>
      </c>
      <c r="E1713" s="204">
        <f>+EQUIPOS!C36</f>
        <v>600</v>
      </c>
      <c r="F1713" s="205">
        <f t="shared" si="10"/>
        <v>2400</v>
      </c>
      <c r="G1713" s="144"/>
    </row>
    <row r="1714" spans="2:7" ht="15" thickBot="1">
      <c r="B1714" s="212"/>
      <c r="C1714" s="184">
        <f>+G1714/$G$1721</f>
        <v>1.8894811012525686E-2</v>
      </c>
      <c r="D1714" s="190"/>
      <c r="F1714" s="212" t="s">
        <v>900</v>
      </c>
      <c r="G1714" s="149">
        <f>+SUM(F1713)</f>
        <v>2400</v>
      </c>
    </row>
    <row r="1715" spans="2:7" ht="15" thickBot="1">
      <c r="B1715" s="216" t="s">
        <v>1240</v>
      </c>
    </row>
    <row r="1716" spans="2:7">
      <c r="B1716" s="170" t="s">
        <v>897</v>
      </c>
      <c r="C1716" s="171" t="s">
        <v>319</v>
      </c>
      <c r="D1716" s="171" t="s">
        <v>320</v>
      </c>
      <c r="E1716" s="171" t="s">
        <v>898</v>
      </c>
      <c r="F1716" s="187" t="s">
        <v>899</v>
      </c>
      <c r="G1716" s="143"/>
    </row>
    <row r="1717" spans="2:7">
      <c r="B1717" s="222" t="s">
        <v>1218</v>
      </c>
      <c r="C1717" s="208" t="s">
        <v>198</v>
      </c>
      <c r="D1717" s="209">
        <v>1.9835264999999999E-3</v>
      </c>
      <c r="E1717" s="210">
        <f>+EQUIPOS!C53</f>
        <v>450000</v>
      </c>
      <c r="F1717" s="213">
        <f>+ROUND((D1717*E1717),0)</f>
        <v>893</v>
      </c>
      <c r="G1717" s="162"/>
    </row>
    <row r="1718" spans="2:7" ht="15" thickBot="1">
      <c r="B1718" s="223" t="s">
        <v>1187</v>
      </c>
      <c r="C1718" s="202" t="s">
        <v>198</v>
      </c>
      <c r="D1718" s="303">
        <v>0.66500000000000004</v>
      </c>
      <c r="E1718" s="204">
        <v>1000</v>
      </c>
      <c r="F1718" s="205">
        <f>+ROUND((D1718*E1718),0)</f>
        <v>665</v>
      </c>
      <c r="G1718" s="162"/>
    </row>
    <row r="1719" spans="2:7" ht="15" thickBot="1">
      <c r="C1719" s="184">
        <f>+G1719/$G$1721</f>
        <v>1.2265881482297923E-2</v>
      </c>
      <c r="D1719" s="190"/>
      <c r="F1719" s="212" t="s">
        <v>900</v>
      </c>
      <c r="G1719" s="148">
        <f>+SUM(F1717:F1718)</f>
        <v>1558</v>
      </c>
    </row>
    <row r="1720" spans="2:7" ht="15" thickBot="1"/>
    <row r="1721" spans="2:7" ht="15" thickBot="1">
      <c r="E1721" s="154" t="s">
        <v>908</v>
      </c>
      <c r="G1721" s="153">
        <f>+SUM(G1691:G1719)</f>
        <v>127019</v>
      </c>
    </row>
    <row r="1722" spans="2:7" ht="15" thickBot="1">
      <c r="B1722" s="155"/>
      <c r="C1722" s="155"/>
    </row>
    <row r="1723" spans="2:7" ht="15" thickBot="1">
      <c r="B1723" s="2063" t="s">
        <v>1261</v>
      </c>
      <c r="C1723" s="2064"/>
      <c r="D1723" s="2064"/>
      <c r="E1723" s="2064"/>
      <c r="F1723" s="2064"/>
      <c r="G1723" s="2065"/>
    </row>
    <row r="1724" spans="2:7" ht="19.25" customHeight="1">
      <c r="B1724" s="1721"/>
      <c r="C1724" s="1770" t="s">
        <v>1175</v>
      </c>
      <c r="D1724" s="1770"/>
      <c r="E1724" s="1770"/>
      <c r="F1724" s="1770"/>
      <c r="G1724" s="1771"/>
    </row>
    <row r="1725" spans="2:7" ht="19.25" customHeight="1">
      <c r="B1725" s="1722"/>
      <c r="C1725" s="1772"/>
      <c r="D1725" s="1772"/>
      <c r="E1725" s="1772"/>
      <c r="F1725" s="1772"/>
      <c r="G1725" s="1773"/>
    </row>
    <row r="1726" spans="2:7" ht="19.25" customHeight="1">
      <c r="B1726" s="1722"/>
      <c r="C1726" s="1772"/>
      <c r="D1726" s="1772"/>
      <c r="E1726" s="1772"/>
      <c r="F1726" s="1772"/>
      <c r="G1726" s="1773"/>
    </row>
    <row r="1727" spans="2:7" ht="19.25" customHeight="1">
      <c r="B1727" s="1722"/>
      <c r="C1727" s="1772"/>
      <c r="D1727" s="1772"/>
      <c r="E1727" s="1772"/>
      <c r="F1727" s="1772"/>
      <c r="G1727" s="1773"/>
    </row>
    <row r="1728" spans="2:7" ht="19.25" customHeight="1" thickBot="1">
      <c r="B1728" s="1723"/>
      <c r="C1728" s="1774"/>
      <c r="D1728" s="1774"/>
      <c r="E1728" s="1774"/>
      <c r="F1728" s="1774"/>
      <c r="G1728" s="1775"/>
    </row>
    <row r="1729" spans="2:7">
      <c r="B1729" s="1724" t="s">
        <v>890</v>
      </c>
      <c r="C1729" s="1726"/>
      <c r="D1729" s="1726"/>
      <c r="E1729" s="1733" t="s">
        <v>891</v>
      </c>
      <c r="F1729" s="1735"/>
      <c r="G1729" s="1736"/>
    </row>
    <row r="1730" spans="2:7">
      <c r="B1730" s="1727"/>
      <c r="C1730" s="1729"/>
      <c r="D1730" s="1729"/>
      <c r="E1730" s="1734"/>
      <c r="F1730" s="1737"/>
      <c r="G1730" s="1738"/>
    </row>
    <row r="1731" spans="2:7">
      <c r="B1731" s="1727"/>
      <c r="C1731" s="1729"/>
      <c r="D1731" s="1729"/>
      <c r="E1731" s="332" t="s">
        <v>892</v>
      </c>
      <c r="F1731" s="1739"/>
      <c r="G1731" s="1740"/>
    </row>
    <row r="1732" spans="2:7">
      <c r="B1732" s="1727"/>
      <c r="C1732" s="1729"/>
      <c r="D1732" s="1729"/>
      <c r="E1732" s="332" t="s">
        <v>893</v>
      </c>
      <c r="F1732" s="1739"/>
      <c r="G1732" s="1740"/>
    </row>
    <row r="1733" spans="2:7">
      <c r="B1733" s="1727"/>
      <c r="C1733" s="1729"/>
      <c r="D1733" s="1729"/>
      <c r="E1733" s="1734" t="s">
        <v>894</v>
      </c>
      <c r="F1733" s="1742"/>
      <c r="G1733" s="1743"/>
    </row>
    <row r="1734" spans="2:7" ht="15" thickBot="1">
      <c r="B1734" s="1730"/>
      <c r="C1734" s="1732"/>
      <c r="D1734" s="1732"/>
      <c r="E1734" s="1741"/>
      <c r="F1734" s="1744"/>
      <c r="G1734" s="1745"/>
    </row>
    <row r="1735" spans="2:7">
      <c r="B1735" s="1755" t="str">
        <f>+PRESUPUESTO!$A$2</f>
        <v>OBJETO: MEJORAMIENTO Y ADECUACIÓN DE LAS VIAS URBANAS DEL MUNICIPIO DE SANTA FE DE ANTIOQUIA</v>
      </c>
      <c r="C1735" s="1757"/>
      <c r="D1735" s="1757"/>
      <c r="E1735" s="1757"/>
      <c r="F1735" s="1757"/>
      <c r="G1735" s="1758"/>
    </row>
    <row r="1736" spans="2:7" ht="15" thickBot="1">
      <c r="B1736" s="1759"/>
      <c r="C1736" s="1761"/>
      <c r="D1736" s="1761"/>
      <c r="E1736" s="1761"/>
      <c r="F1736" s="1761"/>
      <c r="G1736" s="1762"/>
    </row>
    <row r="1737" spans="2:7" ht="15" thickBot="1">
      <c r="B1737" s="167" t="s">
        <v>1</v>
      </c>
      <c r="C1737" s="2059"/>
      <c r="D1737" s="1763"/>
      <c r="E1737" s="1763"/>
      <c r="F1737" s="2060"/>
      <c r="G1737" s="168" t="s">
        <v>193</v>
      </c>
    </row>
    <row r="1738" spans="2:7" ht="71" customHeight="1" thickBot="1">
      <c r="B1738" s="145" t="str">
        <f>+P!A72</f>
        <v>16.1</v>
      </c>
      <c r="C1738" s="2061" t="e">
        <f>+P!B72</f>
        <v>#REF!</v>
      </c>
      <c r="D1738" s="1765"/>
      <c r="E1738" s="1765"/>
      <c r="F1738" s="2062"/>
      <c r="G1738" s="169" t="str">
        <f>+P!C72</f>
        <v>m2</v>
      </c>
    </row>
    <row r="1739" spans="2:7" ht="15" thickBot="1">
      <c r="B1739" s="216" t="s">
        <v>896</v>
      </c>
    </row>
    <row r="1740" spans="2:7">
      <c r="B1740" s="170" t="s">
        <v>897</v>
      </c>
      <c r="C1740" s="171" t="s">
        <v>319</v>
      </c>
      <c r="D1740" s="171" t="s">
        <v>320</v>
      </c>
      <c r="E1740" s="171" t="s">
        <v>898</v>
      </c>
      <c r="F1740" s="187" t="s">
        <v>899</v>
      </c>
      <c r="G1740" s="139"/>
    </row>
    <row r="1741" spans="2:7" ht="29">
      <c r="B1741" s="217" t="s">
        <v>1045</v>
      </c>
      <c r="C1741" s="208" t="s">
        <v>34</v>
      </c>
      <c r="D1741" s="209">
        <v>1.1000000000000001</v>
      </c>
      <c r="E1741" s="210">
        <f>+MATERIALES!D102</f>
        <v>86000</v>
      </c>
      <c r="F1741" s="213">
        <f>+ROUND((D1741*E1741),0)</f>
        <v>94600</v>
      </c>
      <c r="G1741" s="147"/>
    </row>
    <row r="1742" spans="2:7" ht="29">
      <c r="B1742" s="217" t="s">
        <v>1046</v>
      </c>
      <c r="C1742" s="208" t="s">
        <v>69</v>
      </c>
      <c r="D1742" s="209">
        <v>3.85</v>
      </c>
      <c r="E1742" s="210">
        <f>+MATERIALES!D103</f>
        <v>2235.6</v>
      </c>
      <c r="F1742" s="213">
        <f>+ROUND((D1742*E1742),0)</f>
        <v>8607</v>
      </c>
      <c r="G1742" s="147"/>
    </row>
    <row r="1743" spans="2:7" ht="29">
      <c r="B1743" s="217" t="s">
        <v>1047</v>
      </c>
      <c r="C1743" s="208" t="s">
        <v>69</v>
      </c>
      <c r="D1743" s="209">
        <v>0.55000000000000004</v>
      </c>
      <c r="E1743" s="210">
        <f>+MATERIALES!D104</f>
        <v>6250</v>
      </c>
      <c r="F1743" s="213">
        <f>+ROUND((D1743*E1743),0)</f>
        <v>3438</v>
      </c>
      <c r="G1743" s="147"/>
    </row>
    <row r="1744" spans="2:7">
      <c r="B1744" s="217" t="s">
        <v>1048</v>
      </c>
      <c r="C1744" s="208" t="s">
        <v>10</v>
      </c>
      <c r="D1744" s="209">
        <v>0.61111000000000004</v>
      </c>
      <c r="E1744" s="210">
        <f>+MATERIALES!D105</f>
        <v>3625</v>
      </c>
      <c r="F1744" s="213">
        <f>+ROUND((D1744*E1744),0)</f>
        <v>2215</v>
      </c>
      <c r="G1744" s="147"/>
    </row>
    <row r="1745" spans="2:7" ht="15" thickBot="1">
      <c r="B1745" s="218" t="s">
        <v>988</v>
      </c>
      <c r="C1745" s="202" t="s">
        <v>69</v>
      </c>
      <c r="D1745" s="203">
        <v>0.06</v>
      </c>
      <c r="E1745" s="204">
        <f>+MATERIALES!D47</f>
        <v>19900</v>
      </c>
      <c r="F1745" s="205">
        <f>+ROUND((D1745*E1745),0)</f>
        <v>1194</v>
      </c>
      <c r="G1745" s="142"/>
    </row>
    <row r="1746" spans="2:7" ht="15" thickBot="1">
      <c r="B1746" s="212"/>
      <c r="C1746" s="184">
        <f>+G1746/$G$1765</f>
        <v>0.61009939740668673</v>
      </c>
      <c r="D1746" s="190"/>
      <c r="F1746" s="212" t="s">
        <v>900</v>
      </c>
      <c r="G1746" s="148">
        <f>+SUM(F1741:F1745)</f>
        <v>110054</v>
      </c>
    </row>
    <row r="1747" spans="2:7" ht="15" thickBot="1">
      <c r="B1747" s="216" t="s">
        <v>901</v>
      </c>
    </row>
    <row r="1748" spans="2:7">
      <c r="B1748" s="170" t="s">
        <v>897</v>
      </c>
      <c r="C1748" s="171" t="s">
        <v>319</v>
      </c>
      <c r="D1748" s="171" t="s">
        <v>320</v>
      </c>
      <c r="E1748" s="171" t="s">
        <v>898</v>
      </c>
      <c r="F1748" s="187" t="s">
        <v>899</v>
      </c>
      <c r="G1748" s="139"/>
    </row>
    <row r="1749" spans="2:7" ht="15" thickBot="1">
      <c r="B1749" s="218" t="s">
        <v>1228</v>
      </c>
      <c r="C1749" s="202" t="s">
        <v>916</v>
      </c>
      <c r="D1749" s="203">
        <v>0.19536668699776277</v>
      </c>
      <c r="E1749" s="204">
        <f>+'FP OPERATIVO'!F36</f>
        <v>302186.41694755561</v>
      </c>
      <c r="F1749" s="205">
        <f>+ROUND((D1749*E1749),0)</f>
        <v>59037</v>
      </c>
      <c r="G1749" s="147"/>
    </row>
    <row r="1750" spans="2:7" ht="15" thickBot="1">
      <c r="B1750" s="212"/>
      <c r="C1750" s="184">
        <f>+G1750/$G$1765</f>
        <v>0.32727968201699681</v>
      </c>
      <c r="D1750" s="190"/>
      <c r="F1750" s="212" t="s">
        <v>900</v>
      </c>
      <c r="G1750" s="148">
        <f>+SUM(F1749)</f>
        <v>59037</v>
      </c>
    </row>
    <row r="1751" spans="2:7" ht="15" thickBot="1">
      <c r="B1751" s="216" t="s">
        <v>917</v>
      </c>
    </row>
    <row r="1752" spans="2:7">
      <c r="B1752" s="170" t="s">
        <v>897</v>
      </c>
      <c r="C1752" s="171" t="s">
        <v>319</v>
      </c>
      <c r="D1752" s="171" t="s">
        <v>320</v>
      </c>
      <c r="E1752" s="171" t="s">
        <v>898</v>
      </c>
      <c r="F1752" s="187" t="s">
        <v>899</v>
      </c>
      <c r="G1752" s="139"/>
    </row>
    <row r="1753" spans="2:7" ht="15" thickBot="1">
      <c r="B1753" s="218" t="s">
        <v>905</v>
      </c>
      <c r="C1753" s="202" t="s">
        <v>906</v>
      </c>
      <c r="D1753" s="203">
        <v>0.05</v>
      </c>
      <c r="E1753" s="204">
        <f>+G1750</f>
        <v>59037</v>
      </c>
      <c r="F1753" s="205">
        <f>+ROUND((D1753*E1753),0)</f>
        <v>2952</v>
      </c>
      <c r="G1753" s="147"/>
    </row>
    <row r="1754" spans="2:7" ht="15" thickBot="1">
      <c r="B1754" s="212"/>
      <c r="C1754" s="184">
        <f>+G1754/$G$1765</f>
        <v>1.6364815646360324E-2</v>
      </c>
      <c r="D1754" s="190"/>
      <c r="F1754" s="212" t="s">
        <v>900</v>
      </c>
      <c r="G1754" s="148">
        <f>+SUM(F1753)</f>
        <v>2952</v>
      </c>
    </row>
    <row r="1755" spans="2:7" ht="15" thickBot="1">
      <c r="B1755" s="216" t="s">
        <v>1203</v>
      </c>
    </row>
    <row r="1756" spans="2:7">
      <c r="B1756" s="170" t="s">
        <v>897</v>
      </c>
      <c r="C1756" s="171" t="s">
        <v>319</v>
      </c>
      <c r="D1756" s="171" t="s">
        <v>320</v>
      </c>
      <c r="E1756" s="171" t="s">
        <v>898</v>
      </c>
      <c r="F1756" s="187" t="s">
        <v>899</v>
      </c>
      <c r="G1756" s="139"/>
    </row>
    <row r="1757" spans="2:7">
      <c r="B1757" s="217" t="s">
        <v>1137</v>
      </c>
      <c r="C1757" s="208" t="s">
        <v>198</v>
      </c>
      <c r="D1757" s="209">
        <v>0.125</v>
      </c>
      <c r="E1757" s="210">
        <f>+EQUIPOS!C41</f>
        <v>55500</v>
      </c>
      <c r="F1757" s="213">
        <f>+ROUND((D1757*E1757),0)</f>
        <v>6938</v>
      </c>
      <c r="G1757" s="147"/>
    </row>
    <row r="1758" spans="2:7" ht="15" thickBot="1">
      <c r="B1758" s="218" t="s">
        <v>1138</v>
      </c>
      <c r="C1758" s="202" t="s">
        <v>198</v>
      </c>
      <c r="D1758" s="203">
        <v>2.5000000000000001E-2</v>
      </c>
      <c r="E1758" s="204">
        <f>+EQUIPOS!C42</f>
        <v>2530</v>
      </c>
      <c r="F1758" s="205">
        <f>+ROUND((D1758*E1758),0)</f>
        <v>63</v>
      </c>
      <c r="G1758" s="142"/>
    </row>
    <row r="1759" spans="2:7" ht="15" thickBot="1">
      <c r="B1759" s="212"/>
      <c r="C1759" s="184">
        <f>+G1759/$G$1765</f>
        <v>3.8811000792740052E-2</v>
      </c>
      <c r="D1759" s="190"/>
      <c r="F1759" s="212" t="s">
        <v>900</v>
      </c>
      <c r="G1759" s="148">
        <f>+SUM(F1757:F1758)</f>
        <v>7001</v>
      </c>
    </row>
    <row r="1760" spans="2:7" ht="15" thickBot="1">
      <c r="B1760" s="216" t="s">
        <v>1262</v>
      </c>
    </row>
    <row r="1761" spans="2:11">
      <c r="B1761" s="170" t="s">
        <v>897</v>
      </c>
      <c r="C1761" s="171" t="s">
        <v>319</v>
      </c>
      <c r="D1761" s="171" t="s">
        <v>320</v>
      </c>
      <c r="E1761" s="171" t="s">
        <v>898</v>
      </c>
      <c r="F1761" s="187" t="s">
        <v>899</v>
      </c>
      <c r="G1761" s="139"/>
    </row>
    <row r="1762" spans="2:11" ht="15" thickBot="1">
      <c r="B1762" s="218" t="s">
        <v>1218</v>
      </c>
      <c r="C1762" s="202" t="s">
        <v>198</v>
      </c>
      <c r="D1762" s="203">
        <v>2.9835265E-3</v>
      </c>
      <c r="E1762" s="204">
        <f>+EQUIPOS!$C$53</f>
        <v>450000</v>
      </c>
      <c r="F1762" s="205">
        <f>+ROUND((D1762*E1762),0)</f>
        <v>1343</v>
      </c>
      <c r="G1762" s="147"/>
    </row>
    <row r="1763" spans="2:11" ht="15" thickBot="1">
      <c r="B1763" s="212"/>
      <c r="C1763" s="184">
        <f>+G1763/$G$1808</f>
        <v>7.4451041372160963E-3</v>
      </c>
      <c r="D1763" s="190"/>
      <c r="F1763" s="212" t="s">
        <v>900</v>
      </c>
      <c r="G1763" s="148">
        <f>+SUM(F1762:F1762)</f>
        <v>1343</v>
      </c>
    </row>
    <row r="1764" spans="2:11" ht="15" thickBot="1"/>
    <row r="1765" spans="2:11" ht="15" thickBot="1">
      <c r="E1765" s="154" t="s">
        <v>908</v>
      </c>
      <c r="G1765" s="153">
        <f>+SUM(G1740:G1763)</f>
        <v>180387</v>
      </c>
      <c r="I1765" s="5"/>
      <c r="K1765" s="5"/>
    </row>
    <row r="1766" spans="2:11" ht="15" thickBot="1">
      <c r="B1766" s="155"/>
      <c r="C1766" s="155"/>
    </row>
    <row r="1767" spans="2:11" ht="19.25" customHeight="1">
      <c r="B1767" s="1721"/>
      <c r="C1767" s="1770" t="s">
        <v>1175</v>
      </c>
      <c r="D1767" s="1770"/>
      <c r="E1767" s="1770"/>
      <c r="F1767" s="1770"/>
      <c r="G1767" s="1771"/>
    </row>
    <row r="1768" spans="2:11" ht="19.25" customHeight="1">
      <c r="B1768" s="1722"/>
      <c r="C1768" s="1772"/>
      <c r="D1768" s="1772"/>
      <c r="E1768" s="1772"/>
      <c r="F1768" s="1772"/>
      <c r="G1768" s="1773"/>
    </row>
    <row r="1769" spans="2:11" ht="19.25" customHeight="1">
      <c r="B1769" s="1722"/>
      <c r="C1769" s="1772"/>
      <c r="D1769" s="1772"/>
      <c r="E1769" s="1772"/>
      <c r="F1769" s="1772"/>
      <c r="G1769" s="1773"/>
    </row>
    <row r="1770" spans="2:11" ht="19.25" customHeight="1">
      <c r="B1770" s="1722"/>
      <c r="C1770" s="1772"/>
      <c r="D1770" s="1772"/>
      <c r="E1770" s="1772"/>
      <c r="F1770" s="1772"/>
      <c r="G1770" s="1773"/>
    </row>
    <row r="1771" spans="2:11" ht="19.25" customHeight="1" thickBot="1">
      <c r="B1771" s="1723"/>
      <c r="C1771" s="1774"/>
      <c r="D1771" s="1774"/>
      <c r="E1771" s="1774"/>
      <c r="F1771" s="1774"/>
      <c r="G1771" s="1775"/>
    </row>
    <row r="1772" spans="2:11">
      <c r="B1772" s="1724" t="s">
        <v>890</v>
      </c>
      <c r="C1772" s="1726"/>
      <c r="D1772" s="1726"/>
      <c r="E1772" s="1733" t="s">
        <v>891</v>
      </c>
      <c r="F1772" s="1735"/>
      <c r="G1772" s="1736"/>
    </row>
    <row r="1773" spans="2:11">
      <c r="B1773" s="1727"/>
      <c r="C1773" s="1729"/>
      <c r="D1773" s="1729"/>
      <c r="E1773" s="1734"/>
      <c r="F1773" s="1737"/>
      <c r="G1773" s="1738"/>
    </row>
    <row r="1774" spans="2:11">
      <c r="B1774" s="1727"/>
      <c r="C1774" s="1729"/>
      <c r="D1774" s="1729"/>
      <c r="E1774" s="332" t="s">
        <v>892</v>
      </c>
      <c r="F1774" s="1739"/>
      <c r="G1774" s="1740"/>
    </row>
    <row r="1775" spans="2:11">
      <c r="B1775" s="1727"/>
      <c r="C1775" s="1729"/>
      <c r="D1775" s="1729"/>
      <c r="E1775" s="332" t="s">
        <v>893</v>
      </c>
      <c r="F1775" s="1739"/>
      <c r="G1775" s="1740"/>
    </row>
    <row r="1776" spans="2:11">
      <c r="B1776" s="1727"/>
      <c r="C1776" s="1729"/>
      <c r="D1776" s="1729"/>
      <c r="E1776" s="1734" t="s">
        <v>894</v>
      </c>
      <c r="F1776" s="1742"/>
      <c r="G1776" s="1743"/>
    </row>
    <row r="1777" spans="2:7" ht="15" thickBot="1">
      <c r="B1777" s="1730"/>
      <c r="C1777" s="1732"/>
      <c r="D1777" s="1732"/>
      <c r="E1777" s="1741"/>
      <c r="F1777" s="1744"/>
      <c r="G1777" s="1745"/>
    </row>
    <row r="1778" spans="2:7">
      <c r="B1778" s="1755" t="str">
        <f>+PRESUPUESTO!$A$2</f>
        <v>OBJETO: MEJORAMIENTO Y ADECUACIÓN DE LAS VIAS URBANAS DEL MUNICIPIO DE SANTA FE DE ANTIOQUIA</v>
      </c>
      <c r="C1778" s="1757"/>
      <c r="D1778" s="1757"/>
      <c r="E1778" s="1757"/>
      <c r="F1778" s="1757"/>
      <c r="G1778" s="1758"/>
    </row>
    <row r="1779" spans="2:7" ht="15" thickBot="1">
      <c r="B1779" s="1759"/>
      <c r="C1779" s="1761"/>
      <c r="D1779" s="1761"/>
      <c r="E1779" s="1761"/>
      <c r="F1779" s="1761"/>
      <c r="G1779" s="1762"/>
    </row>
    <row r="1780" spans="2:7" ht="15" thickBot="1">
      <c r="B1780" s="167" t="s">
        <v>1</v>
      </c>
      <c r="C1780" s="2059"/>
      <c r="D1780" s="1763"/>
      <c r="E1780" s="1763"/>
      <c r="F1780" s="2060"/>
      <c r="G1780" s="168" t="s">
        <v>193</v>
      </c>
    </row>
    <row r="1781" spans="2:7" ht="71.5" customHeight="1" thickBot="1">
      <c r="B1781" s="145" t="str">
        <f>+P!A73</f>
        <v>16.2</v>
      </c>
      <c r="C1781" s="2061" t="e">
        <f>+P!B73</f>
        <v>#REF!</v>
      </c>
      <c r="D1781" s="1765"/>
      <c r="E1781" s="1765"/>
      <c r="F1781" s="2062"/>
      <c r="G1781" s="169" t="str">
        <f>+P!C73</f>
        <v>m2</v>
      </c>
    </row>
    <row r="1782" spans="2:7" ht="15" thickBot="1">
      <c r="B1782" s="216" t="s">
        <v>896</v>
      </c>
    </row>
    <row r="1783" spans="2:7">
      <c r="B1783" s="170" t="s">
        <v>897</v>
      </c>
      <c r="C1783" s="171" t="s">
        <v>319</v>
      </c>
      <c r="D1783" s="171" t="s">
        <v>320</v>
      </c>
      <c r="E1783" s="171" t="s">
        <v>898</v>
      </c>
      <c r="F1783" s="187" t="s">
        <v>899</v>
      </c>
      <c r="G1783" s="139"/>
    </row>
    <row r="1784" spans="2:7">
      <c r="B1784" s="217" t="s">
        <v>1263</v>
      </c>
      <c r="C1784" s="208" t="s">
        <v>34</v>
      </c>
      <c r="D1784" s="209">
        <v>1.1000000000000001</v>
      </c>
      <c r="E1784" s="210">
        <f>+MATERIALES!D102</f>
        <v>86000</v>
      </c>
      <c r="F1784" s="213">
        <f>+ROUND((D1784*E1784),0)</f>
        <v>94600</v>
      </c>
      <c r="G1784" s="147"/>
    </row>
    <row r="1785" spans="2:7" ht="29">
      <c r="B1785" s="217" t="s">
        <v>1046</v>
      </c>
      <c r="C1785" s="208" t="s">
        <v>69</v>
      </c>
      <c r="D1785" s="209">
        <v>3.85</v>
      </c>
      <c r="E1785" s="210">
        <f>+MATERIALES!D103</f>
        <v>2235.6</v>
      </c>
      <c r="F1785" s="213">
        <f>+ROUND((D1785*E1785),0)</f>
        <v>8607</v>
      </c>
      <c r="G1785" s="147"/>
    </row>
    <row r="1786" spans="2:7" ht="29">
      <c r="B1786" s="217" t="s">
        <v>1047</v>
      </c>
      <c r="C1786" s="208" t="s">
        <v>69</v>
      </c>
      <c r="D1786" s="209">
        <v>0.55000000000000004</v>
      </c>
      <c r="E1786" s="210">
        <f>+MATERIALES!D104</f>
        <v>6250</v>
      </c>
      <c r="F1786" s="213">
        <f>+ROUND((D1786*E1786),0)</f>
        <v>3438</v>
      </c>
      <c r="G1786" s="147"/>
    </row>
    <row r="1787" spans="2:7">
      <c r="B1787" s="217" t="s">
        <v>1048</v>
      </c>
      <c r="C1787" s="208" t="s">
        <v>10</v>
      </c>
      <c r="D1787" s="209">
        <v>0.61111000000000004</v>
      </c>
      <c r="E1787" s="210">
        <f>+MATERIALES!D105</f>
        <v>3625</v>
      </c>
      <c r="F1787" s="213">
        <f>+ROUND((D1787*E1787),0)</f>
        <v>2215</v>
      </c>
      <c r="G1787" s="147"/>
    </row>
    <row r="1788" spans="2:7" ht="15" thickBot="1">
      <c r="B1788" s="218" t="s">
        <v>988</v>
      </c>
      <c r="C1788" s="202" t="s">
        <v>69</v>
      </c>
      <c r="D1788" s="203">
        <v>0.06</v>
      </c>
      <c r="E1788" s="204">
        <f>+MATERIALES!D47</f>
        <v>19900</v>
      </c>
      <c r="F1788" s="205">
        <f>+ROUND((D1788*E1788),0)</f>
        <v>1194</v>
      </c>
      <c r="G1788" s="142"/>
    </row>
    <row r="1789" spans="2:7" ht="15" thickBot="1">
      <c r="B1789" s="212"/>
      <c r="C1789" s="184">
        <f>+G1789/$G$1808</f>
        <v>0.61009939740668673</v>
      </c>
      <c r="D1789" s="190"/>
      <c r="F1789" s="212" t="s">
        <v>900</v>
      </c>
      <c r="G1789" s="148">
        <f>+SUM(F1784:F1788)</f>
        <v>110054</v>
      </c>
    </row>
    <row r="1790" spans="2:7" ht="15" thickBot="1">
      <c r="B1790" s="216" t="s">
        <v>901</v>
      </c>
    </row>
    <row r="1791" spans="2:7">
      <c r="B1791" s="170" t="s">
        <v>897</v>
      </c>
      <c r="C1791" s="171" t="s">
        <v>319</v>
      </c>
      <c r="D1791" s="171" t="s">
        <v>320</v>
      </c>
      <c r="E1791" s="171" t="s">
        <v>898</v>
      </c>
      <c r="F1791" s="187" t="s">
        <v>899</v>
      </c>
      <c r="G1791" s="139"/>
    </row>
    <row r="1792" spans="2:7" ht="15" thickBot="1">
      <c r="B1792" s="218" t="s">
        <v>1228</v>
      </c>
      <c r="C1792" s="202" t="s">
        <v>916</v>
      </c>
      <c r="D1792" s="203">
        <v>0.19536668699776277</v>
      </c>
      <c r="E1792" s="204">
        <f>+'FP OPERATIVO'!F36</f>
        <v>302186.41694755561</v>
      </c>
      <c r="F1792" s="205">
        <f>+ROUND((D1792*E1792),0)</f>
        <v>59037</v>
      </c>
      <c r="G1792" s="147"/>
    </row>
    <row r="1793" spans="2:7" ht="15" thickBot="1">
      <c r="B1793" s="212"/>
      <c r="C1793" s="184">
        <f>+G1793/$G$1808</f>
        <v>0.32727968201699681</v>
      </c>
      <c r="D1793" s="190"/>
      <c r="F1793" s="212" t="s">
        <v>900</v>
      </c>
      <c r="G1793" s="148">
        <f>+SUM(F1792)</f>
        <v>59037</v>
      </c>
    </row>
    <row r="1794" spans="2:7" ht="15" thickBot="1">
      <c r="B1794" s="216" t="s">
        <v>917</v>
      </c>
    </row>
    <row r="1795" spans="2:7">
      <c r="B1795" s="170" t="s">
        <v>897</v>
      </c>
      <c r="C1795" s="171" t="s">
        <v>319</v>
      </c>
      <c r="D1795" s="171" t="s">
        <v>320</v>
      </c>
      <c r="E1795" s="171" t="s">
        <v>898</v>
      </c>
      <c r="F1795" s="187" t="s">
        <v>899</v>
      </c>
      <c r="G1795" s="139"/>
    </row>
    <row r="1796" spans="2:7" ht="15" thickBot="1">
      <c r="B1796" s="218" t="s">
        <v>905</v>
      </c>
      <c r="C1796" s="202" t="s">
        <v>906</v>
      </c>
      <c r="D1796" s="203">
        <v>0.05</v>
      </c>
      <c r="E1796" s="204">
        <f>+G1793</f>
        <v>59037</v>
      </c>
      <c r="F1796" s="205">
        <f>+ROUND((D1796*E1796),0)</f>
        <v>2952</v>
      </c>
      <c r="G1796" s="147"/>
    </row>
    <row r="1797" spans="2:7" ht="15" thickBot="1">
      <c r="B1797" s="212"/>
      <c r="C1797" s="184">
        <f>+G1797/$G$1808</f>
        <v>1.6364815646360324E-2</v>
      </c>
      <c r="D1797" s="190"/>
      <c r="F1797" s="212" t="s">
        <v>900</v>
      </c>
      <c r="G1797" s="148">
        <f>+SUM(F1796)</f>
        <v>2952</v>
      </c>
    </row>
    <row r="1798" spans="2:7" ht="15" thickBot="1">
      <c r="B1798" s="216" t="s">
        <v>1203</v>
      </c>
    </row>
    <row r="1799" spans="2:7">
      <c r="B1799" s="170" t="s">
        <v>897</v>
      </c>
      <c r="C1799" s="171" t="s">
        <v>319</v>
      </c>
      <c r="D1799" s="171" t="s">
        <v>320</v>
      </c>
      <c r="E1799" s="171" t="s">
        <v>898</v>
      </c>
      <c r="F1799" s="187" t="s">
        <v>899</v>
      </c>
      <c r="G1799" s="139"/>
    </row>
    <row r="1800" spans="2:7">
      <c r="B1800" s="217" t="s">
        <v>1137</v>
      </c>
      <c r="C1800" s="208" t="s">
        <v>198</v>
      </c>
      <c r="D1800" s="209">
        <v>0.125</v>
      </c>
      <c r="E1800" s="210">
        <f>+EQUIPOS!C41</f>
        <v>55500</v>
      </c>
      <c r="F1800" s="213">
        <f>+ROUND((D1800*E1800),0)</f>
        <v>6938</v>
      </c>
      <c r="G1800" s="147"/>
    </row>
    <row r="1801" spans="2:7" ht="15" thickBot="1">
      <c r="B1801" s="218" t="s">
        <v>1138</v>
      </c>
      <c r="C1801" s="202" t="s">
        <v>198</v>
      </c>
      <c r="D1801" s="203">
        <v>2.5000000000000001E-2</v>
      </c>
      <c r="E1801" s="204">
        <f>+EQUIPOS!C42</f>
        <v>2530</v>
      </c>
      <c r="F1801" s="205">
        <f>+ROUND((D1801*E1801),0)</f>
        <v>63</v>
      </c>
      <c r="G1801" s="142"/>
    </row>
    <row r="1802" spans="2:7" ht="15" thickBot="1">
      <c r="B1802" s="212"/>
      <c r="C1802" s="184">
        <f>+G1802/$G$1808</f>
        <v>3.8811000792740052E-2</v>
      </c>
      <c r="D1802" s="190"/>
      <c r="F1802" s="212" t="s">
        <v>900</v>
      </c>
      <c r="G1802" s="148">
        <f>+SUM(F1800:F1801)</f>
        <v>7001</v>
      </c>
    </row>
    <row r="1803" spans="2:7" ht="15" thickBot="1">
      <c r="B1803" s="216" t="s">
        <v>1262</v>
      </c>
    </row>
    <row r="1804" spans="2:7">
      <c r="B1804" s="170" t="s">
        <v>897</v>
      </c>
      <c r="C1804" s="171" t="s">
        <v>319</v>
      </c>
      <c r="D1804" s="171" t="s">
        <v>320</v>
      </c>
      <c r="E1804" s="171" t="s">
        <v>898</v>
      </c>
      <c r="F1804" s="187" t="s">
        <v>899</v>
      </c>
      <c r="G1804" s="139"/>
    </row>
    <row r="1805" spans="2:7" ht="15" thickBot="1">
      <c r="B1805" s="218" t="s">
        <v>1218</v>
      </c>
      <c r="C1805" s="202" t="s">
        <v>198</v>
      </c>
      <c r="D1805" s="203">
        <v>2.9835265E-3</v>
      </c>
      <c r="E1805" s="204">
        <f>+EQUIPOS!$C$53</f>
        <v>450000</v>
      </c>
      <c r="F1805" s="205">
        <f>+ROUND((D1805*E1805),0)</f>
        <v>1343</v>
      </c>
      <c r="G1805" s="147"/>
    </row>
    <row r="1806" spans="2:7" ht="15" thickBot="1">
      <c r="B1806" s="212"/>
      <c r="C1806" s="184">
        <f>+G1806/$G$1808</f>
        <v>7.4451041372160963E-3</v>
      </c>
      <c r="D1806" s="190"/>
      <c r="F1806" s="212" t="s">
        <v>900</v>
      </c>
      <c r="G1806" s="148">
        <f>+SUM(F1805:F1805)</f>
        <v>1343</v>
      </c>
    </row>
    <row r="1807" spans="2:7" ht="15" thickBot="1"/>
    <row r="1808" spans="2:7" ht="15" thickBot="1">
      <c r="E1808" s="154" t="s">
        <v>908</v>
      </c>
      <c r="G1808" s="153">
        <f>+SUM(G1783:G1806)</f>
        <v>180387</v>
      </c>
    </row>
    <row r="1809" spans="2:7" ht="15" thickBot="1">
      <c r="B1809" s="340"/>
      <c r="C1809" s="201"/>
      <c r="D1809" s="253"/>
      <c r="E1809" s="253"/>
      <c r="F1809" s="253"/>
      <c r="G1809" s="196"/>
    </row>
    <row r="1810" spans="2:7" ht="18.5" customHeight="1">
      <c r="B1810" s="1721"/>
      <c r="C1810" s="1770" t="s">
        <v>1175</v>
      </c>
      <c r="D1810" s="1770"/>
      <c r="E1810" s="1770"/>
      <c r="F1810" s="1770"/>
      <c r="G1810" s="1771"/>
    </row>
    <row r="1811" spans="2:7" ht="18.5" customHeight="1">
      <c r="B1811" s="1722"/>
      <c r="C1811" s="1772"/>
      <c r="D1811" s="1772"/>
      <c r="E1811" s="1772"/>
      <c r="F1811" s="1772"/>
      <c r="G1811" s="1773"/>
    </row>
    <row r="1812" spans="2:7" ht="18.5" customHeight="1">
      <c r="B1812" s="1722"/>
      <c r="C1812" s="1772"/>
      <c r="D1812" s="1772"/>
      <c r="E1812" s="1772"/>
      <c r="F1812" s="1772"/>
      <c r="G1812" s="1773"/>
    </row>
    <row r="1813" spans="2:7" ht="18.5" customHeight="1">
      <c r="B1813" s="1722"/>
      <c r="C1813" s="1772"/>
      <c r="D1813" s="1772"/>
      <c r="E1813" s="1772"/>
      <c r="F1813" s="1772"/>
      <c r="G1813" s="1773"/>
    </row>
    <row r="1814" spans="2:7" ht="18.5" customHeight="1" thickBot="1">
      <c r="B1814" s="1723"/>
      <c r="C1814" s="1774"/>
      <c r="D1814" s="1774"/>
      <c r="E1814" s="1774"/>
      <c r="F1814" s="1774"/>
      <c r="G1814" s="1775"/>
    </row>
    <row r="1815" spans="2:7">
      <c r="B1815" s="1724" t="s">
        <v>890</v>
      </c>
      <c r="C1815" s="1726"/>
      <c r="D1815" s="1726"/>
      <c r="E1815" s="1733" t="s">
        <v>891</v>
      </c>
      <c r="F1815" s="1735"/>
      <c r="G1815" s="1736"/>
    </row>
    <row r="1816" spans="2:7">
      <c r="B1816" s="1727"/>
      <c r="C1816" s="1729"/>
      <c r="D1816" s="1729"/>
      <c r="E1816" s="1734"/>
      <c r="F1816" s="1737"/>
      <c r="G1816" s="1738"/>
    </row>
    <row r="1817" spans="2:7">
      <c r="B1817" s="1727"/>
      <c r="C1817" s="1729"/>
      <c r="D1817" s="1729"/>
      <c r="E1817" s="332" t="s">
        <v>892</v>
      </c>
      <c r="F1817" s="1739"/>
      <c r="G1817" s="1740"/>
    </row>
    <row r="1818" spans="2:7">
      <c r="B1818" s="1727"/>
      <c r="C1818" s="1729"/>
      <c r="D1818" s="1729"/>
      <c r="E1818" s="332" t="s">
        <v>893</v>
      </c>
      <c r="F1818" s="1739"/>
      <c r="G1818" s="1740"/>
    </row>
    <row r="1819" spans="2:7">
      <c r="B1819" s="1727"/>
      <c r="C1819" s="1729"/>
      <c r="D1819" s="1729"/>
      <c r="E1819" s="1734" t="s">
        <v>894</v>
      </c>
      <c r="F1819" s="1742"/>
      <c r="G1819" s="1743"/>
    </row>
    <row r="1820" spans="2:7" ht="15" thickBot="1">
      <c r="B1820" s="1730"/>
      <c r="C1820" s="1732"/>
      <c r="D1820" s="1732"/>
      <c r="E1820" s="1741"/>
      <c r="F1820" s="1744"/>
      <c r="G1820" s="1745"/>
    </row>
    <row r="1821" spans="2:7">
      <c r="B1821" s="1755" t="str">
        <f>+PRESUPUESTO!$A$2</f>
        <v>OBJETO: MEJORAMIENTO Y ADECUACIÓN DE LAS VIAS URBANAS DEL MUNICIPIO DE SANTA FE DE ANTIOQUIA</v>
      </c>
      <c r="C1821" s="1757"/>
      <c r="D1821" s="1757"/>
      <c r="E1821" s="1757"/>
      <c r="F1821" s="1757"/>
      <c r="G1821" s="1758"/>
    </row>
    <row r="1822" spans="2:7" ht="15" thickBot="1">
      <c r="B1822" s="1759"/>
      <c r="C1822" s="1761"/>
      <c r="D1822" s="1761"/>
      <c r="E1822" s="1761"/>
      <c r="F1822" s="1761"/>
      <c r="G1822" s="1762"/>
    </row>
    <row r="1823" spans="2:7" ht="15" thickBot="1">
      <c r="B1823" s="167" t="s">
        <v>1</v>
      </c>
      <c r="C1823" s="2059"/>
      <c r="D1823" s="1763"/>
      <c r="E1823" s="1763"/>
      <c r="F1823" s="2060"/>
      <c r="G1823" s="168" t="s">
        <v>193</v>
      </c>
    </row>
    <row r="1824" spans="2:7" ht="77.5" customHeight="1" thickBot="1">
      <c r="B1824" s="145" t="str">
        <f>+P!A74</f>
        <v>16.3</v>
      </c>
      <c r="C1824" s="2061" t="str">
        <f>+P!B74</f>
        <v>Colocación de PISO EN GRES DE 30 x 30 cm. COLOR A DEFINIR, ESPESOR DE 12 mm tráfico 5 tipo Alfa o equivalente.  Incluye suministro y transporte de los materiales, juntas de dilatación cada 1,80 m. En ambos sentidos con sellante elastomérico tipo Sikaflex o equivalente calidad, y todos los elementos necesarios para su correcta construcción.</v>
      </c>
      <c r="D1824" s="1765"/>
      <c r="E1824" s="1765"/>
      <c r="F1824" s="2062"/>
      <c r="G1824" s="169" t="str">
        <f>+P!C74</f>
        <v>m2</v>
      </c>
    </row>
    <row r="1825" spans="2:7" ht="15" thickBot="1">
      <c r="B1825" s="216" t="s">
        <v>896</v>
      </c>
    </row>
    <row r="1826" spans="2:7">
      <c r="B1826" s="170" t="s">
        <v>897</v>
      </c>
      <c r="C1826" s="171" t="s">
        <v>319</v>
      </c>
      <c r="D1826" s="171" t="s">
        <v>320</v>
      </c>
      <c r="E1826" s="171" t="s">
        <v>898</v>
      </c>
      <c r="F1826" s="187" t="s">
        <v>899</v>
      </c>
      <c r="G1826" s="139"/>
    </row>
    <row r="1827" spans="2:7">
      <c r="B1827" s="217" t="s">
        <v>1049</v>
      </c>
      <c r="C1827" s="174" t="s">
        <v>34</v>
      </c>
      <c r="D1827" s="175">
        <v>1.05</v>
      </c>
      <c r="E1827" s="176">
        <f>+MATERIALES!D106</f>
        <v>73580</v>
      </c>
      <c r="F1827" s="215">
        <f>+ROUND((D1827*E1827),0)</f>
        <v>77259</v>
      </c>
      <c r="G1827" s="140"/>
    </row>
    <row r="1828" spans="2:7">
      <c r="B1828" s="217" t="s">
        <v>1237</v>
      </c>
      <c r="C1828" s="174" t="s">
        <v>14</v>
      </c>
      <c r="D1828" s="175">
        <v>5.2499999999999998E-2</v>
      </c>
      <c r="E1828" s="176">
        <f>+'CONCRETOS Y MORTERO'!G26</f>
        <v>538996.55000000005</v>
      </c>
      <c r="F1828" s="215">
        <f>+ROUND((D1828*E1828),0)</f>
        <v>28297</v>
      </c>
      <c r="G1828" s="140"/>
    </row>
    <row r="1829" spans="2:7" ht="43.5">
      <c r="B1829" s="217" t="s">
        <v>1050</v>
      </c>
      <c r="C1829" s="174" t="s">
        <v>23</v>
      </c>
      <c r="D1829" s="175">
        <v>0.16700000000000001</v>
      </c>
      <c r="E1829" s="176">
        <f>+MATERIALES!D107</f>
        <v>58620</v>
      </c>
      <c r="F1829" s="215">
        <f>+ROUND((D1829*E1829),0)</f>
        <v>9790</v>
      </c>
      <c r="G1829" s="140"/>
    </row>
    <row r="1830" spans="2:7">
      <c r="B1830" s="217" t="s">
        <v>1051</v>
      </c>
      <c r="C1830" s="174" t="s">
        <v>23</v>
      </c>
      <c r="D1830" s="175">
        <v>0.2</v>
      </c>
      <c r="E1830" s="176">
        <f>+MATERIALES!D108</f>
        <v>2980</v>
      </c>
      <c r="F1830" s="215">
        <f>+ROUND((D1830*E1830),0)</f>
        <v>596</v>
      </c>
      <c r="G1830" s="140"/>
    </row>
    <row r="1831" spans="2:7" ht="15" thickBot="1">
      <c r="B1831" s="218" t="s">
        <v>988</v>
      </c>
      <c r="C1831" s="179" t="s">
        <v>69</v>
      </c>
      <c r="D1831" s="180">
        <v>0.03</v>
      </c>
      <c r="E1831" s="181">
        <f>+MATERIALES!D47</f>
        <v>19900</v>
      </c>
      <c r="F1831" s="189">
        <f>+ROUND((D1831*E1831),0)</f>
        <v>597</v>
      </c>
      <c r="G1831" s="141"/>
    </row>
    <row r="1832" spans="2:7" ht="15" thickBot="1">
      <c r="B1832" s="1"/>
      <c r="C1832" s="161">
        <f>+G1832/$G$1846</f>
        <v>0.7683315971993302</v>
      </c>
      <c r="D1832" s="65"/>
      <c r="E1832" s="65"/>
      <c r="F1832" s="186" t="s">
        <v>900</v>
      </c>
      <c r="G1832" s="158">
        <f>+SUM(F1827:F1831)</f>
        <v>116539</v>
      </c>
    </row>
    <row r="1833" spans="2:7" ht="15" thickBot="1">
      <c r="B1833" s="216" t="s">
        <v>901</v>
      </c>
      <c r="C1833" s="65"/>
      <c r="D1833" s="65"/>
      <c r="E1833" s="65"/>
      <c r="F1833" s="65"/>
      <c r="G1833" s="65"/>
    </row>
    <row r="1834" spans="2:7">
      <c r="B1834" s="170" t="s">
        <v>897</v>
      </c>
      <c r="C1834" s="228" t="s">
        <v>319</v>
      </c>
      <c r="D1834" s="228" t="s">
        <v>320</v>
      </c>
      <c r="E1834" s="228" t="s">
        <v>898</v>
      </c>
      <c r="F1834" s="229" t="s">
        <v>899</v>
      </c>
      <c r="G1834" s="159"/>
    </row>
    <row r="1835" spans="2:7" ht="15" thickBot="1">
      <c r="B1835" s="218" t="s">
        <v>1228</v>
      </c>
      <c r="C1835" s="179" t="s">
        <v>916</v>
      </c>
      <c r="D1835" s="180">
        <v>0.1</v>
      </c>
      <c r="E1835" s="181">
        <f>+'FP OPERATIVO'!F36</f>
        <v>302186.41694755561</v>
      </c>
      <c r="F1835" s="189">
        <f>+ROUND((D1835*E1835),0)</f>
        <v>30219</v>
      </c>
      <c r="G1835" s="141"/>
    </row>
    <row r="1836" spans="2:7" ht="15" thickBot="1">
      <c r="B1836" s="212"/>
      <c r="C1836" s="161">
        <f>+G1836/$G$1846</f>
        <v>0.19923126623505058</v>
      </c>
      <c r="D1836" s="185"/>
      <c r="E1836" s="186"/>
      <c r="F1836" s="186" t="s">
        <v>900</v>
      </c>
      <c r="G1836" s="158">
        <f>+SUM(F1835)</f>
        <v>30219</v>
      </c>
    </row>
    <row r="1837" spans="2:7" ht="15" thickBot="1">
      <c r="B1837" s="216" t="s">
        <v>917</v>
      </c>
      <c r="C1837" s="65"/>
      <c r="D1837" s="65"/>
      <c r="E1837" s="65"/>
      <c r="F1837" s="65"/>
      <c r="G1837" s="65"/>
    </row>
    <row r="1838" spans="2:7">
      <c r="B1838" s="170" t="s">
        <v>897</v>
      </c>
      <c r="C1838" s="228" t="s">
        <v>319</v>
      </c>
      <c r="D1838" s="228" t="s">
        <v>320</v>
      </c>
      <c r="E1838" s="228" t="s">
        <v>898</v>
      </c>
      <c r="F1838" s="229" t="s">
        <v>899</v>
      </c>
      <c r="G1838" s="159"/>
    </row>
    <row r="1839" spans="2:7" ht="15" thickBot="1">
      <c r="B1839" s="218" t="s">
        <v>905</v>
      </c>
      <c r="C1839" s="179" t="s">
        <v>906</v>
      </c>
      <c r="D1839" s="180">
        <v>0.05</v>
      </c>
      <c r="E1839" s="181">
        <f>+G1836</f>
        <v>30219</v>
      </c>
      <c r="F1839" s="189">
        <f>+ROUND((D1839*E1839),0)</f>
        <v>1511</v>
      </c>
      <c r="G1839" s="141"/>
    </row>
    <row r="1840" spans="2:7" ht="15" thickBot="1">
      <c r="B1840" s="212"/>
      <c r="C1840" s="161">
        <f>+G1840/$G$1846</f>
        <v>9.9618929574493333E-3</v>
      </c>
      <c r="D1840" s="185"/>
      <c r="E1840" s="186"/>
      <c r="F1840" s="186" t="s">
        <v>900</v>
      </c>
      <c r="G1840" s="158">
        <f>+SUM(F1839)</f>
        <v>1511</v>
      </c>
    </row>
    <row r="1841" spans="2:7" ht="15" thickBot="1">
      <c r="B1841" s="216" t="s">
        <v>1182</v>
      </c>
      <c r="C1841" s="65"/>
      <c r="D1841" s="65"/>
      <c r="E1841" s="65"/>
      <c r="F1841" s="65"/>
      <c r="G1841" s="65"/>
    </row>
    <row r="1842" spans="2:7">
      <c r="B1842" s="170" t="s">
        <v>897</v>
      </c>
      <c r="C1842" s="228" t="s">
        <v>319</v>
      </c>
      <c r="D1842" s="228" t="s">
        <v>320</v>
      </c>
      <c r="E1842" s="228" t="s">
        <v>898</v>
      </c>
      <c r="F1842" s="229" t="s">
        <v>899</v>
      </c>
      <c r="G1842" s="159"/>
    </row>
    <row r="1843" spans="2:7" ht="15" thickBot="1">
      <c r="B1843" s="218" t="s">
        <v>1264</v>
      </c>
      <c r="C1843" s="179" t="s">
        <v>906</v>
      </c>
      <c r="D1843" s="180">
        <v>7.5762299999999998E-3</v>
      </c>
      <c r="E1843" s="181">
        <f>+EQUIPOS!C53</f>
        <v>450000</v>
      </c>
      <c r="F1843" s="189">
        <f>+ROUND((D1843*E1843),0)</f>
        <v>3409</v>
      </c>
      <c r="G1843" s="141"/>
    </row>
    <row r="1844" spans="2:7" ht="15" thickBot="1">
      <c r="B1844" s="212"/>
      <c r="C1844" s="161">
        <f>+G1844/$G$1846</f>
        <v>2.247524360816994E-2</v>
      </c>
      <c r="D1844" s="185"/>
      <c r="E1844" s="186"/>
      <c r="F1844" s="186" t="s">
        <v>900</v>
      </c>
      <c r="G1844" s="158">
        <f>+SUM(F1843)</f>
        <v>3409</v>
      </c>
    </row>
    <row r="1845" spans="2:7" ht="15" thickBot="1">
      <c r="C1845" s="65"/>
      <c r="D1845" s="65"/>
      <c r="E1845" s="65"/>
      <c r="F1845" s="65"/>
      <c r="G1845" s="65"/>
    </row>
    <row r="1846" spans="2:7" ht="15" thickBot="1">
      <c r="C1846" s="65"/>
      <c r="D1846" s="65"/>
      <c r="E1846" s="67" t="s">
        <v>908</v>
      </c>
      <c r="F1846" s="65"/>
      <c r="G1846" s="160">
        <f>+SUM(G1823:G1844)</f>
        <v>151678</v>
      </c>
    </row>
    <row r="1847" spans="2:7" ht="15" thickBot="1">
      <c r="B1847" s="155"/>
      <c r="C1847" s="155"/>
    </row>
    <row r="1848" spans="2:7" ht="18.5" customHeight="1">
      <c r="B1848" s="1721"/>
      <c r="C1848" s="1770" t="s">
        <v>1175</v>
      </c>
      <c r="D1848" s="1770"/>
      <c r="E1848" s="1770"/>
      <c r="F1848" s="1770"/>
      <c r="G1848" s="1771"/>
    </row>
    <row r="1849" spans="2:7" ht="18.5" customHeight="1">
      <c r="B1849" s="1722"/>
      <c r="C1849" s="1772"/>
      <c r="D1849" s="1772"/>
      <c r="E1849" s="1772"/>
      <c r="F1849" s="1772"/>
      <c r="G1849" s="1773"/>
    </row>
    <row r="1850" spans="2:7" ht="18.5" customHeight="1">
      <c r="B1850" s="1722"/>
      <c r="C1850" s="1772"/>
      <c r="D1850" s="1772"/>
      <c r="E1850" s="1772"/>
      <c r="F1850" s="1772"/>
      <c r="G1850" s="1773"/>
    </row>
    <row r="1851" spans="2:7" ht="18.5" customHeight="1">
      <c r="B1851" s="1722"/>
      <c r="C1851" s="1772"/>
      <c r="D1851" s="1772"/>
      <c r="E1851" s="1772"/>
      <c r="F1851" s="1772"/>
      <c r="G1851" s="1773"/>
    </row>
    <row r="1852" spans="2:7" ht="18.5" customHeight="1" thickBot="1">
      <c r="B1852" s="1723"/>
      <c r="C1852" s="1774"/>
      <c r="D1852" s="1774"/>
      <c r="E1852" s="1774"/>
      <c r="F1852" s="1774"/>
      <c r="G1852" s="1775"/>
    </row>
    <row r="1853" spans="2:7">
      <c r="B1853" s="1724" t="s">
        <v>890</v>
      </c>
      <c r="C1853" s="1726"/>
      <c r="D1853" s="1726"/>
      <c r="E1853" s="1733" t="s">
        <v>891</v>
      </c>
      <c r="F1853" s="1735"/>
      <c r="G1853" s="1736"/>
    </row>
    <row r="1854" spans="2:7">
      <c r="B1854" s="1727"/>
      <c r="C1854" s="1729"/>
      <c r="D1854" s="1729"/>
      <c r="E1854" s="1734"/>
      <c r="F1854" s="1737"/>
      <c r="G1854" s="1738"/>
    </row>
    <row r="1855" spans="2:7">
      <c r="B1855" s="1727"/>
      <c r="C1855" s="1729"/>
      <c r="D1855" s="1729"/>
      <c r="E1855" s="332" t="s">
        <v>892</v>
      </c>
      <c r="F1855" s="1739"/>
      <c r="G1855" s="1740"/>
    </row>
    <row r="1856" spans="2:7">
      <c r="B1856" s="1727"/>
      <c r="C1856" s="1729"/>
      <c r="D1856" s="1729"/>
      <c r="E1856" s="332" t="s">
        <v>893</v>
      </c>
      <c r="F1856" s="1739"/>
      <c r="G1856" s="1740"/>
    </row>
    <row r="1857" spans="2:7">
      <c r="B1857" s="1727"/>
      <c r="C1857" s="1729"/>
      <c r="D1857" s="1729"/>
      <c r="E1857" s="1734" t="s">
        <v>894</v>
      </c>
      <c r="F1857" s="1742"/>
      <c r="G1857" s="1743"/>
    </row>
    <row r="1858" spans="2:7" ht="15" thickBot="1">
      <c r="B1858" s="1730"/>
      <c r="C1858" s="1732"/>
      <c r="D1858" s="1732"/>
      <c r="E1858" s="1741"/>
      <c r="F1858" s="1744"/>
      <c r="G1858" s="1745"/>
    </row>
    <row r="1859" spans="2:7">
      <c r="B1859" s="1755" t="str">
        <f>+PRESUPUESTO!$A$2</f>
        <v>OBJETO: MEJORAMIENTO Y ADECUACIÓN DE LAS VIAS URBANAS DEL MUNICIPIO DE SANTA FE DE ANTIOQUIA</v>
      </c>
      <c r="C1859" s="1757"/>
      <c r="D1859" s="1757"/>
      <c r="E1859" s="1757"/>
      <c r="F1859" s="1757"/>
      <c r="G1859" s="1758"/>
    </row>
    <row r="1860" spans="2:7" ht="15" thickBot="1">
      <c r="B1860" s="1759"/>
      <c r="C1860" s="1761"/>
      <c r="D1860" s="1761"/>
      <c r="E1860" s="1761"/>
      <c r="F1860" s="1761"/>
      <c r="G1860" s="1762"/>
    </row>
    <row r="1861" spans="2:7" ht="15" thickBot="1">
      <c r="B1861" s="167" t="s">
        <v>1</v>
      </c>
      <c r="C1861" s="2059"/>
      <c r="D1861" s="1763"/>
      <c r="E1861" s="1763"/>
      <c r="F1861" s="2060"/>
      <c r="G1861" s="168" t="s">
        <v>193</v>
      </c>
    </row>
    <row r="1862" spans="2:7" ht="131" customHeight="1" thickBot="1">
      <c r="B1862" s="145" t="str">
        <f>+P!A75</f>
        <v>16.4</v>
      </c>
      <c r="C1862" s="2061" t="str">
        <f>+P!B75</f>
        <v>Construcción de PISO EN BALDOSA PISO DURO DE 30 x 30 cm., de primera calidad aprobada por la interventoría que cumpla la norma NTC 2849. Incluye concreto de pega y nivelación 1:3:2 de cemento, arena de concreto, agregado de 3/8" a 1/2" y aditivo plastificante en un espesor de 5 cm, suministro y transporte de la baldosa, varilla de dilatación en PVC de 5 mm x 37mm en cuadrículas de  2,10m x 2,10m., lechada del mismo color de la baldosa, destroncada, pulida, brillada y encerada en el sitio con cera polimérica,  protección de muros, puertas y desagües. Cargue, transporte y botada de material sobrante (cachaza) en botaderos oficiales. La interventoría entregará el diseño en tapetes o franjas combinando los colores (máximo dos colores). Los ensayos que se requieran serán por cuenta del contratista y las muestras se escogerán del material puesto en obra.</v>
      </c>
      <c r="D1862" s="1765"/>
      <c r="E1862" s="1765"/>
      <c r="F1862" s="2062"/>
      <c r="G1862" s="169" t="str">
        <f>+P!C75</f>
        <v>m2</v>
      </c>
    </row>
    <row r="1863" spans="2:7" ht="15" thickBot="1">
      <c r="B1863" s="216" t="s">
        <v>896</v>
      </c>
    </row>
    <row r="1864" spans="2:7">
      <c r="B1864" s="170" t="s">
        <v>897</v>
      </c>
      <c r="C1864" s="171" t="s">
        <v>319</v>
      </c>
      <c r="D1864" s="171" t="s">
        <v>320</v>
      </c>
      <c r="E1864" s="171" t="s">
        <v>898</v>
      </c>
      <c r="F1864" s="187" t="s">
        <v>899</v>
      </c>
      <c r="G1864" s="139"/>
    </row>
    <row r="1865" spans="2:7" ht="27.5" customHeight="1">
      <c r="B1865" s="217" t="s">
        <v>1265</v>
      </c>
      <c r="C1865" s="208" t="s">
        <v>34</v>
      </c>
      <c r="D1865" s="209">
        <v>1</v>
      </c>
      <c r="E1865" s="210">
        <f>+MATERIALES!D146</f>
        <v>141020</v>
      </c>
      <c r="F1865" s="213">
        <f t="shared" ref="F1865:F1870" si="11">+ROUND((D1865*E1865),0)</f>
        <v>141020</v>
      </c>
      <c r="G1865" s="147"/>
    </row>
    <row r="1866" spans="2:7" ht="29">
      <c r="B1866" s="217" t="s">
        <v>1266</v>
      </c>
      <c r="C1866" s="208" t="s">
        <v>14</v>
      </c>
      <c r="D1866" s="209">
        <v>5.2499999999999998E-2</v>
      </c>
      <c r="E1866" s="210">
        <f>+'CONCRETOS Y MORTERO'!G75</f>
        <v>591127</v>
      </c>
      <c r="F1866" s="213">
        <f t="shared" si="11"/>
        <v>31034</v>
      </c>
      <c r="G1866" s="147"/>
    </row>
    <row r="1867" spans="2:7">
      <c r="B1867" s="217" t="s">
        <v>1090</v>
      </c>
      <c r="C1867" s="208" t="s">
        <v>69</v>
      </c>
      <c r="D1867" s="209">
        <v>1</v>
      </c>
      <c r="E1867" s="210">
        <f>+MATERIALES!D147</f>
        <v>3825</v>
      </c>
      <c r="F1867" s="213">
        <f t="shared" si="11"/>
        <v>3825</v>
      </c>
      <c r="G1867" s="147"/>
    </row>
    <row r="1868" spans="2:7">
      <c r="B1868" s="217" t="s">
        <v>1091</v>
      </c>
      <c r="C1868" s="208" t="s">
        <v>10</v>
      </c>
      <c r="D1868" s="209">
        <v>1.08</v>
      </c>
      <c r="E1868" s="210">
        <f>+MATERIALES!D147</f>
        <v>3825</v>
      </c>
      <c r="F1868" s="213">
        <f t="shared" si="11"/>
        <v>4131</v>
      </c>
      <c r="G1868" s="147"/>
    </row>
    <row r="1869" spans="2:7">
      <c r="B1869" s="217" t="s">
        <v>1092</v>
      </c>
      <c r="C1869" s="208" t="s">
        <v>1093</v>
      </c>
      <c r="D1869" s="209">
        <v>4.1669999999999999E-2</v>
      </c>
      <c r="E1869" s="210">
        <f>+MATERIALES!D149</f>
        <v>79900</v>
      </c>
      <c r="F1869" s="213">
        <f t="shared" si="11"/>
        <v>3329</v>
      </c>
      <c r="G1869" s="147"/>
    </row>
    <row r="1870" spans="2:7" ht="29.5" thickBot="1">
      <c r="B1870" s="218" t="s">
        <v>1094</v>
      </c>
      <c r="C1870" s="202" t="s">
        <v>23</v>
      </c>
      <c r="D1870" s="203">
        <v>2.5200000000000001E-3</v>
      </c>
      <c r="E1870" s="204">
        <f>+MATERIALES!D150</f>
        <v>459900</v>
      </c>
      <c r="F1870" s="205">
        <f t="shared" si="11"/>
        <v>1159</v>
      </c>
      <c r="G1870" s="142"/>
    </row>
    <row r="1871" spans="2:7" ht="15" thickBot="1">
      <c r="B1871" s="212"/>
      <c r="C1871" s="259">
        <v>57.155471324273698</v>
      </c>
      <c r="D1871" s="190"/>
      <c r="F1871" s="212" t="s">
        <v>900</v>
      </c>
      <c r="G1871" s="149">
        <f>+SUM(F1865:F1870)</f>
        <v>184498</v>
      </c>
    </row>
    <row r="1872" spans="2:7" ht="15" thickBot="1">
      <c r="B1872" s="216" t="s">
        <v>901</v>
      </c>
    </row>
    <row r="1873" spans="2:7">
      <c r="B1873" s="170" t="s">
        <v>897</v>
      </c>
      <c r="C1873" s="171" t="s">
        <v>319</v>
      </c>
      <c r="D1873" s="171" t="s">
        <v>320</v>
      </c>
      <c r="E1873" s="171" t="s">
        <v>898</v>
      </c>
      <c r="F1873" s="172" t="s">
        <v>899</v>
      </c>
      <c r="G1873" s="139"/>
    </row>
    <row r="1874" spans="2:7" ht="15" thickBot="1">
      <c r="B1874" s="218" t="s">
        <v>1228</v>
      </c>
      <c r="C1874" s="202" t="s">
        <v>916</v>
      </c>
      <c r="D1874" s="203">
        <v>0.16666666666666666</v>
      </c>
      <c r="E1874" s="204">
        <f>+'FP OPERATIVO'!F36</f>
        <v>302186.41694755561</v>
      </c>
      <c r="F1874" s="206">
        <f>+ROUND((D1874*E1874),0)</f>
        <v>50364</v>
      </c>
      <c r="G1874" s="142"/>
    </row>
    <row r="1875" spans="2:7" ht="15" thickBot="1">
      <c r="B1875" s="212"/>
      <c r="C1875" s="259">
        <v>35.836581741433903</v>
      </c>
      <c r="D1875" s="190"/>
      <c r="F1875" s="212" t="s">
        <v>900</v>
      </c>
      <c r="G1875" s="149">
        <f>+SUM(F1874)</f>
        <v>50364</v>
      </c>
    </row>
    <row r="1876" spans="2:7" ht="15" thickBot="1">
      <c r="B1876" s="216" t="s">
        <v>917</v>
      </c>
    </row>
    <row r="1877" spans="2:7">
      <c r="B1877" s="170" t="s">
        <v>897</v>
      </c>
      <c r="C1877" s="171" t="s">
        <v>319</v>
      </c>
      <c r="D1877" s="171" t="s">
        <v>320</v>
      </c>
      <c r="E1877" s="171" t="s">
        <v>898</v>
      </c>
      <c r="F1877" s="172" t="s">
        <v>899</v>
      </c>
      <c r="G1877" s="139"/>
    </row>
    <row r="1878" spans="2:7" ht="15" thickBot="1">
      <c r="B1878" s="218" t="s">
        <v>905</v>
      </c>
      <c r="C1878" s="202" t="s">
        <v>906</v>
      </c>
      <c r="D1878" s="203">
        <v>0.05</v>
      </c>
      <c r="E1878" s="204">
        <f>+G1875</f>
        <v>50364</v>
      </c>
      <c r="F1878" s="206">
        <f>+ROUND((D1878*E1878),0)</f>
        <v>2518</v>
      </c>
      <c r="G1878" s="142"/>
    </row>
    <row r="1879" spans="2:7" ht="15" thickBot="1">
      <c r="B1879" s="212"/>
      <c r="C1879" s="259">
        <v>1.79182908707169</v>
      </c>
      <c r="D1879" s="190"/>
      <c r="F1879" s="212" t="s">
        <v>900</v>
      </c>
      <c r="G1879" s="149">
        <f>+SUM(F1878)</f>
        <v>2518</v>
      </c>
    </row>
    <row r="1880" spans="2:7" ht="15" thickBot="1">
      <c r="B1880" s="216" t="s">
        <v>1203</v>
      </c>
    </row>
    <row r="1881" spans="2:7">
      <c r="B1881" s="170" t="s">
        <v>897</v>
      </c>
      <c r="C1881" s="171" t="s">
        <v>319</v>
      </c>
      <c r="D1881" s="171" t="s">
        <v>320</v>
      </c>
      <c r="E1881" s="171" t="s">
        <v>898</v>
      </c>
      <c r="F1881" s="172" t="s">
        <v>899</v>
      </c>
      <c r="G1881" s="139"/>
    </row>
    <row r="1882" spans="2:7" ht="15" thickBot="1">
      <c r="B1882" s="218" t="s">
        <v>1150</v>
      </c>
      <c r="C1882" s="202" t="s">
        <v>198</v>
      </c>
      <c r="D1882" s="203">
        <v>5.6000000000000001E-2</v>
      </c>
      <c r="E1882" s="204">
        <f>+EQUIPOS!C54</f>
        <v>98105</v>
      </c>
      <c r="F1882" s="206">
        <f>+ROUND((D1882*E1882),0)</f>
        <v>5494</v>
      </c>
      <c r="G1882" s="142"/>
    </row>
    <row r="1883" spans="2:7" ht="15" thickBot="1">
      <c r="B1883" s="212"/>
      <c r="C1883" s="259">
        <v>2.1213361187086801</v>
      </c>
      <c r="D1883" s="190"/>
      <c r="F1883" s="212" t="s">
        <v>900</v>
      </c>
      <c r="G1883" s="149">
        <f>+SUM(F1882)</f>
        <v>5494</v>
      </c>
    </row>
    <row r="1884" spans="2:7" ht="15" thickBot="1">
      <c r="B1884" s="216" t="s">
        <v>1205</v>
      </c>
    </row>
    <row r="1885" spans="2:7">
      <c r="B1885" s="170" t="s">
        <v>897</v>
      </c>
      <c r="C1885" s="171" t="s">
        <v>319</v>
      </c>
      <c r="D1885" s="171" t="s">
        <v>320</v>
      </c>
      <c r="E1885" s="171" t="s">
        <v>898</v>
      </c>
      <c r="F1885" s="172" t="s">
        <v>899</v>
      </c>
      <c r="G1885" s="139"/>
    </row>
    <row r="1886" spans="2:7">
      <c r="B1886" s="217" t="s">
        <v>1196</v>
      </c>
      <c r="C1886" s="208" t="s">
        <v>14</v>
      </c>
      <c r="D1886" s="209">
        <v>0.187</v>
      </c>
      <c r="E1886" s="210">
        <v>8168</v>
      </c>
      <c r="F1886" s="211">
        <f>+ROUND((D1886*E1886),0)</f>
        <v>1527</v>
      </c>
      <c r="G1886" s="147"/>
    </row>
    <row r="1887" spans="2:7">
      <c r="B1887" s="320" t="s">
        <v>1218</v>
      </c>
      <c r="C1887" s="321" t="s">
        <v>23</v>
      </c>
      <c r="D1887" s="322">
        <v>1.2999999999999999E-3</v>
      </c>
      <c r="E1887" s="323">
        <f>+EQUIPOS!C53</f>
        <v>450000</v>
      </c>
      <c r="F1887" s="211">
        <f>+ROUND((D1887*E1887),0)</f>
        <v>585</v>
      </c>
      <c r="G1887" s="147"/>
    </row>
    <row r="1888" spans="2:7" ht="15" thickBot="1">
      <c r="B1888" s="218" t="s">
        <v>1187</v>
      </c>
      <c r="C1888" s="202" t="s">
        <v>23</v>
      </c>
      <c r="D1888" s="203">
        <v>1.2</v>
      </c>
      <c r="E1888" s="204">
        <v>1000</v>
      </c>
      <c r="F1888" s="206">
        <f>+ROUND((D1888*E1888),0)</f>
        <v>1200</v>
      </c>
      <c r="G1888" s="142"/>
    </row>
    <row r="1889" spans="2:7" ht="15" thickBot="1">
      <c r="B1889" s="212"/>
      <c r="C1889" s="259">
        <v>3.09478172851205</v>
      </c>
      <c r="D1889" s="190"/>
      <c r="F1889" s="212" t="s">
        <v>900</v>
      </c>
      <c r="G1889" s="149">
        <f>+SUM(F1886:F1888)</f>
        <v>3312</v>
      </c>
    </row>
    <row r="1890" spans="2:7" ht="15" thickBot="1"/>
    <row r="1891" spans="2:7" ht="15" thickBot="1">
      <c r="C1891" s="65"/>
      <c r="D1891" s="65"/>
      <c r="E1891" s="67" t="s">
        <v>908</v>
      </c>
      <c r="F1891" s="65"/>
      <c r="G1891" s="160">
        <f>+SUM(G1864:G1889)</f>
        <v>246186</v>
      </c>
    </row>
    <row r="1892" spans="2:7" ht="15" thickBot="1">
      <c r="B1892" s="155"/>
      <c r="C1892" s="155"/>
    </row>
    <row r="1893" spans="2:7" ht="15" thickBot="1">
      <c r="B1893" s="2063" t="s">
        <v>1267</v>
      </c>
      <c r="C1893" s="2064"/>
      <c r="D1893" s="2064"/>
      <c r="E1893" s="2064"/>
      <c r="F1893" s="2064"/>
      <c r="G1893" s="2065"/>
    </row>
    <row r="1894" spans="2:7" ht="18.5" customHeight="1">
      <c r="B1894" s="1721"/>
      <c r="C1894" s="1770" t="s">
        <v>1175</v>
      </c>
      <c r="D1894" s="1770"/>
      <c r="E1894" s="1770"/>
      <c r="F1894" s="1770"/>
      <c r="G1894" s="1771"/>
    </row>
    <row r="1895" spans="2:7" ht="18.5" customHeight="1">
      <c r="B1895" s="1722"/>
      <c r="C1895" s="1772"/>
      <c r="D1895" s="1772"/>
      <c r="E1895" s="1772"/>
      <c r="F1895" s="1772"/>
      <c r="G1895" s="1773"/>
    </row>
    <row r="1896" spans="2:7" ht="18.5" customHeight="1">
      <c r="B1896" s="1722"/>
      <c r="C1896" s="1772"/>
      <c r="D1896" s="1772"/>
      <c r="E1896" s="1772"/>
      <c r="F1896" s="1772"/>
      <c r="G1896" s="1773"/>
    </row>
    <row r="1897" spans="2:7" ht="18.5" customHeight="1">
      <c r="B1897" s="1722"/>
      <c r="C1897" s="1772"/>
      <c r="D1897" s="1772"/>
      <c r="E1897" s="1772"/>
      <c r="F1897" s="1772"/>
      <c r="G1897" s="1773"/>
    </row>
    <row r="1898" spans="2:7" ht="18.5" customHeight="1" thickBot="1">
      <c r="B1898" s="1723"/>
      <c r="C1898" s="1774"/>
      <c r="D1898" s="1774"/>
      <c r="E1898" s="1774"/>
      <c r="F1898" s="1774"/>
      <c r="G1898" s="1775"/>
    </row>
    <row r="1899" spans="2:7">
      <c r="B1899" s="1724" t="s">
        <v>890</v>
      </c>
      <c r="C1899" s="1726"/>
      <c r="D1899" s="1726"/>
      <c r="E1899" s="1733" t="s">
        <v>891</v>
      </c>
      <c r="F1899" s="1735"/>
      <c r="G1899" s="1736"/>
    </row>
    <row r="1900" spans="2:7">
      <c r="B1900" s="1727"/>
      <c r="C1900" s="1729"/>
      <c r="D1900" s="1729"/>
      <c r="E1900" s="1734"/>
      <c r="F1900" s="1737"/>
      <c r="G1900" s="1738"/>
    </row>
    <row r="1901" spans="2:7">
      <c r="B1901" s="1727"/>
      <c r="C1901" s="1729"/>
      <c r="D1901" s="1729"/>
      <c r="E1901" s="332" t="s">
        <v>892</v>
      </c>
      <c r="F1901" s="1739"/>
      <c r="G1901" s="1740"/>
    </row>
    <row r="1902" spans="2:7">
      <c r="B1902" s="1727"/>
      <c r="C1902" s="1729"/>
      <c r="D1902" s="1729"/>
      <c r="E1902" s="332" t="s">
        <v>893</v>
      </c>
      <c r="F1902" s="1739"/>
      <c r="G1902" s="1740"/>
    </row>
    <row r="1903" spans="2:7">
      <c r="B1903" s="1727"/>
      <c r="C1903" s="1729"/>
      <c r="D1903" s="1729"/>
      <c r="E1903" s="1734" t="s">
        <v>894</v>
      </c>
      <c r="F1903" s="1742"/>
      <c r="G1903" s="1743"/>
    </row>
    <row r="1904" spans="2:7" ht="15" thickBot="1">
      <c r="B1904" s="1730"/>
      <c r="C1904" s="1732"/>
      <c r="D1904" s="1732"/>
      <c r="E1904" s="1741"/>
      <c r="F1904" s="1744"/>
      <c r="G1904" s="1745"/>
    </row>
    <row r="1905" spans="2:7">
      <c r="B1905" s="1755" t="str">
        <f>+PRESUPUESTO!$A$2</f>
        <v>OBJETO: MEJORAMIENTO Y ADECUACIÓN DE LAS VIAS URBANAS DEL MUNICIPIO DE SANTA FE DE ANTIOQUIA</v>
      </c>
      <c r="C1905" s="1757"/>
      <c r="D1905" s="1757"/>
      <c r="E1905" s="1757"/>
      <c r="F1905" s="1757"/>
      <c r="G1905" s="1758"/>
    </row>
    <row r="1906" spans="2:7" ht="15" thickBot="1">
      <c r="B1906" s="1759"/>
      <c r="C1906" s="1761"/>
      <c r="D1906" s="1761"/>
      <c r="E1906" s="1761"/>
      <c r="F1906" s="1761"/>
      <c r="G1906" s="1762"/>
    </row>
    <row r="1907" spans="2:7" ht="15" thickBot="1">
      <c r="B1907" s="167" t="s">
        <v>1</v>
      </c>
      <c r="C1907" s="2059"/>
      <c r="D1907" s="1763"/>
      <c r="E1907" s="1763"/>
      <c r="F1907" s="2060"/>
      <c r="G1907" s="168" t="s">
        <v>193</v>
      </c>
    </row>
    <row r="1908" spans="2:7" ht="90.5" customHeight="1" thickBot="1">
      <c r="B1908" s="145" t="str">
        <f>+P!A78</f>
        <v>17.1.1</v>
      </c>
      <c r="C1908" s="2061" t="str">
        <f>+P!B78</f>
        <v>Construcción y montaje de estructura metálica, en perfilería tipo IPE, HEA, PHR-C, PTE para elementos de cubierta, rampas o áreas de circulación incluye  suministro, transporte e instalación de láminas, platinas, uniones, soldaduras de acabado o presentación, anclajes y pernos a estructura de concreto y madera, Todos los elementos deben llevar dos manos de pintura anticorrosiva, dos manos de esmalte base aceite mate, color por definir, ensayos a soldaduras,  obra falsa y todo el equipo y la herramienta necesaria para el montaje.</v>
      </c>
      <c r="D1908" s="1765"/>
      <c r="E1908" s="1765"/>
      <c r="F1908" s="2062"/>
      <c r="G1908" s="169" t="str">
        <f>+P!C78</f>
        <v>kg</v>
      </c>
    </row>
    <row r="1909" spans="2:7" ht="15" thickBot="1">
      <c r="B1909" s="230" t="s">
        <v>896</v>
      </c>
    </row>
    <row r="1910" spans="2:7">
      <c r="B1910" s="170" t="s">
        <v>897</v>
      </c>
      <c r="C1910" s="231" t="s">
        <v>319</v>
      </c>
      <c r="D1910" s="231" t="s">
        <v>320</v>
      </c>
      <c r="E1910" s="231" t="s">
        <v>898</v>
      </c>
      <c r="F1910" s="232" t="s">
        <v>899</v>
      </c>
      <c r="G1910" s="143"/>
    </row>
    <row r="1911" spans="2:7" ht="29">
      <c r="B1911" s="233" t="s">
        <v>1052</v>
      </c>
      <c r="C1911" s="7" t="s">
        <v>69</v>
      </c>
      <c r="D1911" s="7">
        <v>1.05</v>
      </c>
      <c r="E1911" s="164">
        <v>7800</v>
      </c>
      <c r="F1911" s="234">
        <f>+ROUND((D1911*E1911),0)</f>
        <v>8190</v>
      </c>
      <c r="G1911" s="162"/>
    </row>
    <row r="1912" spans="2:7">
      <c r="B1912" s="233" t="s">
        <v>1268</v>
      </c>
      <c r="C1912" s="235" t="s">
        <v>298</v>
      </c>
      <c r="D1912" s="236">
        <v>0.17</v>
      </c>
      <c r="E1912" s="164">
        <v>8500</v>
      </c>
      <c r="F1912" s="234">
        <f>+ROUND((D1912*E1912),0)</f>
        <v>1445</v>
      </c>
      <c r="G1912" s="162"/>
    </row>
    <row r="1913" spans="2:7">
      <c r="B1913" s="233" t="s">
        <v>1053</v>
      </c>
      <c r="C1913" s="235" t="s">
        <v>953</v>
      </c>
      <c r="D1913" s="236">
        <v>8.9999999999999993E-3</v>
      </c>
      <c r="E1913" s="164">
        <f>+MATERIALES!D110</f>
        <v>76900</v>
      </c>
      <c r="F1913" s="234">
        <f t="shared" ref="F1913:F1916" si="12">+ROUND((D1913*E1913),0)</f>
        <v>692</v>
      </c>
      <c r="G1913" s="162"/>
    </row>
    <row r="1914" spans="2:7">
      <c r="B1914" s="233" t="s">
        <v>1269</v>
      </c>
      <c r="C1914" s="235" t="s">
        <v>953</v>
      </c>
      <c r="D1914" s="236">
        <v>8.9999999999999993E-3</v>
      </c>
      <c r="E1914" s="164">
        <f>+MATERIALES!D51</f>
        <v>112000</v>
      </c>
      <c r="F1914" s="234">
        <f t="shared" si="12"/>
        <v>1008</v>
      </c>
      <c r="G1914" s="162"/>
    </row>
    <row r="1915" spans="2:7">
      <c r="B1915" s="233" t="s">
        <v>1270</v>
      </c>
      <c r="C1915" s="235" t="s">
        <v>953</v>
      </c>
      <c r="D1915" s="236">
        <v>8.9999999999999998E-4</v>
      </c>
      <c r="E1915" s="164">
        <f>+MATERIALES!D52</f>
        <v>52100</v>
      </c>
      <c r="F1915" s="234">
        <f t="shared" si="12"/>
        <v>47</v>
      </c>
      <c r="G1915" s="162"/>
    </row>
    <row r="1916" spans="2:7" ht="15" thickBot="1">
      <c r="B1916" s="237" t="s">
        <v>1054</v>
      </c>
      <c r="C1916" s="238" t="s">
        <v>69</v>
      </c>
      <c r="D1916" s="239">
        <v>0.04</v>
      </c>
      <c r="E1916" s="166">
        <f>+MATERIALES!D111</f>
        <v>27900</v>
      </c>
      <c r="F1916" s="240">
        <f t="shared" si="12"/>
        <v>1116</v>
      </c>
      <c r="G1916" s="144"/>
    </row>
    <row r="1917" spans="2:7" ht="15" thickBot="1">
      <c r="B1917" s="241"/>
      <c r="C1917" s="242">
        <f>+G1917/$G$1939</f>
        <v>0.44968157449717555</v>
      </c>
      <c r="D1917" s="243"/>
      <c r="F1917" s="241" t="s">
        <v>900</v>
      </c>
      <c r="G1917" s="149">
        <f>+SUM(F1911:F1916)</f>
        <v>12498</v>
      </c>
    </row>
    <row r="1918" spans="2:7" ht="15" thickBot="1">
      <c r="B1918" s="230" t="s">
        <v>901</v>
      </c>
    </row>
    <row r="1919" spans="2:7">
      <c r="B1919" s="170" t="s">
        <v>897</v>
      </c>
      <c r="C1919" s="231" t="s">
        <v>319</v>
      </c>
      <c r="D1919" s="231" t="s">
        <v>320</v>
      </c>
      <c r="E1919" s="231" t="s">
        <v>898</v>
      </c>
      <c r="F1919" s="232" t="s">
        <v>899</v>
      </c>
      <c r="G1919" s="139"/>
    </row>
    <row r="1920" spans="2:7" ht="15" thickBot="1">
      <c r="B1920" s="165" t="s">
        <v>1271</v>
      </c>
      <c r="C1920" s="238" t="s">
        <v>916</v>
      </c>
      <c r="D1920" s="244">
        <v>2.8115994545922902E-2</v>
      </c>
      <c r="E1920" s="166">
        <f>+'FP OPERATIVO'!F38</f>
        <v>406890.49765866675</v>
      </c>
      <c r="F1920" s="240">
        <f>+ROUND((D1920*E1920),0)</f>
        <v>11440</v>
      </c>
      <c r="G1920" s="142"/>
    </row>
    <row r="1921" spans="2:7" ht="15" thickBot="1">
      <c r="B1921" s="241"/>
      <c r="C1921" s="242">
        <f>+G1921/$G$1939</f>
        <v>0.4116144352894614</v>
      </c>
      <c r="D1921" s="243"/>
      <c r="E1921" s="241"/>
      <c r="F1921" s="241" t="s">
        <v>900</v>
      </c>
      <c r="G1921" s="149">
        <f>+SUM(F1920)</f>
        <v>11440</v>
      </c>
    </row>
    <row r="1922" spans="2:7" ht="15" thickBot="1">
      <c r="B1922" s="230" t="s">
        <v>917</v>
      </c>
    </row>
    <row r="1923" spans="2:7">
      <c r="B1923" s="170" t="s">
        <v>897</v>
      </c>
      <c r="C1923" s="231" t="s">
        <v>319</v>
      </c>
      <c r="D1923" s="231" t="s">
        <v>320</v>
      </c>
      <c r="E1923" s="231" t="s">
        <v>898</v>
      </c>
      <c r="F1923" s="232" t="s">
        <v>899</v>
      </c>
      <c r="G1923" s="139"/>
    </row>
    <row r="1924" spans="2:7" ht="15" thickBot="1">
      <c r="B1924" s="165" t="s">
        <v>905</v>
      </c>
      <c r="C1924" s="238" t="s">
        <v>906</v>
      </c>
      <c r="D1924" s="244">
        <v>0.05</v>
      </c>
      <c r="E1924" s="166">
        <f>+G1921</f>
        <v>11440</v>
      </c>
      <c r="F1924" s="240">
        <f>+ROUND((D1924*E1924),0)</f>
        <v>572</v>
      </c>
      <c r="G1924" s="142"/>
    </row>
    <row r="1925" spans="2:7" ht="15" thickBot="1">
      <c r="B1925" s="241"/>
      <c r="C1925" s="242">
        <f>+G1925/$G$1939</f>
        <v>2.0580721764473068E-2</v>
      </c>
      <c r="D1925" s="243"/>
      <c r="E1925" s="241"/>
      <c r="F1925" s="241" t="s">
        <v>900</v>
      </c>
      <c r="G1925" s="149">
        <f>+SUM(F1924)</f>
        <v>572</v>
      </c>
    </row>
    <row r="1926" spans="2:7" ht="15" thickBot="1">
      <c r="B1926" s="230" t="s">
        <v>1203</v>
      </c>
    </row>
    <row r="1927" spans="2:7">
      <c r="B1927" s="170" t="s">
        <v>897</v>
      </c>
      <c r="C1927" s="231" t="s">
        <v>319</v>
      </c>
      <c r="D1927" s="231" t="s">
        <v>320</v>
      </c>
      <c r="E1927" s="231" t="s">
        <v>898</v>
      </c>
      <c r="F1927" s="245" t="s">
        <v>899</v>
      </c>
      <c r="G1927" s="139"/>
    </row>
    <row r="1928" spans="2:7">
      <c r="B1928" s="163" t="s">
        <v>1139</v>
      </c>
      <c r="C1928" s="246" t="s">
        <v>198</v>
      </c>
      <c r="D1928" s="247">
        <v>7.0000000000000001E-3</v>
      </c>
      <c r="E1928" s="164">
        <f>+EQUIPOS!C43</f>
        <v>78000</v>
      </c>
      <c r="F1928" s="248">
        <f>+ROUND((D1928*E1928),0)</f>
        <v>546</v>
      </c>
      <c r="G1928" s="147"/>
    </row>
    <row r="1929" spans="2:7" ht="29">
      <c r="B1929" s="163" t="s">
        <v>1272</v>
      </c>
      <c r="C1929" s="246" t="s">
        <v>198</v>
      </c>
      <c r="D1929" s="247">
        <v>0.05</v>
      </c>
      <c r="E1929" s="164">
        <f>+EQUIPOS!C35</f>
        <v>5500</v>
      </c>
      <c r="F1929" s="248">
        <f t="shared" ref="F1929:F1931" si="13">+ROUND((D1929*E1929),0)</f>
        <v>275</v>
      </c>
      <c r="G1929" s="147"/>
    </row>
    <row r="1930" spans="2:7" ht="29">
      <c r="B1930" s="163" t="s">
        <v>1273</v>
      </c>
      <c r="C1930" s="246" t="s">
        <v>198</v>
      </c>
      <c r="D1930" s="247">
        <v>0.03</v>
      </c>
      <c r="E1930" s="164">
        <f>+EQUIPOS!C36</f>
        <v>600</v>
      </c>
      <c r="F1930" s="248">
        <f t="shared" si="13"/>
        <v>18</v>
      </c>
      <c r="G1930" s="147"/>
    </row>
    <row r="1931" spans="2:7" ht="15" thickBot="1">
      <c r="B1931" s="165" t="s">
        <v>1140</v>
      </c>
      <c r="C1931" s="238" t="s">
        <v>198</v>
      </c>
      <c r="D1931" s="244">
        <v>7.0000000000000001E-3</v>
      </c>
      <c r="E1931" s="166">
        <f>+EQUIPOS!C44</f>
        <v>78000</v>
      </c>
      <c r="F1931" s="249">
        <f t="shared" si="13"/>
        <v>546</v>
      </c>
      <c r="G1931" s="142"/>
    </row>
    <row r="1932" spans="2:7" ht="15" thickBot="1">
      <c r="B1932" s="241"/>
      <c r="C1932" s="242">
        <f>+G1932/$G$1939</f>
        <v>4.9832691684956645E-2</v>
      </c>
      <c r="D1932" s="243"/>
      <c r="E1932" s="241"/>
      <c r="F1932" s="241" t="s">
        <v>900</v>
      </c>
      <c r="G1932" s="149">
        <f>+SUM(F1928:F1931)</f>
        <v>1385</v>
      </c>
    </row>
    <row r="1933" spans="2:7" ht="15" thickBot="1">
      <c r="B1933" s="230" t="s">
        <v>1205</v>
      </c>
    </row>
    <row r="1934" spans="2:7">
      <c r="B1934" s="170" t="s">
        <v>897</v>
      </c>
      <c r="C1934" s="231" t="s">
        <v>319</v>
      </c>
      <c r="D1934" s="231" t="s">
        <v>320</v>
      </c>
      <c r="E1934" s="231" t="s">
        <v>898</v>
      </c>
      <c r="F1934" s="245" t="s">
        <v>899</v>
      </c>
      <c r="G1934" s="139"/>
    </row>
    <row r="1935" spans="2:7">
      <c r="B1935" s="163" t="s">
        <v>1274</v>
      </c>
      <c r="C1935" s="246" t="s">
        <v>198</v>
      </c>
      <c r="D1935" s="247">
        <v>2.4399999999999999E-3</v>
      </c>
      <c r="E1935" s="164">
        <f>+EQUIPOS!C53</f>
        <v>450000</v>
      </c>
      <c r="F1935" s="248">
        <f>+ROUND((D1935*E1935),0)</f>
        <v>1098</v>
      </c>
      <c r="G1935" s="147"/>
    </row>
    <row r="1936" spans="2:7" ht="15" thickBot="1">
      <c r="B1936" s="250" t="s">
        <v>1275</v>
      </c>
      <c r="C1936" s="251" t="s">
        <v>69</v>
      </c>
      <c r="D1936" s="252">
        <v>1</v>
      </c>
      <c r="E1936" s="166">
        <v>800</v>
      </c>
      <c r="F1936" s="249">
        <f>+ROUND((D1936*E1936),0)</f>
        <v>800</v>
      </c>
      <c r="G1936" s="142"/>
    </row>
    <row r="1937" spans="2:11" ht="15" thickBot="1">
      <c r="B1937" s="241"/>
      <c r="C1937" s="242">
        <f>+G1937/$G$1939</f>
        <v>6.8290576763933367E-2</v>
      </c>
      <c r="D1937" s="243"/>
      <c r="E1937" s="241"/>
      <c r="F1937" s="241" t="s">
        <v>900</v>
      </c>
      <c r="G1937" s="149">
        <f>+SUM(F1935:F1936)</f>
        <v>1898</v>
      </c>
    </row>
    <row r="1938" spans="2:11" ht="15" thickBot="1"/>
    <row r="1939" spans="2:11" ht="15" thickBot="1">
      <c r="C1939" s="65"/>
      <c r="D1939" s="65"/>
      <c r="E1939" s="67" t="s">
        <v>908</v>
      </c>
      <c r="F1939" s="65"/>
      <c r="G1939" s="160">
        <f>+SUM(G1910:G1937)</f>
        <v>27793</v>
      </c>
      <c r="I1939" s="5"/>
      <c r="K1939" s="5"/>
    </row>
    <row r="1940" spans="2:11" ht="15" thickBot="1"/>
    <row r="1941" spans="2:11" ht="20" customHeight="1">
      <c r="B1941" s="1721"/>
      <c r="C1941" s="1770" t="s">
        <v>1175</v>
      </c>
      <c r="D1941" s="1770"/>
      <c r="E1941" s="1770"/>
      <c r="F1941" s="1770"/>
      <c r="G1941" s="1771"/>
    </row>
    <row r="1942" spans="2:11" ht="20" customHeight="1">
      <c r="B1942" s="1722"/>
      <c r="C1942" s="1772"/>
      <c r="D1942" s="1772"/>
      <c r="E1942" s="1772"/>
      <c r="F1942" s="1772"/>
      <c r="G1942" s="1773"/>
    </row>
    <row r="1943" spans="2:11" ht="20" customHeight="1">
      <c r="B1943" s="1722"/>
      <c r="C1943" s="1772"/>
      <c r="D1943" s="1772"/>
      <c r="E1943" s="1772"/>
      <c r="F1943" s="1772"/>
      <c r="G1943" s="1773"/>
    </row>
    <row r="1944" spans="2:11" ht="20" customHeight="1">
      <c r="B1944" s="1722"/>
      <c r="C1944" s="1772"/>
      <c r="D1944" s="1772"/>
      <c r="E1944" s="1772"/>
      <c r="F1944" s="1772"/>
      <c r="G1944" s="1773"/>
    </row>
    <row r="1945" spans="2:11" ht="20" customHeight="1" thickBot="1">
      <c r="B1945" s="1723"/>
      <c r="C1945" s="1774"/>
      <c r="D1945" s="1774"/>
      <c r="E1945" s="1774"/>
      <c r="F1945" s="1774"/>
      <c r="G1945" s="1775"/>
    </row>
    <row r="1946" spans="2:11">
      <c r="B1946" s="1724" t="s">
        <v>890</v>
      </c>
      <c r="C1946" s="1726"/>
      <c r="D1946" s="1726"/>
      <c r="E1946" s="1733" t="s">
        <v>891</v>
      </c>
      <c r="F1946" s="1735"/>
      <c r="G1946" s="1736"/>
    </row>
    <row r="1947" spans="2:11">
      <c r="B1947" s="1727"/>
      <c r="C1947" s="1729"/>
      <c r="D1947" s="1729"/>
      <c r="E1947" s="1734"/>
      <c r="F1947" s="1737"/>
      <c r="G1947" s="1738"/>
    </row>
    <row r="1948" spans="2:11">
      <c r="B1948" s="1727"/>
      <c r="C1948" s="1729"/>
      <c r="D1948" s="1729"/>
      <c r="E1948" s="332" t="s">
        <v>892</v>
      </c>
      <c r="F1948" s="1739"/>
      <c r="G1948" s="1740"/>
    </row>
    <row r="1949" spans="2:11">
      <c r="B1949" s="1727"/>
      <c r="C1949" s="1729"/>
      <c r="D1949" s="1729"/>
      <c r="E1949" s="332" t="s">
        <v>893</v>
      </c>
      <c r="F1949" s="1739"/>
      <c r="G1949" s="1740"/>
    </row>
    <row r="1950" spans="2:11">
      <c r="B1950" s="1727"/>
      <c r="C1950" s="1729"/>
      <c r="D1950" s="1729"/>
      <c r="E1950" s="1734" t="s">
        <v>894</v>
      </c>
      <c r="F1950" s="1742"/>
      <c r="G1950" s="1743"/>
    </row>
    <row r="1951" spans="2:11" ht="15" thickBot="1">
      <c r="B1951" s="1730"/>
      <c r="C1951" s="1732"/>
      <c r="D1951" s="1732"/>
      <c r="E1951" s="1741"/>
      <c r="F1951" s="1744"/>
      <c r="G1951" s="1745"/>
    </row>
    <row r="1952" spans="2:11">
      <c r="B1952" s="1755" t="str">
        <f>+PRESUPUESTO!$A$2</f>
        <v>OBJETO: MEJORAMIENTO Y ADECUACIÓN DE LAS VIAS URBANAS DEL MUNICIPIO DE SANTA FE DE ANTIOQUIA</v>
      </c>
      <c r="C1952" s="1757"/>
      <c r="D1952" s="1757"/>
      <c r="E1952" s="1757"/>
      <c r="F1952" s="1757"/>
      <c r="G1952" s="1758"/>
    </row>
    <row r="1953" spans="2:7" ht="15" thickBot="1">
      <c r="B1953" s="1759"/>
      <c r="C1953" s="1761"/>
      <c r="D1953" s="1761"/>
      <c r="E1953" s="1761"/>
      <c r="F1953" s="1761"/>
      <c r="G1953" s="1762"/>
    </row>
    <row r="1954" spans="2:7" ht="15" thickBot="1">
      <c r="B1954" s="167" t="s">
        <v>1</v>
      </c>
      <c r="C1954" s="2059"/>
      <c r="D1954" s="1763"/>
      <c r="E1954" s="1763"/>
      <c r="F1954" s="2060"/>
      <c r="G1954" s="168" t="s">
        <v>193</v>
      </c>
    </row>
    <row r="1955" spans="2:7" ht="38.5" customHeight="1" thickBot="1">
      <c r="B1955" s="145" t="str">
        <f>+P!A80</f>
        <v>17.2.1</v>
      </c>
      <c r="C1955" s="2061" t="str">
        <f>+P!B80</f>
        <v>Suministro, transporte e instalación de TEJA TERMOACUSTICA, Incluye amarres y demás elementos necesarios par su correcta instalación y funcionamiento.</v>
      </c>
      <c r="D1955" s="1765"/>
      <c r="E1955" s="1765"/>
      <c r="F1955" s="2062"/>
      <c r="G1955" s="169" t="str">
        <f>+P!C80</f>
        <v>m2</v>
      </c>
    </row>
    <row r="1956" spans="2:7" ht="15" thickBot="1">
      <c r="B1956" s="230" t="s">
        <v>896</v>
      </c>
    </row>
    <row r="1957" spans="2:7">
      <c r="B1957" s="170" t="s">
        <v>897</v>
      </c>
      <c r="C1957" s="231" t="s">
        <v>319</v>
      </c>
      <c r="D1957" s="231" t="s">
        <v>320</v>
      </c>
      <c r="E1957" s="231" t="s">
        <v>898</v>
      </c>
      <c r="F1957" s="232" t="s">
        <v>899</v>
      </c>
      <c r="G1957" s="143"/>
    </row>
    <row r="1958" spans="2:7">
      <c r="B1958" s="233" t="s">
        <v>1056</v>
      </c>
      <c r="C1958" s="7" t="s">
        <v>34</v>
      </c>
      <c r="D1958" s="7">
        <v>1.0961000000000001</v>
      </c>
      <c r="E1958" s="164">
        <f>+MATERIALES!D112</f>
        <v>75500</v>
      </c>
      <c r="F1958" s="234">
        <f>+ROUND((D1958*E1958),0)</f>
        <v>82756</v>
      </c>
      <c r="G1958" s="162"/>
    </row>
    <row r="1959" spans="2:7">
      <c r="B1959" s="233" t="s">
        <v>1057</v>
      </c>
      <c r="C1959" s="235" t="s">
        <v>298</v>
      </c>
      <c r="D1959" s="236">
        <v>4</v>
      </c>
      <c r="E1959" s="164">
        <f>+MATERIALES!D113</f>
        <v>890</v>
      </c>
      <c r="F1959" s="234">
        <f>+ROUND((D1959*E1959),0)</f>
        <v>3560</v>
      </c>
      <c r="G1959" s="162"/>
    </row>
    <row r="1960" spans="2:7" ht="15" thickBot="1">
      <c r="B1960" s="241"/>
      <c r="C1960" s="242">
        <f>+G1960/$G$1939</f>
        <v>3.105674090598352</v>
      </c>
      <c r="D1960" s="243"/>
      <c r="F1960" s="241" t="s">
        <v>900</v>
      </c>
      <c r="G1960" s="149">
        <f>+SUM(F1958:F1959)</f>
        <v>86316</v>
      </c>
    </row>
    <row r="1961" spans="2:7" ht="15" thickBot="1">
      <c r="B1961" s="230" t="s">
        <v>901</v>
      </c>
    </row>
    <row r="1962" spans="2:7">
      <c r="B1962" s="170" t="s">
        <v>897</v>
      </c>
      <c r="C1962" s="231" t="s">
        <v>319</v>
      </c>
      <c r="D1962" s="231" t="s">
        <v>320</v>
      </c>
      <c r="E1962" s="231" t="s">
        <v>898</v>
      </c>
      <c r="F1962" s="232" t="s">
        <v>899</v>
      </c>
      <c r="G1962" s="139"/>
    </row>
    <row r="1963" spans="2:7" ht="15" thickBot="1">
      <c r="B1963" s="165" t="s">
        <v>1276</v>
      </c>
      <c r="C1963" s="238" t="s">
        <v>916</v>
      </c>
      <c r="D1963" s="244">
        <v>0.16666666666666666</v>
      </c>
      <c r="E1963" s="166">
        <f>+'FP OPERATIVO'!F38</f>
        <v>406890.49765866675</v>
      </c>
      <c r="F1963" s="240">
        <f>+ROUND((D1963*E1963),0)</f>
        <v>67815</v>
      </c>
      <c r="G1963" s="142"/>
    </row>
    <row r="1964" spans="2:7" ht="15" thickBot="1">
      <c r="B1964" s="241"/>
      <c r="C1964" s="242">
        <f>+G1964/$G$1939</f>
        <v>2.4400028784226242</v>
      </c>
      <c r="D1964" s="243"/>
      <c r="E1964" s="241"/>
      <c r="F1964" s="241" t="s">
        <v>900</v>
      </c>
      <c r="G1964" s="149">
        <f>+SUM(F1963)</f>
        <v>67815</v>
      </c>
    </row>
    <row r="1965" spans="2:7" ht="15" thickBot="1">
      <c r="B1965" s="230" t="s">
        <v>917</v>
      </c>
    </row>
    <row r="1966" spans="2:7">
      <c r="B1966" s="170" t="s">
        <v>897</v>
      </c>
      <c r="C1966" s="231" t="s">
        <v>319</v>
      </c>
      <c r="D1966" s="231" t="s">
        <v>320</v>
      </c>
      <c r="E1966" s="231" t="s">
        <v>898</v>
      </c>
      <c r="F1966" s="232" t="s">
        <v>899</v>
      </c>
      <c r="G1966" s="139"/>
    </row>
    <row r="1967" spans="2:7" ht="15" thickBot="1">
      <c r="B1967" s="165" t="s">
        <v>905</v>
      </c>
      <c r="C1967" s="238" t="s">
        <v>906</v>
      </c>
      <c r="D1967" s="244">
        <v>0.05</v>
      </c>
      <c r="E1967" s="166">
        <f>+G1964</f>
        <v>67815</v>
      </c>
      <c r="F1967" s="240">
        <f>+ROUND((D1967*E1967),0)</f>
        <v>3391</v>
      </c>
      <c r="G1967" s="142"/>
    </row>
    <row r="1968" spans="2:7" ht="15" thickBot="1">
      <c r="B1968" s="241"/>
      <c r="C1968" s="242">
        <f>+G1968/$G$1939</f>
        <v>0.12200913899183248</v>
      </c>
      <c r="D1968" s="243"/>
      <c r="E1968" s="241"/>
      <c r="F1968" s="241" t="s">
        <v>900</v>
      </c>
      <c r="G1968" s="149">
        <f>+SUM(F1967)</f>
        <v>3391</v>
      </c>
    </row>
    <row r="1969" spans="2:7" ht="15" thickBot="1">
      <c r="B1969" s="230" t="s">
        <v>1203</v>
      </c>
    </row>
    <row r="1970" spans="2:7">
      <c r="B1970" s="170" t="s">
        <v>897</v>
      </c>
      <c r="C1970" s="231" t="s">
        <v>319</v>
      </c>
      <c r="D1970" s="231" t="s">
        <v>320</v>
      </c>
      <c r="E1970" s="231" t="s">
        <v>898</v>
      </c>
      <c r="F1970" s="232" t="s">
        <v>899</v>
      </c>
      <c r="G1970" s="139"/>
    </row>
    <row r="1971" spans="2:7">
      <c r="B1971" s="163" t="s">
        <v>1277</v>
      </c>
      <c r="C1971" s="246" t="s">
        <v>198</v>
      </c>
      <c r="D1971" s="247">
        <v>0.1</v>
      </c>
      <c r="E1971" s="164">
        <f>+EQUIPOS!C35</f>
        <v>5500</v>
      </c>
      <c r="F1971" s="234">
        <f>+ROUND((D1971*E1971),0)</f>
        <v>550</v>
      </c>
      <c r="G1971" s="147"/>
    </row>
    <row r="1972" spans="2:7" ht="29.5" thickBot="1">
      <c r="B1972" s="165" t="s">
        <v>1273</v>
      </c>
      <c r="C1972" s="238" t="s">
        <v>198</v>
      </c>
      <c r="D1972" s="244">
        <v>0.1</v>
      </c>
      <c r="E1972" s="166">
        <f>+EQUIPOS!C36</f>
        <v>600</v>
      </c>
      <c r="F1972" s="240">
        <f t="shared" ref="F1972" si="14">+ROUND((D1972*E1972),0)</f>
        <v>60</v>
      </c>
      <c r="G1972" s="147"/>
    </row>
    <row r="1973" spans="2:7" ht="15" thickBot="1">
      <c r="B1973" s="241"/>
      <c r="C1973" s="242">
        <f>+G1973/$G$1939</f>
        <v>2.1947972511063937E-2</v>
      </c>
      <c r="D1973" s="243"/>
      <c r="E1973" s="241"/>
      <c r="F1973" s="241" t="s">
        <v>900</v>
      </c>
      <c r="G1973" s="149">
        <f>+SUM(F1971:F1972)</f>
        <v>610</v>
      </c>
    </row>
    <row r="1974" spans="2:7" ht="15" thickBot="1">
      <c r="B1974" s="230" t="s">
        <v>1205</v>
      </c>
    </row>
    <row r="1975" spans="2:7">
      <c r="B1975" s="170" t="s">
        <v>897</v>
      </c>
      <c r="C1975" s="231" t="s">
        <v>319</v>
      </c>
      <c r="D1975" s="231" t="s">
        <v>320</v>
      </c>
      <c r="E1975" s="231" t="s">
        <v>898</v>
      </c>
      <c r="F1975" s="245" t="s">
        <v>899</v>
      </c>
      <c r="G1975" s="139"/>
    </row>
    <row r="1976" spans="2:7">
      <c r="B1976" s="163" t="s">
        <v>1274</v>
      </c>
      <c r="C1976" s="246" t="s">
        <v>198</v>
      </c>
      <c r="D1976" s="247">
        <v>6.4999999999999997E-3</v>
      </c>
      <c r="E1976" s="164">
        <f>+EQUIPOS!C53</f>
        <v>450000</v>
      </c>
      <c r="F1976" s="248">
        <f>+ROUND((D1976*E1976),0)</f>
        <v>2925</v>
      </c>
      <c r="G1976" s="147"/>
    </row>
    <row r="1977" spans="2:7" ht="15" thickBot="1">
      <c r="B1977" s="250" t="s">
        <v>1275</v>
      </c>
      <c r="C1977" s="251" t="s">
        <v>69</v>
      </c>
      <c r="D1977" s="252">
        <v>1</v>
      </c>
      <c r="E1977" s="166">
        <v>800</v>
      </c>
      <c r="F1977" s="249">
        <f>+ROUND((D1977*E1977),0)</f>
        <v>800</v>
      </c>
      <c r="G1977" s="142"/>
    </row>
    <row r="1978" spans="2:7" ht="15" thickBot="1">
      <c r="B1978" s="241"/>
      <c r="C1978" s="242">
        <f>+G1978/$G$1939</f>
        <v>0.13402655344871012</v>
      </c>
      <c r="D1978" s="243"/>
      <c r="E1978" s="241"/>
      <c r="F1978" s="241" t="s">
        <v>900</v>
      </c>
      <c r="G1978" s="149">
        <f>+SUM(F1976:F1977)</f>
        <v>3725</v>
      </c>
    </row>
    <row r="1979" spans="2:7" ht="15" thickBot="1"/>
    <row r="1980" spans="2:7" ht="15" thickBot="1">
      <c r="C1980" s="65"/>
      <c r="D1980" s="65"/>
      <c r="E1980" s="67" t="s">
        <v>908</v>
      </c>
      <c r="F1980" s="65"/>
      <c r="G1980" s="160">
        <f>+SUM(G1957:G1978)</f>
        <v>161857</v>
      </c>
    </row>
    <row r="1981" spans="2:7" ht="15" thickBot="1">
      <c r="B1981" s="340"/>
      <c r="C1981" s="201"/>
      <c r="D1981" s="253"/>
      <c r="E1981" s="253"/>
      <c r="F1981" s="253"/>
      <c r="G1981" s="196"/>
    </row>
    <row r="1982" spans="2:7" ht="18.5" customHeight="1">
      <c r="B1982" s="1721"/>
      <c r="C1982" s="1770" t="s">
        <v>1175</v>
      </c>
      <c r="D1982" s="1770"/>
      <c r="E1982" s="1770"/>
      <c r="F1982" s="1770"/>
      <c r="G1982" s="1771"/>
    </row>
    <row r="1983" spans="2:7" ht="18.5" customHeight="1">
      <c r="B1983" s="1722"/>
      <c r="C1983" s="1772"/>
      <c r="D1983" s="1772"/>
      <c r="E1983" s="1772"/>
      <c r="F1983" s="1772"/>
      <c r="G1983" s="1773"/>
    </row>
    <row r="1984" spans="2:7" ht="18.5" customHeight="1">
      <c r="B1984" s="1722"/>
      <c r="C1984" s="1772"/>
      <c r="D1984" s="1772"/>
      <c r="E1984" s="1772"/>
      <c r="F1984" s="1772"/>
      <c r="G1984" s="1773"/>
    </row>
    <row r="1985" spans="2:7" ht="18.5" customHeight="1">
      <c r="B1985" s="1722"/>
      <c r="C1985" s="1772"/>
      <c r="D1985" s="1772"/>
      <c r="E1985" s="1772"/>
      <c r="F1985" s="1772"/>
      <c r="G1985" s="1773"/>
    </row>
    <row r="1986" spans="2:7" ht="18.5" customHeight="1" thickBot="1">
      <c r="B1986" s="1723"/>
      <c r="C1986" s="1774"/>
      <c r="D1986" s="1774"/>
      <c r="E1986" s="1774"/>
      <c r="F1986" s="1774"/>
      <c r="G1986" s="1775"/>
    </row>
    <row r="1987" spans="2:7">
      <c r="B1987" s="1724" t="s">
        <v>890</v>
      </c>
      <c r="C1987" s="1726"/>
      <c r="D1987" s="1726"/>
      <c r="E1987" s="1733" t="s">
        <v>891</v>
      </c>
      <c r="F1987" s="1735"/>
      <c r="G1987" s="1736"/>
    </row>
    <row r="1988" spans="2:7">
      <c r="B1988" s="1727"/>
      <c r="C1988" s="1729"/>
      <c r="D1988" s="1729"/>
      <c r="E1988" s="1734"/>
      <c r="F1988" s="1737"/>
      <c r="G1988" s="1738"/>
    </row>
    <row r="1989" spans="2:7">
      <c r="B1989" s="1727"/>
      <c r="C1989" s="1729"/>
      <c r="D1989" s="1729"/>
      <c r="E1989" s="332" t="s">
        <v>892</v>
      </c>
      <c r="F1989" s="1739"/>
      <c r="G1989" s="1740"/>
    </row>
    <row r="1990" spans="2:7">
      <c r="B1990" s="1727"/>
      <c r="C1990" s="1729"/>
      <c r="D1990" s="1729"/>
      <c r="E1990" s="332" t="s">
        <v>893</v>
      </c>
      <c r="F1990" s="1739"/>
      <c r="G1990" s="1740"/>
    </row>
    <row r="1991" spans="2:7">
      <c r="B1991" s="1727"/>
      <c r="C1991" s="1729"/>
      <c r="D1991" s="1729"/>
      <c r="E1991" s="1734" t="s">
        <v>894</v>
      </c>
      <c r="F1991" s="1742"/>
      <c r="G1991" s="1743"/>
    </row>
    <row r="1992" spans="2:7" ht="15" thickBot="1">
      <c r="B1992" s="1730"/>
      <c r="C1992" s="1732"/>
      <c r="D1992" s="1732"/>
      <c r="E1992" s="1741"/>
      <c r="F1992" s="1744"/>
      <c r="G1992" s="1745"/>
    </row>
    <row r="1993" spans="2:7">
      <c r="B1993" s="1755" t="str">
        <f>+PRESUPUESTO!$A$2</f>
        <v>OBJETO: MEJORAMIENTO Y ADECUACIÓN DE LAS VIAS URBANAS DEL MUNICIPIO DE SANTA FE DE ANTIOQUIA</v>
      </c>
      <c r="C1993" s="1757"/>
      <c r="D1993" s="1757"/>
      <c r="E1993" s="1757"/>
      <c r="F1993" s="1757"/>
      <c r="G1993" s="1758"/>
    </row>
    <row r="1994" spans="2:7" ht="15" thickBot="1">
      <c r="B1994" s="1759"/>
      <c r="C1994" s="1761"/>
      <c r="D1994" s="1761"/>
      <c r="E1994" s="1761"/>
      <c r="F1994" s="1761"/>
      <c r="G1994" s="1762"/>
    </row>
    <row r="1995" spans="2:7" ht="15" thickBot="1">
      <c r="B1995" s="167" t="s">
        <v>1</v>
      </c>
      <c r="C1995" s="2059"/>
      <c r="D1995" s="1763"/>
      <c r="E1995" s="1763"/>
      <c r="F1995" s="2060"/>
      <c r="G1995" s="168" t="s">
        <v>193</v>
      </c>
    </row>
    <row r="1996" spans="2:7" ht="34.25" customHeight="1" thickBot="1">
      <c r="B1996" s="145" t="str">
        <f>+P!A81</f>
        <v>17.2.2</v>
      </c>
      <c r="C1996" s="2061" t="str">
        <f>+P!B81</f>
        <v>Suministro, transporte e instalación de TEJA ASBESTO-CEMENTO, Incluye amarres y demás elementos necesarios par su correcta instalación y funcionamiento.</v>
      </c>
      <c r="D1996" s="1765"/>
      <c r="E1996" s="1765"/>
      <c r="F1996" s="2062"/>
      <c r="G1996" s="169" t="str">
        <f>+P!C81</f>
        <v>m2</v>
      </c>
    </row>
    <row r="1997" spans="2:7" ht="15" thickBot="1">
      <c r="B1997" s="230" t="s">
        <v>896</v>
      </c>
    </row>
    <row r="1998" spans="2:7">
      <c r="B1998" s="170" t="s">
        <v>897</v>
      </c>
      <c r="C1998" s="231" t="s">
        <v>319</v>
      </c>
      <c r="D1998" s="231" t="s">
        <v>320</v>
      </c>
      <c r="E1998" s="231" t="s">
        <v>898</v>
      </c>
      <c r="F1998" s="232" t="s">
        <v>899</v>
      </c>
      <c r="G1998" s="143"/>
    </row>
    <row r="1999" spans="2:7">
      <c r="B1999" s="233" t="s">
        <v>1061</v>
      </c>
      <c r="C1999" s="7" t="s">
        <v>34</v>
      </c>
      <c r="D1999" s="7">
        <v>1.0961000000000001</v>
      </c>
      <c r="E1999" s="164">
        <f>+MATERIALES!D117</f>
        <v>48950</v>
      </c>
      <c r="F1999" s="234">
        <f>+ROUND((D1999*E1999),0)</f>
        <v>53654</v>
      </c>
      <c r="G1999" s="162"/>
    </row>
    <row r="2000" spans="2:7">
      <c r="B2000" s="233" t="s">
        <v>1278</v>
      </c>
      <c r="C2000" s="235" t="s">
        <v>298</v>
      </c>
      <c r="D2000" s="236">
        <v>4</v>
      </c>
      <c r="E2000" s="164">
        <f>+MATERIALES!D113</f>
        <v>890</v>
      </c>
      <c r="F2000" s="234">
        <f>+ROUND((D2000*E2000),0)</f>
        <v>3560</v>
      </c>
      <c r="G2000" s="162"/>
    </row>
    <row r="2001" spans="2:7" ht="15" thickBot="1">
      <c r="B2001" s="241"/>
      <c r="C2001" s="242">
        <f>+G2001/$G$1939</f>
        <v>2.0585759004065771</v>
      </c>
      <c r="D2001" s="243"/>
      <c r="F2001" s="241" t="s">
        <v>900</v>
      </c>
      <c r="G2001" s="149">
        <f>+SUM(F1999:F2000)</f>
        <v>57214</v>
      </c>
    </row>
    <row r="2002" spans="2:7" ht="15" thickBot="1">
      <c r="B2002" s="230" t="s">
        <v>901</v>
      </c>
    </row>
    <row r="2003" spans="2:7">
      <c r="B2003" s="170" t="s">
        <v>897</v>
      </c>
      <c r="C2003" s="231" t="s">
        <v>319</v>
      </c>
      <c r="D2003" s="231" t="s">
        <v>320</v>
      </c>
      <c r="E2003" s="231" t="s">
        <v>898</v>
      </c>
      <c r="F2003" s="232" t="s">
        <v>899</v>
      </c>
      <c r="G2003" s="139"/>
    </row>
    <row r="2004" spans="2:7" ht="15" thickBot="1">
      <c r="B2004" s="165" t="s">
        <v>1276</v>
      </c>
      <c r="C2004" s="238" t="s">
        <v>916</v>
      </c>
      <c r="D2004" s="244">
        <v>0.17008026854000621</v>
      </c>
      <c r="E2004" s="166">
        <f>+'FP OPERATIVO'!F37</f>
        <v>400346.36479999998</v>
      </c>
      <c r="F2004" s="240">
        <f>+ROUND((D2004*E2004),0)</f>
        <v>68091</v>
      </c>
      <c r="G2004" s="142"/>
    </row>
    <row r="2005" spans="2:7" ht="15" thickBot="1">
      <c r="B2005" s="241"/>
      <c r="C2005" s="242">
        <f>+G2005/$G$1939</f>
        <v>2.4499334364768108</v>
      </c>
      <c r="D2005" s="243"/>
      <c r="E2005" s="241"/>
      <c r="F2005" s="241" t="s">
        <v>900</v>
      </c>
      <c r="G2005" s="149">
        <f>+SUM(F2004)</f>
        <v>68091</v>
      </c>
    </row>
    <row r="2006" spans="2:7" ht="15" thickBot="1">
      <c r="B2006" s="230" t="s">
        <v>917</v>
      </c>
    </row>
    <row r="2007" spans="2:7">
      <c r="B2007" s="170" t="s">
        <v>897</v>
      </c>
      <c r="C2007" s="231" t="s">
        <v>319</v>
      </c>
      <c r="D2007" s="231" t="s">
        <v>320</v>
      </c>
      <c r="E2007" s="231" t="s">
        <v>898</v>
      </c>
      <c r="F2007" s="232" t="s">
        <v>899</v>
      </c>
      <c r="G2007" s="139"/>
    </row>
    <row r="2008" spans="2:7" ht="15" thickBot="1">
      <c r="B2008" s="165" t="s">
        <v>905</v>
      </c>
      <c r="C2008" s="238" t="s">
        <v>906</v>
      </c>
      <c r="D2008" s="244">
        <v>0.05</v>
      </c>
      <c r="E2008" s="166">
        <f>+G2005</f>
        <v>68091</v>
      </c>
      <c r="F2008" s="240">
        <f>+ROUND((D2008*E2008),0)</f>
        <v>3405</v>
      </c>
      <c r="G2008" s="142"/>
    </row>
    <row r="2009" spans="2:7" ht="15" thickBot="1">
      <c r="B2009" s="241"/>
      <c r="C2009" s="242">
        <f>+G2009/$G$1939</f>
        <v>0.12251286295110279</v>
      </c>
      <c r="D2009" s="243"/>
      <c r="E2009" s="241"/>
      <c r="F2009" s="241" t="s">
        <v>900</v>
      </c>
      <c r="G2009" s="149">
        <f>+SUM(F2008)</f>
        <v>3405</v>
      </c>
    </row>
    <row r="2010" spans="2:7" ht="15" thickBot="1">
      <c r="B2010" s="230" t="s">
        <v>1203</v>
      </c>
    </row>
    <row r="2011" spans="2:7">
      <c r="B2011" s="170" t="s">
        <v>897</v>
      </c>
      <c r="C2011" s="231" t="s">
        <v>319</v>
      </c>
      <c r="D2011" s="231" t="s">
        <v>320</v>
      </c>
      <c r="E2011" s="231" t="s">
        <v>898</v>
      </c>
      <c r="F2011" s="232" t="s">
        <v>899</v>
      </c>
      <c r="G2011" s="139"/>
    </row>
    <row r="2012" spans="2:7">
      <c r="B2012" s="163" t="s">
        <v>1277</v>
      </c>
      <c r="C2012" s="246" t="s">
        <v>198</v>
      </c>
      <c r="D2012" s="247">
        <v>0.1</v>
      </c>
      <c r="E2012" s="164">
        <f>+EQUIPOS!C35</f>
        <v>5500</v>
      </c>
      <c r="F2012" s="234">
        <f>+ROUND((D2012*E2012),0)</f>
        <v>550</v>
      </c>
      <c r="G2012" s="147"/>
    </row>
    <row r="2013" spans="2:7" ht="29.5" thickBot="1">
      <c r="B2013" s="165" t="s">
        <v>1273</v>
      </c>
      <c r="C2013" s="238" t="s">
        <v>198</v>
      </c>
      <c r="D2013" s="244">
        <v>0.1</v>
      </c>
      <c r="E2013" s="166">
        <f>+EQUIPOS!C36</f>
        <v>600</v>
      </c>
      <c r="F2013" s="240">
        <f t="shared" ref="F2013" si="15">+ROUND((D2013*E2013),0)</f>
        <v>60</v>
      </c>
      <c r="G2013" s="147"/>
    </row>
    <row r="2014" spans="2:7" ht="15" thickBot="1">
      <c r="B2014" s="241"/>
      <c r="C2014" s="242">
        <f>+G2014/$G$1939</f>
        <v>2.1947972511063937E-2</v>
      </c>
      <c r="D2014" s="243"/>
      <c r="E2014" s="241"/>
      <c r="F2014" s="241" t="s">
        <v>900</v>
      </c>
      <c r="G2014" s="149">
        <f>+SUM(F2012:F2013)</f>
        <v>610</v>
      </c>
    </row>
    <row r="2015" spans="2:7" ht="15" thickBot="1">
      <c r="B2015" s="230" t="s">
        <v>1205</v>
      </c>
    </row>
    <row r="2016" spans="2:7">
      <c r="B2016" s="170" t="s">
        <v>897</v>
      </c>
      <c r="C2016" s="231" t="s">
        <v>319</v>
      </c>
      <c r="D2016" s="231" t="s">
        <v>320</v>
      </c>
      <c r="E2016" s="231" t="s">
        <v>898</v>
      </c>
      <c r="F2016" s="245" t="s">
        <v>899</v>
      </c>
      <c r="G2016" s="139"/>
    </row>
    <row r="2017" spans="2:11">
      <c r="B2017" s="163" t="s">
        <v>1274</v>
      </c>
      <c r="C2017" s="246" t="s">
        <v>198</v>
      </c>
      <c r="D2017" s="247">
        <v>6.0000000000000001E-3</v>
      </c>
      <c r="E2017" s="164">
        <f>+EQUIPOS!C53</f>
        <v>450000</v>
      </c>
      <c r="F2017" s="248">
        <f>+ROUND((D2017*E2017),0)</f>
        <v>2700</v>
      </c>
      <c r="G2017" s="147"/>
    </row>
    <row r="2018" spans="2:11" ht="15" thickBot="1">
      <c r="B2018" s="250" t="s">
        <v>1275</v>
      </c>
      <c r="C2018" s="251" t="s">
        <v>69</v>
      </c>
      <c r="D2018" s="252">
        <v>1</v>
      </c>
      <c r="E2018" s="166">
        <v>800</v>
      </c>
      <c r="F2018" s="249">
        <f>+ROUND((D2018*E2018),0)</f>
        <v>800</v>
      </c>
      <c r="G2018" s="142"/>
    </row>
    <row r="2019" spans="2:11" ht="15" thickBot="1">
      <c r="B2019" s="241"/>
      <c r="C2019" s="242">
        <f>+G2019/$G$1939</f>
        <v>0.12593098981757997</v>
      </c>
      <c r="D2019" s="243"/>
      <c r="E2019" s="241"/>
      <c r="F2019" s="241" t="s">
        <v>900</v>
      </c>
      <c r="G2019" s="149">
        <f>+SUM(F2017:F2018)</f>
        <v>3500</v>
      </c>
    </row>
    <row r="2020" spans="2:11" ht="15" thickBot="1"/>
    <row r="2021" spans="2:11" ht="15" thickBot="1">
      <c r="C2021" s="65"/>
      <c r="D2021" s="65"/>
      <c r="E2021" s="67" t="s">
        <v>908</v>
      </c>
      <c r="F2021" s="65"/>
      <c r="G2021" s="160">
        <f>+SUM(G1998:G2019)</f>
        <v>132820</v>
      </c>
      <c r="I2021" s="5"/>
      <c r="K2021" s="5"/>
    </row>
    <row r="2022" spans="2:11" ht="15" thickBot="1">
      <c r="B2022" s="155"/>
      <c r="C2022" s="155"/>
    </row>
    <row r="2023" spans="2:11" ht="15" thickBot="1">
      <c r="B2023" s="2063" t="s">
        <v>1279</v>
      </c>
      <c r="C2023" s="2064"/>
      <c r="D2023" s="2064"/>
      <c r="E2023" s="2064"/>
      <c r="F2023" s="2064"/>
      <c r="G2023" s="2065"/>
    </row>
    <row r="2024" spans="2:11" ht="19.25" customHeight="1">
      <c r="B2024" s="1721"/>
      <c r="C2024" s="1770" t="s">
        <v>1175</v>
      </c>
      <c r="D2024" s="1770"/>
      <c r="E2024" s="1770"/>
      <c r="F2024" s="1770"/>
      <c r="G2024" s="1771"/>
    </row>
    <row r="2025" spans="2:11" ht="19.25" customHeight="1">
      <c r="B2025" s="1722"/>
      <c r="C2025" s="1772"/>
      <c r="D2025" s="1772"/>
      <c r="E2025" s="1772"/>
      <c r="F2025" s="1772"/>
      <c r="G2025" s="1773"/>
    </row>
    <row r="2026" spans="2:11" ht="19.25" customHeight="1">
      <c r="B2026" s="1722"/>
      <c r="C2026" s="1772"/>
      <c r="D2026" s="1772"/>
      <c r="E2026" s="1772"/>
      <c r="F2026" s="1772"/>
      <c r="G2026" s="1773"/>
    </row>
    <row r="2027" spans="2:11" ht="19.25" customHeight="1">
      <c r="B2027" s="1722"/>
      <c r="C2027" s="1772"/>
      <c r="D2027" s="1772"/>
      <c r="E2027" s="1772"/>
      <c r="F2027" s="1772"/>
      <c r="G2027" s="1773"/>
    </row>
    <row r="2028" spans="2:11" ht="19.25" customHeight="1" thickBot="1">
      <c r="B2028" s="1723"/>
      <c r="C2028" s="1774"/>
      <c r="D2028" s="1774"/>
      <c r="E2028" s="1774"/>
      <c r="F2028" s="1774"/>
      <c r="G2028" s="1775"/>
    </row>
    <row r="2029" spans="2:11">
      <c r="B2029" s="1724" t="s">
        <v>890</v>
      </c>
      <c r="C2029" s="1726"/>
      <c r="D2029" s="1726"/>
      <c r="E2029" s="1733" t="s">
        <v>891</v>
      </c>
      <c r="F2029" s="1735"/>
      <c r="G2029" s="1736"/>
    </row>
    <row r="2030" spans="2:11">
      <c r="B2030" s="1727"/>
      <c r="C2030" s="1729"/>
      <c r="D2030" s="1729"/>
      <c r="E2030" s="1734"/>
      <c r="F2030" s="1737"/>
      <c r="G2030" s="1738"/>
    </row>
    <row r="2031" spans="2:11">
      <c r="B2031" s="1727"/>
      <c r="C2031" s="1729"/>
      <c r="D2031" s="1729"/>
      <c r="E2031" s="332" t="s">
        <v>892</v>
      </c>
      <c r="F2031" s="1739"/>
      <c r="G2031" s="1740"/>
    </row>
    <row r="2032" spans="2:11">
      <c r="B2032" s="1727"/>
      <c r="C2032" s="1729"/>
      <c r="D2032" s="1729"/>
      <c r="E2032" s="332" t="s">
        <v>893</v>
      </c>
      <c r="F2032" s="1739"/>
      <c r="G2032" s="1740"/>
    </row>
    <row r="2033" spans="2:7">
      <c r="B2033" s="1727"/>
      <c r="C2033" s="1729"/>
      <c r="D2033" s="1729"/>
      <c r="E2033" s="1734" t="s">
        <v>894</v>
      </c>
      <c r="F2033" s="1742"/>
      <c r="G2033" s="1743"/>
    </row>
    <row r="2034" spans="2:7" ht="15" thickBot="1">
      <c r="B2034" s="1730"/>
      <c r="C2034" s="1732"/>
      <c r="D2034" s="1732"/>
      <c r="E2034" s="1741"/>
      <c r="F2034" s="1744"/>
      <c r="G2034" s="1745"/>
    </row>
    <row r="2035" spans="2:7">
      <c r="B2035" s="1755" t="str">
        <f>+PRESUPUESTO!$A$2</f>
        <v>OBJETO: MEJORAMIENTO Y ADECUACIÓN DE LAS VIAS URBANAS DEL MUNICIPIO DE SANTA FE DE ANTIOQUIA</v>
      </c>
      <c r="C2035" s="1757"/>
      <c r="D2035" s="1757"/>
      <c r="E2035" s="1757"/>
      <c r="F2035" s="1757"/>
      <c r="G2035" s="1758"/>
    </row>
    <row r="2036" spans="2:7" ht="15" thickBot="1">
      <c r="B2036" s="1759"/>
      <c r="C2036" s="1761"/>
      <c r="D2036" s="1761"/>
      <c r="E2036" s="1761"/>
      <c r="F2036" s="1761"/>
      <c r="G2036" s="1762"/>
    </row>
    <row r="2037" spans="2:7" ht="15" thickBot="1">
      <c r="B2037" s="167" t="s">
        <v>1</v>
      </c>
      <c r="C2037" s="2059"/>
      <c r="D2037" s="1763"/>
      <c r="E2037" s="1763"/>
      <c r="F2037" s="2060"/>
      <c r="G2037" s="168" t="s">
        <v>193</v>
      </c>
    </row>
    <row r="2038" spans="2:7" ht="29.5" customHeight="1" thickBot="1">
      <c r="B2038" s="145" t="str">
        <f>+P!A8</f>
        <v>3.1</v>
      </c>
      <c r="C2038" s="2061" t="str">
        <f>+P!B8</f>
        <v>Suministro, transporte y colocación de AFIRMADO y todo lo necesario para su correcta construcción y funcionamiento. Su medida será tomada en sitio ya compactado.</v>
      </c>
      <c r="D2038" s="1765"/>
      <c r="E2038" s="1765"/>
      <c r="F2038" s="2062"/>
      <c r="G2038" s="169" t="str">
        <f>+P!C8</f>
        <v>m3</v>
      </c>
    </row>
    <row r="2039" spans="2:7" ht="15" thickBot="1">
      <c r="B2039" s="230" t="s">
        <v>896</v>
      </c>
    </row>
    <row r="2040" spans="2:7">
      <c r="B2040" s="170" t="s">
        <v>897</v>
      </c>
      <c r="C2040" s="171" t="s">
        <v>319</v>
      </c>
      <c r="D2040" s="171" t="s">
        <v>320</v>
      </c>
      <c r="E2040" s="171" t="s">
        <v>898</v>
      </c>
      <c r="F2040" s="187" t="s">
        <v>899</v>
      </c>
      <c r="G2040" s="139"/>
    </row>
    <row r="2041" spans="2:7" ht="15" thickBot="1">
      <c r="B2041" s="218" t="s">
        <v>955</v>
      </c>
      <c r="C2041" s="202" t="s">
        <v>14</v>
      </c>
      <c r="D2041" s="203">
        <v>1.3</v>
      </c>
      <c r="E2041" s="204">
        <f>+MATERIALES!D18</f>
        <v>135000</v>
      </c>
      <c r="F2041" s="205">
        <f>+ROUND((D2041*E2041),0)</f>
        <v>175500</v>
      </c>
      <c r="G2041" s="142"/>
    </row>
    <row r="2042" spans="2:7" ht="15" thickBot="1">
      <c r="B2042" s="212"/>
      <c r="C2042" s="184">
        <f>+G2042/$G$2056</f>
        <v>0.92478909012346333</v>
      </c>
      <c r="D2042" s="190"/>
      <c r="F2042" s="212" t="s">
        <v>900</v>
      </c>
      <c r="G2042" s="149">
        <f>+SUM(F2041)</f>
        <v>175500</v>
      </c>
    </row>
    <row r="2043" spans="2:7" ht="15" thickBot="1">
      <c r="B2043" s="230" t="s">
        <v>901</v>
      </c>
    </row>
    <row r="2044" spans="2:7">
      <c r="B2044" s="170" t="s">
        <v>897</v>
      </c>
      <c r="C2044" s="171" t="s">
        <v>319</v>
      </c>
      <c r="D2044" s="171" t="s">
        <v>320</v>
      </c>
      <c r="E2044" s="171" t="s">
        <v>898</v>
      </c>
      <c r="F2044" s="187" t="s">
        <v>899</v>
      </c>
      <c r="G2044" s="139"/>
    </row>
    <row r="2045" spans="2:7" ht="15" thickBot="1">
      <c r="B2045" s="218" t="s">
        <v>1280</v>
      </c>
      <c r="C2045" s="202" t="s">
        <v>916</v>
      </c>
      <c r="D2045" s="203">
        <v>3.3333333333333333E-2</v>
      </c>
      <c r="E2045" s="204">
        <f>+'FP OPERATIVO'!F35</f>
        <v>295642.2840888889</v>
      </c>
      <c r="F2045" s="205">
        <f>+ROUND((D2045*E2045),0)</f>
        <v>9855</v>
      </c>
      <c r="G2045" s="142"/>
    </row>
    <row r="2046" spans="2:7" ht="15" thickBot="1">
      <c r="B2046" s="212"/>
      <c r="C2046" s="184">
        <f>+G2046/$G$2056</f>
        <v>5.1930464291548323E-2</v>
      </c>
      <c r="D2046" s="190"/>
      <c r="F2046" s="212" t="s">
        <v>900</v>
      </c>
      <c r="G2046" s="149">
        <f>+SUM(F2045)</f>
        <v>9855</v>
      </c>
    </row>
    <row r="2047" spans="2:7" ht="15" thickBot="1">
      <c r="B2047" s="230" t="s">
        <v>917</v>
      </c>
    </row>
    <row r="2048" spans="2:7">
      <c r="B2048" s="170" t="s">
        <v>897</v>
      </c>
      <c r="C2048" s="171" t="s">
        <v>319</v>
      </c>
      <c r="D2048" s="171" t="s">
        <v>320</v>
      </c>
      <c r="E2048" s="171" t="s">
        <v>898</v>
      </c>
      <c r="F2048" s="172" t="s">
        <v>899</v>
      </c>
      <c r="G2048" s="139"/>
    </row>
    <row r="2049" spans="2:7" ht="15" thickBot="1">
      <c r="B2049" s="218" t="s">
        <v>905</v>
      </c>
      <c r="C2049" s="202" t="s">
        <v>906</v>
      </c>
      <c r="D2049" s="203">
        <v>0.05</v>
      </c>
      <c r="E2049" s="204">
        <f>+F2045</f>
        <v>9855</v>
      </c>
      <c r="F2049" s="206">
        <f>+ROUND((D2049*E2049),0)</f>
        <v>493</v>
      </c>
      <c r="G2049" s="142"/>
    </row>
    <row r="2050" spans="2:7" ht="15" thickBot="1">
      <c r="B2050" s="212"/>
      <c r="C2050" s="221">
        <f>+G2050/$G$2056</f>
        <v>2.5978405779536603E-3</v>
      </c>
      <c r="D2050" s="190"/>
      <c r="F2050" s="212" t="s">
        <v>900</v>
      </c>
      <c r="G2050" s="149">
        <f>+SUM(F2049)</f>
        <v>493</v>
      </c>
    </row>
    <row r="2051" spans="2:7" ht="15" thickBot="1">
      <c r="B2051" s="230" t="s">
        <v>1203</v>
      </c>
    </row>
    <row r="2052" spans="2:7">
      <c r="B2052" s="170" t="s">
        <v>897</v>
      </c>
      <c r="C2052" s="171" t="s">
        <v>319</v>
      </c>
      <c r="D2052" s="171" t="s">
        <v>320</v>
      </c>
      <c r="E2052" s="171" t="s">
        <v>898</v>
      </c>
      <c r="F2052" s="172" t="s">
        <v>899</v>
      </c>
      <c r="G2052" s="139"/>
    </row>
    <row r="2053" spans="2:7" ht="15" thickBot="1">
      <c r="B2053" s="218" t="s">
        <v>1281</v>
      </c>
      <c r="C2053" s="202" t="s">
        <v>1191</v>
      </c>
      <c r="D2053" s="203">
        <v>0.05</v>
      </c>
      <c r="E2053" s="204">
        <f>+EQUIPOS!C39</f>
        <v>78500</v>
      </c>
      <c r="F2053" s="206">
        <f>+ROUND((D2053*E2053),0)</f>
        <v>3925</v>
      </c>
      <c r="G2053" s="142"/>
    </row>
    <row r="2054" spans="2:7" ht="15" thickBot="1">
      <c r="B2054" s="212"/>
      <c r="C2054" s="184">
        <f>+G2054/$G$2056</f>
        <v>2.068260500703472E-2</v>
      </c>
      <c r="D2054" s="190"/>
      <c r="F2054" s="212" t="s">
        <v>900</v>
      </c>
      <c r="G2054" s="149">
        <f>+SUM(F2053:F2053)</f>
        <v>3925</v>
      </c>
    </row>
    <row r="2055" spans="2:7" ht="15" thickBot="1"/>
    <row r="2056" spans="2:7" ht="15" thickBot="1">
      <c r="C2056" s="65"/>
      <c r="D2056" s="65"/>
      <c r="E2056" s="67" t="s">
        <v>908</v>
      </c>
      <c r="F2056" s="65"/>
      <c r="G2056" s="160">
        <f>+SUM(G2040:G2054)</f>
        <v>189773</v>
      </c>
    </row>
    <row r="2057" spans="2:7" ht="15" thickBot="1">
      <c r="B2057" s="155"/>
      <c r="C2057" s="155"/>
    </row>
    <row r="2058" spans="2:7" ht="18" customHeight="1">
      <c r="B2058" s="1721"/>
      <c r="C2058" s="1770" t="s">
        <v>1175</v>
      </c>
      <c r="D2058" s="1770"/>
      <c r="E2058" s="1770"/>
      <c r="F2058" s="1770"/>
      <c r="G2058" s="1771"/>
    </row>
    <row r="2059" spans="2:7" ht="18" customHeight="1">
      <c r="B2059" s="1722"/>
      <c r="C2059" s="1772"/>
      <c r="D2059" s="1772"/>
      <c r="E2059" s="1772"/>
      <c r="F2059" s="1772"/>
      <c r="G2059" s="1773"/>
    </row>
    <row r="2060" spans="2:7" ht="18" customHeight="1">
      <c r="B2060" s="1722"/>
      <c r="C2060" s="1772"/>
      <c r="D2060" s="1772"/>
      <c r="E2060" s="1772"/>
      <c r="F2060" s="1772"/>
      <c r="G2060" s="1773"/>
    </row>
    <row r="2061" spans="2:7" ht="18" customHeight="1">
      <c r="B2061" s="1722"/>
      <c r="C2061" s="1772"/>
      <c r="D2061" s="1772"/>
      <c r="E2061" s="1772"/>
      <c r="F2061" s="1772"/>
      <c r="G2061" s="1773"/>
    </row>
    <row r="2062" spans="2:7" ht="18" customHeight="1" thickBot="1">
      <c r="B2062" s="1723"/>
      <c r="C2062" s="1774"/>
      <c r="D2062" s="1774"/>
      <c r="E2062" s="1774"/>
      <c r="F2062" s="1774"/>
      <c r="G2062" s="1775"/>
    </row>
    <row r="2063" spans="2:7">
      <c r="B2063" s="1724" t="s">
        <v>890</v>
      </c>
      <c r="C2063" s="1726"/>
      <c r="D2063" s="1726"/>
      <c r="E2063" s="1733" t="s">
        <v>891</v>
      </c>
      <c r="F2063" s="1735"/>
      <c r="G2063" s="1736"/>
    </row>
    <row r="2064" spans="2:7">
      <c r="B2064" s="1727"/>
      <c r="C2064" s="1729"/>
      <c r="D2064" s="1729"/>
      <c r="E2064" s="1734"/>
      <c r="F2064" s="1737"/>
      <c r="G2064" s="1738"/>
    </row>
    <row r="2065" spans="2:7">
      <c r="B2065" s="1727"/>
      <c r="C2065" s="1729"/>
      <c r="D2065" s="1729"/>
      <c r="E2065" s="332" t="s">
        <v>892</v>
      </c>
      <c r="F2065" s="1739"/>
      <c r="G2065" s="1740"/>
    </row>
    <row r="2066" spans="2:7">
      <c r="B2066" s="1727"/>
      <c r="C2066" s="1729"/>
      <c r="D2066" s="1729"/>
      <c r="E2066" s="332" t="s">
        <v>893</v>
      </c>
      <c r="F2066" s="1739"/>
      <c r="G2066" s="1740"/>
    </row>
    <row r="2067" spans="2:7">
      <c r="B2067" s="1727"/>
      <c r="C2067" s="1729"/>
      <c r="D2067" s="1729"/>
      <c r="E2067" s="1734" t="s">
        <v>894</v>
      </c>
      <c r="F2067" s="1742"/>
      <c r="G2067" s="1743"/>
    </row>
    <row r="2068" spans="2:7" ht="15" thickBot="1">
      <c r="B2068" s="1730"/>
      <c r="C2068" s="1732"/>
      <c r="D2068" s="1732"/>
      <c r="E2068" s="1741"/>
      <c r="F2068" s="1744"/>
      <c r="G2068" s="1745"/>
    </row>
    <row r="2069" spans="2:7">
      <c r="B2069" s="1755" t="str">
        <f>+PRESUPUESTO!$A$2</f>
        <v>OBJETO: MEJORAMIENTO Y ADECUACIÓN DE LAS VIAS URBANAS DEL MUNICIPIO DE SANTA FE DE ANTIOQUIA</v>
      </c>
      <c r="C2069" s="1757"/>
      <c r="D2069" s="1757"/>
      <c r="E2069" s="1757"/>
      <c r="F2069" s="1757"/>
      <c r="G2069" s="1758"/>
    </row>
    <row r="2070" spans="2:7" ht="15" thickBot="1">
      <c r="B2070" s="1759"/>
      <c r="C2070" s="1761"/>
      <c r="D2070" s="1761"/>
      <c r="E2070" s="1761"/>
      <c r="F2070" s="1761"/>
      <c r="G2070" s="1762"/>
    </row>
    <row r="2071" spans="2:7" ht="15" thickBot="1">
      <c r="B2071" s="167" t="s">
        <v>1</v>
      </c>
      <c r="C2071" s="2059"/>
      <c r="D2071" s="1763"/>
      <c r="E2071" s="1763"/>
      <c r="F2071" s="2060"/>
      <c r="G2071" s="168" t="s">
        <v>193</v>
      </c>
    </row>
    <row r="2072" spans="2:7" ht="59" customHeight="1" thickBot="1">
      <c r="B2072" s="145" t="str">
        <f>+P!A9</f>
        <v>3.2</v>
      </c>
      <c r="C2072" s="2061" t="str">
        <f>+P!B9</f>
        <v>LLENOS EN ARENILLA, compactados mecánicamente hasta obtener una densidad del 98% de la máxima obtenida en el ensayo del próctor modificado. Incluye el suministro, transporte, colocación de la arenilla, la compactación de la misma y transporte interno. Y su medida será en sitio ya compactado.</v>
      </c>
      <c r="D2072" s="1765"/>
      <c r="E2072" s="1765"/>
      <c r="F2072" s="2062"/>
      <c r="G2072" s="169" t="str">
        <f>+P!C9</f>
        <v>m3</v>
      </c>
    </row>
    <row r="2073" spans="2:7" ht="15" thickBot="1">
      <c r="B2073" s="230" t="s">
        <v>896</v>
      </c>
    </row>
    <row r="2074" spans="2:7">
      <c r="B2074" s="170" t="s">
        <v>897</v>
      </c>
      <c r="C2074" s="171" t="s">
        <v>319</v>
      </c>
      <c r="D2074" s="171" t="s">
        <v>320</v>
      </c>
      <c r="E2074" s="171" t="s">
        <v>898</v>
      </c>
      <c r="F2074" s="172" t="s">
        <v>899</v>
      </c>
      <c r="G2074" s="139"/>
    </row>
    <row r="2075" spans="2:7" ht="15" thickBot="1">
      <c r="B2075" s="218" t="s">
        <v>1216</v>
      </c>
      <c r="C2075" s="202" t="s">
        <v>14</v>
      </c>
      <c r="D2075" s="203">
        <v>1.3</v>
      </c>
      <c r="E2075" s="204">
        <f>+MATERIALES!D9</f>
        <v>85000</v>
      </c>
      <c r="F2075" s="206">
        <f>+ROUND((D2075*E2075),0)</f>
        <v>110500</v>
      </c>
      <c r="G2075" s="142"/>
    </row>
    <row r="2076" spans="2:7" ht="15" thickBot="1">
      <c r="B2076" s="212"/>
      <c r="C2076" s="184">
        <f>+G2076/$G$2086</f>
        <v>0.84886382841427632</v>
      </c>
      <c r="D2076" s="190"/>
      <c r="F2076" s="212" t="s">
        <v>900</v>
      </c>
      <c r="G2076" s="149">
        <f>+SUM(F2075)</f>
        <v>110500</v>
      </c>
    </row>
    <row r="2077" spans="2:7" ht="15" thickBot="1">
      <c r="B2077" s="230" t="s">
        <v>901</v>
      </c>
    </row>
    <row r="2078" spans="2:7">
      <c r="B2078" s="170" t="s">
        <v>897</v>
      </c>
      <c r="C2078" s="171" t="s">
        <v>319</v>
      </c>
      <c r="D2078" s="171" t="s">
        <v>320</v>
      </c>
      <c r="E2078" s="171" t="s">
        <v>898</v>
      </c>
      <c r="F2078" s="172" t="s">
        <v>899</v>
      </c>
      <c r="G2078" s="139"/>
    </row>
    <row r="2079" spans="2:7" ht="29.5" thickBot="1">
      <c r="B2079" s="218" t="s">
        <v>1282</v>
      </c>
      <c r="C2079" s="202" t="s">
        <v>198</v>
      </c>
      <c r="D2079" s="203">
        <v>9.0560000000000002E-2</v>
      </c>
      <c r="E2079" s="204">
        <f>+EQUIPOS!C32</f>
        <v>100000</v>
      </c>
      <c r="F2079" s="206">
        <f>+ROUND((D2079*E2079),0)</f>
        <v>9056</v>
      </c>
      <c r="G2079" s="142"/>
    </row>
    <row r="2080" spans="2:7" ht="15" thickBot="1">
      <c r="B2080" s="212"/>
      <c r="C2080" s="184">
        <f>+G2080/$G$2086</f>
        <v>6.9568423801988105E-2</v>
      </c>
      <c r="D2080" s="190"/>
      <c r="F2080" s="212" t="s">
        <v>900</v>
      </c>
      <c r="G2080" s="149">
        <f>+SUM(F2079)</f>
        <v>9056</v>
      </c>
    </row>
    <row r="2081" spans="2:7" ht="15" thickBot="1">
      <c r="B2081" s="216" t="s">
        <v>1186</v>
      </c>
    </row>
    <row r="2082" spans="2:7">
      <c r="B2082" s="170" t="s">
        <v>897</v>
      </c>
      <c r="C2082" s="224" t="s">
        <v>319</v>
      </c>
      <c r="D2082" s="171" t="s">
        <v>320</v>
      </c>
      <c r="E2082" s="171" t="s">
        <v>898</v>
      </c>
      <c r="F2082" s="187" t="s">
        <v>899</v>
      </c>
      <c r="G2082" s="139"/>
    </row>
    <row r="2083" spans="2:7" ht="15" thickBot="1">
      <c r="B2083" s="218" t="s">
        <v>1196</v>
      </c>
      <c r="C2083" s="202" t="s">
        <v>14</v>
      </c>
      <c r="D2083" s="203">
        <v>1.3</v>
      </c>
      <c r="E2083" s="204">
        <v>8168</v>
      </c>
      <c r="F2083" s="205">
        <f>+ROUND((D2083*E2083),0)</f>
        <v>10618</v>
      </c>
      <c r="G2083" s="142"/>
    </row>
    <row r="2084" spans="2:7" ht="15" thickBot="1">
      <c r="B2084" s="212"/>
      <c r="C2084" s="184">
        <f>+G2084/$G$2086</f>
        <v>8.1567747783735614E-2</v>
      </c>
      <c r="D2084" s="190"/>
      <c r="F2084" s="212" t="s">
        <v>900</v>
      </c>
      <c r="G2084" s="149">
        <f>+SUM(F2083)</f>
        <v>10618</v>
      </c>
    </row>
    <row r="2085" spans="2:7" ht="15" thickBot="1"/>
    <row r="2086" spans="2:7" ht="15" thickBot="1">
      <c r="C2086" s="65"/>
      <c r="D2086" s="65"/>
      <c r="E2086" s="67" t="s">
        <v>908</v>
      </c>
      <c r="F2086" s="65"/>
      <c r="G2086" s="160">
        <f>+SUM(G2072:G2084)</f>
        <v>130174</v>
      </c>
    </row>
    <row r="2087" spans="2:7" ht="15" thickBot="1">
      <c r="B2087" s="155"/>
      <c r="C2087" s="155"/>
    </row>
    <row r="2088" spans="2:7" ht="15" thickBot="1">
      <c r="B2088" s="2063" t="s">
        <v>1267</v>
      </c>
      <c r="C2088" s="2064"/>
      <c r="D2088" s="2064"/>
      <c r="E2088" s="2064"/>
      <c r="F2088" s="2064"/>
      <c r="G2088" s="2065"/>
    </row>
    <row r="2089" spans="2:7" ht="19.25" customHeight="1">
      <c r="B2089" s="1721"/>
      <c r="C2089" s="1770" t="s">
        <v>1175</v>
      </c>
      <c r="D2089" s="1770"/>
      <c r="E2089" s="1770"/>
      <c r="F2089" s="1770"/>
      <c r="G2089" s="1771"/>
    </row>
    <row r="2090" spans="2:7" ht="19.25" customHeight="1">
      <c r="B2090" s="1722"/>
      <c r="C2090" s="1772"/>
      <c r="D2090" s="1772"/>
      <c r="E2090" s="1772"/>
      <c r="F2090" s="1772"/>
      <c r="G2090" s="1773"/>
    </row>
    <row r="2091" spans="2:7" ht="19.25" customHeight="1">
      <c r="B2091" s="1722"/>
      <c r="C2091" s="1772"/>
      <c r="D2091" s="1772"/>
      <c r="E2091" s="1772"/>
      <c r="F2091" s="1772"/>
      <c r="G2091" s="1773"/>
    </row>
    <row r="2092" spans="2:7" ht="19.25" customHeight="1">
      <c r="B2092" s="1722"/>
      <c r="C2092" s="1772"/>
      <c r="D2092" s="1772"/>
      <c r="E2092" s="1772"/>
      <c r="F2092" s="1772"/>
      <c r="G2092" s="1773"/>
    </row>
    <row r="2093" spans="2:7" ht="19.25" customHeight="1" thickBot="1">
      <c r="B2093" s="1723"/>
      <c r="C2093" s="1774"/>
      <c r="D2093" s="1774"/>
      <c r="E2093" s="1774"/>
      <c r="F2093" s="1774"/>
      <c r="G2093" s="1775"/>
    </row>
    <row r="2094" spans="2:7">
      <c r="B2094" s="1724" t="s">
        <v>890</v>
      </c>
      <c r="C2094" s="1726"/>
      <c r="D2094" s="1726"/>
      <c r="E2094" s="1733" t="s">
        <v>891</v>
      </c>
      <c r="F2094" s="1735"/>
      <c r="G2094" s="1736"/>
    </row>
    <row r="2095" spans="2:7">
      <c r="B2095" s="1727"/>
      <c r="C2095" s="1729"/>
      <c r="D2095" s="1729"/>
      <c r="E2095" s="1734"/>
      <c r="F2095" s="1737"/>
      <c r="G2095" s="1738"/>
    </row>
    <row r="2096" spans="2:7">
      <c r="B2096" s="1727"/>
      <c r="C2096" s="1729"/>
      <c r="D2096" s="1729"/>
      <c r="E2096" s="332" t="s">
        <v>892</v>
      </c>
      <c r="F2096" s="1739"/>
      <c r="G2096" s="1740"/>
    </row>
    <row r="2097" spans="2:7">
      <c r="B2097" s="1727"/>
      <c r="C2097" s="1729"/>
      <c r="D2097" s="1729"/>
      <c r="E2097" s="332" t="s">
        <v>893</v>
      </c>
      <c r="F2097" s="1739"/>
      <c r="G2097" s="1740"/>
    </row>
    <row r="2098" spans="2:7">
      <c r="B2098" s="1727"/>
      <c r="C2098" s="1729"/>
      <c r="D2098" s="1729"/>
      <c r="E2098" s="1734" t="s">
        <v>894</v>
      </c>
      <c r="F2098" s="1742"/>
      <c r="G2098" s="1743"/>
    </row>
    <row r="2099" spans="2:7" ht="15" thickBot="1">
      <c r="B2099" s="1730"/>
      <c r="C2099" s="1732"/>
      <c r="D2099" s="1732"/>
      <c r="E2099" s="1741"/>
      <c r="F2099" s="1744"/>
      <c r="G2099" s="1745"/>
    </row>
    <row r="2100" spans="2:7">
      <c r="B2100" s="1755" t="str">
        <f>+PRESUPUESTO!$A$2</f>
        <v>OBJETO: MEJORAMIENTO Y ADECUACIÓN DE LAS VIAS URBANAS DEL MUNICIPIO DE SANTA FE DE ANTIOQUIA</v>
      </c>
      <c r="C2100" s="1757"/>
      <c r="D2100" s="1757"/>
      <c r="E2100" s="1757"/>
      <c r="F2100" s="1757"/>
      <c r="G2100" s="1758"/>
    </row>
    <row r="2101" spans="2:7" ht="15" thickBot="1">
      <c r="B2101" s="1759"/>
      <c r="C2101" s="1761"/>
      <c r="D2101" s="1761"/>
      <c r="E2101" s="1761"/>
      <c r="F2101" s="1761"/>
      <c r="G2101" s="1762"/>
    </row>
    <row r="2102" spans="2:7" ht="15" thickBot="1">
      <c r="B2102" s="167" t="s">
        <v>1</v>
      </c>
      <c r="C2102" s="2059"/>
      <c r="D2102" s="1763"/>
      <c r="E2102" s="1763"/>
      <c r="F2102" s="2060"/>
      <c r="G2102" s="168" t="s">
        <v>193</v>
      </c>
    </row>
    <row r="2103" spans="2:7" ht="58.25" customHeight="1" thickBot="1">
      <c r="B2103" s="145" t="str">
        <f>+P!A83</f>
        <v>17.3.1</v>
      </c>
      <c r="C2103" s="2061" t="str">
        <f>+P!B83</f>
        <v>Suministro, transporte e instalación de (canoa) CANOA EN PVC , para aguas lluvias. Incluye suministro y transporte de los materiales, accesorios, limpiador y todos los elementos necesarios para su correcta instalación y funcionamiento.</v>
      </c>
      <c r="D2103" s="1765"/>
      <c r="E2103" s="1765"/>
      <c r="F2103" s="2062"/>
      <c r="G2103" s="169" t="str">
        <f>+P!C83</f>
        <v>m</v>
      </c>
    </row>
    <row r="2104" spans="2:7" ht="15" thickBot="1">
      <c r="B2104" s="216" t="s">
        <v>896</v>
      </c>
    </row>
    <row r="2105" spans="2:7">
      <c r="B2105" s="170" t="s">
        <v>897</v>
      </c>
      <c r="C2105" s="171" t="s">
        <v>319</v>
      </c>
      <c r="D2105" s="171" t="s">
        <v>320</v>
      </c>
      <c r="E2105" s="171" t="s">
        <v>898</v>
      </c>
      <c r="F2105" s="172" t="s">
        <v>899</v>
      </c>
      <c r="G2105" s="139"/>
    </row>
    <row r="2106" spans="2:7">
      <c r="B2106" s="217" t="s">
        <v>1062</v>
      </c>
      <c r="C2106" s="208" t="s">
        <v>10</v>
      </c>
      <c r="D2106" s="209">
        <v>1</v>
      </c>
      <c r="E2106" s="210">
        <f>+MATERIALES!D118</f>
        <v>72500</v>
      </c>
      <c r="F2106" s="211">
        <f t="shared" ref="F2106:F2111" si="16">+ROUND((D2106*E2106),0)</f>
        <v>72500</v>
      </c>
      <c r="G2106" s="147"/>
    </row>
    <row r="2107" spans="2:7">
      <c r="B2107" s="217" t="s">
        <v>1063</v>
      </c>
      <c r="C2107" s="208" t="s">
        <v>23</v>
      </c>
      <c r="D2107" s="209">
        <v>0.5</v>
      </c>
      <c r="E2107" s="210">
        <f>+MATERIALES!D119</f>
        <v>3200</v>
      </c>
      <c r="F2107" s="211">
        <f t="shared" si="16"/>
        <v>1600</v>
      </c>
      <c r="G2107" s="147"/>
    </row>
    <row r="2108" spans="2:7">
      <c r="B2108" s="217" t="s">
        <v>1064</v>
      </c>
      <c r="C2108" s="208" t="s">
        <v>10</v>
      </c>
      <c r="D2108" s="209">
        <v>0.33</v>
      </c>
      <c r="E2108" s="210">
        <f>+MATERIALES!D120</f>
        <v>16750</v>
      </c>
      <c r="F2108" s="211">
        <f t="shared" si="16"/>
        <v>5528</v>
      </c>
      <c r="G2108" s="147"/>
    </row>
    <row r="2109" spans="2:7">
      <c r="B2109" s="217" t="s">
        <v>1065</v>
      </c>
      <c r="C2109" s="208" t="s">
        <v>10</v>
      </c>
      <c r="D2109" s="209">
        <v>0.2</v>
      </c>
      <c r="E2109" s="210">
        <f>+MATERIALES!D121</f>
        <v>22600</v>
      </c>
      <c r="F2109" s="211">
        <f t="shared" si="16"/>
        <v>4520</v>
      </c>
      <c r="G2109" s="147"/>
    </row>
    <row r="2110" spans="2:7">
      <c r="B2110" s="217" t="s">
        <v>1066</v>
      </c>
      <c r="C2110" s="208" t="s">
        <v>23</v>
      </c>
      <c r="D2110" s="209">
        <v>2.1999999999999999E-2</v>
      </c>
      <c r="E2110" s="210">
        <f>+MATERIALES!D122</f>
        <v>45900</v>
      </c>
      <c r="F2110" s="211">
        <f t="shared" si="16"/>
        <v>1010</v>
      </c>
      <c r="G2110" s="147"/>
    </row>
    <row r="2111" spans="2:7" ht="15" thickBot="1">
      <c r="B2111" s="218" t="s">
        <v>1283</v>
      </c>
      <c r="C2111" s="202" t="s">
        <v>23</v>
      </c>
      <c r="D2111" s="203">
        <v>2.1999999999999999E-2</v>
      </c>
      <c r="E2111" s="204">
        <f>+MATERIALES!D59</f>
        <v>93000</v>
      </c>
      <c r="F2111" s="206">
        <f t="shared" si="16"/>
        <v>2046</v>
      </c>
      <c r="G2111" s="142"/>
    </row>
    <row r="2112" spans="2:7" ht="15" thickBot="1">
      <c r="B2112" s="212"/>
      <c r="C2112" s="184">
        <f>+G2112/$G$2126</f>
        <v>0.83302924065989703</v>
      </c>
      <c r="D2112" s="190"/>
      <c r="F2112" s="212" t="s">
        <v>900</v>
      </c>
      <c r="G2112" s="149">
        <f>+SUM(F2106:F2111)</f>
        <v>87204</v>
      </c>
    </row>
    <row r="2113" spans="2:7" ht="15" thickBot="1">
      <c r="B2113" s="216" t="s">
        <v>901</v>
      </c>
    </row>
    <row r="2114" spans="2:7">
      <c r="B2114" s="170" t="s">
        <v>897</v>
      </c>
      <c r="C2114" s="171" t="s">
        <v>319</v>
      </c>
      <c r="D2114" s="171" t="s">
        <v>320</v>
      </c>
      <c r="E2114" s="171" t="s">
        <v>898</v>
      </c>
      <c r="F2114" s="172" t="s">
        <v>899</v>
      </c>
      <c r="G2114" s="139"/>
    </row>
    <row r="2115" spans="2:7" ht="15" thickBot="1">
      <c r="B2115" s="218" t="s">
        <v>1284</v>
      </c>
      <c r="C2115" s="202" t="s">
        <v>916</v>
      </c>
      <c r="D2115" s="203">
        <v>0.05</v>
      </c>
      <c r="E2115" s="204">
        <f>+'FP OPERATIVO'!F35</f>
        <v>295642.2840888889</v>
      </c>
      <c r="F2115" s="206">
        <f>+ROUND((D2115*E2115),0)</f>
        <v>14782</v>
      </c>
      <c r="G2115" s="142"/>
    </row>
    <row r="2116" spans="2:7" ht="15" thickBot="1">
      <c r="B2116" s="212"/>
      <c r="C2116" s="184">
        <f>+G2116/$G$2126</f>
        <v>0.14120726383462454</v>
      </c>
      <c r="D2116" s="190"/>
      <c r="F2116" s="212" t="s">
        <v>900</v>
      </c>
      <c r="G2116" s="149">
        <f>+SUM(F2115)</f>
        <v>14782</v>
      </c>
    </row>
    <row r="2117" spans="2:7" ht="15" thickBot="1">
      <c r="B2117" s="216" t="s">
        <v>917</v>
      </c>
    </row>
    <row r="2118" spans="2:7">
      <c r="B2118" s="170" t="s">
        <v>897</v>
      </c>
      <c r="C2118" s="171" t="s">
        <v>319</v>
      </c>
      <c r="D2118" s="171" t="s">
        <v>320</v>
      </c>
      <c r="E2118" s="171" t="s">
        <v>898</v>
      </c>
      <c r="F2118" s="172" t="s">
        <v>899</v>
      </c>
      <c r="G2118" s="139"/>
    </row>
    <row r="2119" spans="2:7" ht="15" thickBot="1">
      <c r="B2119" s="218" t="s">
        <v>905</v>
      </c>
      <c r="C2119" s="202" t="s">
        <v>906</v>
      </c>
      <c r="D2119" s="203">
        <v>0.05</v>
      </c>
      <c r="E2119" s="204">
        <f>+G2116</f>
        <v>14782</v>
      </c>
      <c r="F2119" s="206">
        <f>+ROUND((D2119*E2119),0)</f>
        <v>739</v>
      </c>
      <c r="G2119" s="142"/>
    </row>
    <row r="2120" spans="2:7" ht="15" thickBot="1">
      <c r="B2120" s="212"/>
      <c r="C2120" s="221">
        <f>+G2120/$G$2126</f>
        <v>7.0594079267884951E-3</v>
      </c>
      <c r="D2120" s="190"/>
      <c r="F2120" s="212" t="s">
        <v>900</v>
      </c>
      <c r="G2120" s="149">
        <f>+SUM(F2119)</f>
        <v>739</v>
      </c>
    </row>
    <row r="2121" spans="2:7" ht="15" thickBot="1">
      <c r="B2121" s="216" t="s">
        <v>1240</v>
      </c>
    </row>
    <row r="2122" spans="2:7">
      <c r="B2122" s="170" t="s">
        <v>897</v>
      </c>
      <c r="C2122" s="171" t="s">
        <v>319</v>
      </c>
      <c r="D2122" s="171" t="s">
        <v>320</v>
      </c>
      <c r="E2122" s="171" t="s">
        <v>898</v>
      </c>
      <c r="F2122" s="172" t="s">
        <v>899</v>
      </c>
      <c r="G2122" s="139"/>
    </row>
    <row r="2123" spans="2:7" ht="15" thickBot="1">
      <c r="B2123" s="218" t="s">
        <v>1218</v>
      </c>
      <c r="C2123" s="202" t="s">
        <v>906</v>
      </c>
      <c r="D2123" s="203">
        <v>4.3515999999999997E-3</v>
      </c>
      <c r="E2123" s="204">
        <f>+EQUIPOS!C53</f>
        <v>450000</v>
      </c>
      <c r="F2123" s="206">
        <f>+ROUND((D2123*E2123),0)</f>
        <v>1958</v>
      </c>
      <c r="G2123" s="142"/>
    </row>
    <row r="2124" spans="2:7" ht="15" thickBot="1">
      <c r="B2124" s="212"/>
      <c r="C2124" s="221">
        <f>+G2124/$G$2126</f>
        <v>1.8704087578689951E-2</v>
      </c>
      <c r="D2124" s="190"/>
      <c r="F2124" s="212" t="s">
        <v>900</v>
      </c>
      <c r="G2124" s="149">
        <f>+SUM(F2123)</f>
        <v>1958</v>
      </c>
    </row>
    <row r="2125" spans="2:7" ht="15" thickBot="1"/>
    <row r="2126" spans="2:7" ht="15" thickBot="1">
      <c r="C2126" s="65"/>
      <c r="D2126" s="65"/>
      <c r="E2126" s="67" t="s">
        <v>908</v>
      </c>
      <c r="F2126" s="65"/>
      <c r="G2126" s="160">
        <f>+SUM(G2105:G2124)</f>
        <v>104683</v>
      </c>
    </row>
    <row r="2127" spans="2:7" ht="15" thickBot="1">
      <c r="B2127" s="155"/>
      <c r="C2127" s="155"/>
    </row>
    <row r="2128" spans="2:7" ht="20" customHeight="1">
      <c r="B2128" s="1721"/>
      <c r="C2128" s="1770" t="s">
        <v>1175</v>
      </c>
      <c r="D2128" s="1770"/>
      <c r="E2128" s="1770"/>
      <c r="F2128" s="1770"/>
      <c r="G2128" s="1771"/>
    </row>
    <row r="2129" spans="2:7" ht="20" customHeight="1">
      <c r="B2129" s="1722"/>
      <c r="C2129" s="1772"/>
      <c r="D2129" s="1772"/>
      <c r="E2129" s="1772"/>
      <c r="F2129" s="1772"/>
      <c r="G2129" s="1773"/>
    </row>
    <row r="2130" spans="2:7" ht="20" customHeight="1">
      <c r="B2130" s="1722"/>
      <c r="C2130" s="1772"/>
      <c r="D2130" s="1772"/>
      <c r="E2130" s="1772"/>
      <c r="F2130" s="1772"/>
      <c r="G2130" s="1773"/>
    </row>
    <row r="2131" spans="2:7" ht="20" customHeight="1">
      <c r="B2131" s="1722"/>
      <c r="C2131" s="1772"/>
      <c r="D2131" s="1772"/>
      <c r="E2131" s="1772"/>
      <c r="F2131" s="1772"/>
      <c r="G2131" s="1773"/>
    </row>
    <row r="2132" spans="2:7" ht="20" customHeight="1" thickBot="1">
      <c r="B2132" s="1723"/>
      <c r="C2132" s="1774"/>
      <c r="D2132" s="1774"/>
      <c r="E2132" s="1774"/>
      <c r="F2132" s="1774"/>
      <c r="G2132" s="1775"/>
    </row>
    <row r="2133" spans="2:7">
      <c r="B2133" s="1724" t="s">
        <v>890</v>
      </c>
      <c r="C2133" s="1726"/>
      <c r="D2133" s="1726"/>
      <c r="E2133" s="1733" t="s">
        <v>891</v>
      </c>
      <c r="F2133" s="1735"/>
      <c r="G2133" s="1736"/>
    </row>
    <row r="2134" spans="2:7">
      <c r="B2134" s="1727"/>
      <c r="C2134" s="1729"/>
      <c r="D2134" s="1729"/>
      <c r="E2134" s="1734"/>
      <c r="F2134" s="1737"/>
      <c r="G2134" s="1738"/>
    </row>
    <row r="2135" spans="2:7">
      <c r="B2135" s="1727"/>
      <c r="C2135" s="1729"/>
      <c r="D2135" s="1729"/>
      <c r="E2135" s="332" t="s">
        <v>892</v>
      </c>
      <c r="F2135" s="1739"/>
      <c r="G2135" s="1740"/>
    </row>
    <row r="2136" spans="2:7">
      <c r="B2136" s="1727"/>
      <c r="C2136" s="1729"/>
      <c r="D2136" s="1729"/>
      <c r="E2136" s="332" t="s">
        <v>893</v>
      </c>
      <c r="F2136" s="1739"/>
      <c r="G2136" s="1740"/>
    </row>
    <row r="2137" spans="2:7">
      <c r="B2137" s="1727"/>
      <c r="C2137" s="1729"/>
      <c r="D2137" s="1729"/>
      <c r="E2137" s="1734" t="s">
        <v>894</v>
      </c>
      <c r="F2137" s="1742"/>
      <c r="G2137" s="1743"/>
    </row>
    <row r="2138" spans="2:7" ht="15" thickBot="1">
      <c r="B2138" s="1730"/>
      <c r="C2138" s="1732"/>
      <c r="D2138" s="1732"/>
      <c r="E2138" s="1741"/>
      <c r="F2138" s="1744"/>
      <c r="G2138" s="1745"/>
    </row>
    <row r="2139" spans="2:7">
      <c r="B2139" s="1755" t="str">
        <f>+PRESUPUESTO!$A$2</f>
        <v>OBJETO: MEJORAMIENTO Y ADECUACIÓN DE LAS VIAS URBANAS DEL MUNICIPIO DE SANTA FE DE ANTIOQUIA</v>
      </c>
      <c r="C2139" s="1757"/>
      <c r="D2139" s="1757"/>
      <c r="E2139" s="1757"/>
      <c r="F2139" s="1757"/>
      <c r="G2139" s="1758"/>
    </row>
    <row r="2140" spans="2:7" ht="15" thickBot="1">
      <c r="B2140" s="1759"/>
      <c r="C2140" s="1761"/>
      <c r="D2140" s="1761"/>
      <c r="E2140" s="1761"/>
      <c r="F2140" s="1761"/>
      <c r="G2140" s="1762"/>
    </row>
    <row r="2141" spans="2:7" ht="15" thickBot="1">
      <c r="B2141" s="167" t="s">
        <v>1</v>
      </c>
      <c r="C2141" s="2059"/>
      <c r="D2141" s="1763"/>
      <c r="E2141" s="1763"/>
      <c r="F2141" s="2060"/>
      <c r="G2141" s="168" t="s">
        <v>193</v>
      </c>
    </row>
    <row r="2142" spans="2:7" ht="77.5" customHeight="1" thickBot="1">
      <c r="B2142" s="145" t="str">
        <f>+P!A84</f>
        <v>17.3.2</v>
      </c>
      <c r="C2142" s="2061" t="str">
        <f>+P!B84</f>
        <v>Suministro, transporte y colocación de canoa en "U" en lamina galvanizada calibre 20, desarrollo 0,3-0,5m. con soldadura autógena. Incluye embudos en el mismo material de la canoa, soportes, tornillos autoperforantes, anticorrosivo epóxico por ambas caras, acabado con esmalte en la cara inferior a la vista y todos los elementos necesarios para su correcta instalación y funcionamiento. Según diseño de cubierta.</v>
      </c>
      <c r="D2142" s="1765"/>
      <c r="E2142" s="1765"/>
      <c r="F2142" s="2062"/>
      <c r="G2142" s="169" t="str">
        <f>+P!C84</f>
        <v>m</v>
      </c>
    </row>
    <row r="2143" spans="2:7" ht="15" thickBot="1">
      <c r="B2143" s="216" t="s">
        <v>896</v>
      </c>
    </row>
    <row r="2144" spans="2:7">
      <c r="B2144" s="170" t="s">
        <v>897</v>
      </c>
      <c r="C2144" s="171" t="s">
        <v>319</v>
      </c>
      <c r="D2144" s="171" t="s">
        <v>320</v>
      </c>
      <c r="E2144" s="171" t="s">
        <v>898</v>
      </c>
      <c r="F2144" s="172" t="s">
        <v>899</v>
      </c>
      <c r="G2144" s="139"/>
    </row>
    <row r="2145" spans="2:7">
      <c r="B2145" s="217" t="s">
        <v>1067</v>
      </c>
      <c r="C2145" s="208" t="s">
        <v>10</v>
      </c>
      <c r="D2145" s="209">
        <v>1</v>
      </c>
      <c r="E2145" s="210">
        <f>+MATERIALES!D123</f>
        <v>68790</v>
      </c>
      <c r="F2145" s="211">
        <f t="shared" ref="F2145:F2150" si="17">+ROUND((D2145*E2145),0)</f>
        <v>68790</v>
      </c>
      <c r="G2145" s="147"/>
    </row>
    <row r="2146" spans="2:7">
      <c r="B2146" s="217" t="s">
        <v>1285</v>
      </c>
      <c r="C2146" s="208" t="s">
        <v>1004</v>
      </c>
      <c r="D2146" s="209">
        <v>0.05</v>
      </c>
      <c r="E2146" s="210">
        <f>+MATERIALES!D110</f>
        <v>76900</v>
      </c>
      <c r="F2146" s="211">
        <f t="shared" si="17"/>
        <v>3845</v>
      </c>
      <c r="G2146" s="147"/>
    </row>
    <row r="2147" spans="2:7">
      <c r="B2147" s="217" t="s">
        <v>992</v>
      </c>
      <c r="C2147" s="208" t="s">
        <v>1004</v>
      </c>
      <c r="D2147" s="209">
        <v>0.1</v>
      </c>
      <c r="E2147" s="210">
        <f>+MATERIALES!D51</f>
        <v>112000</v>
      </c>
      <c r="F2147" s="211">
        <f t="shared" si="17"/>
        <v>11200</v>
      </c>
      <c r="G2147" s="147"/>
    </row>
    <row r="2148" spans="2:7">
      <c r="B2148" s="217" t="s">
        <v>1227</v>
      </c>
      <c r="C2148" s="208" t="s">
        <v>1004</v>
      </c>
      <c r="D2148" s="209">
        <v>2.5000000000000001E-2</v>
      </c>
      <c r="E2148" s="210">
        <f>+MATERIALES!D52</f>
        <v>52100</v>
      </c>
      <c r="F2148" s="211">
        <f t="shared" si="17"/>
        <v>1303</v>
      </c>
      <c r="G2148" s="147"/>
    </row>
    <row r="2149" spans="2:7">
      <c r="B2149" s="217" t="s">
        <v>1068</v>
      </c>
      <c r="C2149" s="208" t="s">
        <v>23</v>
      </c>
      <c r="D2149" s="209">
        <v>0.25</v>
      </c>
      <c r="E2149" s="210">
        <f>+MATERIALES!D124</f>
        <v>35287</v>
      </c>
      <c r="F2149" s="211">
        <f t="shared" si="17"/>
        <v>8822</v>
      </c>
      <c r="G2149" s="147"/>
    </row>
    <row r="2150" spans="2:7" ht="29.5" thickBot="1">
      <c r="B2150" s="218" t="s">
        <v>1069</v>
      </c>
      <c r="C2150" s="202" t="s">
        <v>23</v>
      </c>
      <c r="D2150" s="203">
        <v>2</v>
      </c>
      <c r="E2150" s="204">
        <f>+MATERIALES!D125</f>
        <v>109.35000000000001</v>
      </c>
      <c r="F2150" s="206">
        <f t="shared" si="17"/>
        <v>219</v>
      </c>
      <c r="G2150" s="142"/>
    </row>
    <row r="2151" spans="2:7" ht="15" thickBot="1">
      <c r="B2151" s="212"/>
      <c r="C2151" s="184">
        <f>+G2151/$G$2170</f>
        <v>0.71368272684560707</v>
      </c>
      <c r="D2151" s="190"/>
      <c r="F2151" s="212" t="s">
        <v>900</v>
      </c>
      <c r="G2151" s="149">
        <f>+SUM(F2145:F2150)</f>
        <v>94179</v>
      </c>
    </row>
    <row r="2152" spans="2:7" ht="15" thickBot="1">
      <c r="B2152" s="216" t="s">
        <v>901</v>
      </c>
    </row>
    <row r="2153" spans="2:7">
      <c r="B2153" s="170" t="s">
        <v>897</v>
      </c>
      <c r="C2153" s="171" t="s">
        <v>319</v>
      </c>
      <c r="D2153" s="171" t="s">
        <v>320</v>
      </c>
      <c r="E2153" s="171" t="s">
        <v>898</v>
      </c>
      <c r="F2153" s="172" t="s">
        <v>899</v>
      </c>
      <c r="G2153" s="139"/>
    </row>
    <row r="2154" spans="2:7" ht="15" thickBot="1">
      <c r="B2154" s="218" t="s">
        <v>1286</v>
      </c>
      <c r="C2154" s="202" t="s">
        <v>916</v>
      </c>
      <c r="D2154" s="203">
        <v>6.6666666666666666E-2</v>
      </c>
      <c r="E2154" s="204">
        <f>+'FP OPERATIVO'!F37</f>
        <v>400346.36479999998</v>
      </c>
      <c r="F2154" s="206">
        <f>+ROUND((D2154*E2154),0)</f>
        <v>26690</v>
      </c>
      <c r="G2154" s="142"/>
    </row>
    <row r="2155" spans="2:7" ht="15" thickBot="1">
      <c r="B2155" s="212"/>
      <c r="C2155" s="184">
        <f>+G2155/$G$2170</f>
        <v>0.20225519467725558</v>
      </c>
      <c r="D2155" s="190"/>
      <c r="F2155" s="212" t="s">
        <v>900</v>
      </c>
      <c r="G2155" s="149">
        <f>+SUM(F2154)</f>
        <v>26690</v>
      </c>
    </row>
    <row r="2156" spans="2:7" ht="15" thickBot="1">
      <c r="B2156" s="216" t="s">
        <v>917</v>
      </c>
    </row>
    <row r="2157" spans="2:7">
      <c r="B2157" s="170" t="s">
        <v>897</v>
      </c>
      <c r="C2157" s="171" t="s">
        <v>319</v>
      </c>
      <c r="D2157" s="171" t="s">
        <v>320</v>
      </c>
      <c r="E2157" s="171" t="s">
        <v>898</v>
      </c>
      <c r="F2157" s="172" t="s">
        <v>899</v>
      </c>
      <c r="G2157" s="139"/>
    </row>
    <row r="2158" spans="2:7" ht="15" thickBot="1">
      <c r="B2158" s="218" t="s">
        <v>905</v>
      </c>
      <c r="C2158" s="202" t="s">
        <v>906</v>
      </c>
      <c r="D2158" s="203">
        <v>0.05</v>
      </c>
      <c r="E2158" s="204">
        <f>+G2155</f>
        <v>26690</v>
      </c>
      <c r="F2158" s="206">
        <f>+ROUND((D2158*E2158),0)</f>
        <v>1335</v>
      </c>
      <c r="G2158" s="142"/>
    </row>
    <row r="2159" spans="2:7" ht="15" thickBot="1">
      <c r="B2159" s="212"/>
      <c r="C2159" s="184">
        <f>+G2159/$G$2170</f>
        <v>1.0116548703414619E-2</v>
      </c>
      <c r="D2159" s="190"/>
      <c r="F2159" s="212" t="s">
        <v>900</v>
      </c>
      <c r="G2159" s="149">
        <f>+SUM(F2158)</f>
        <v>1335</v>
      </c>
    </row>
    <row r="2160" spans="2:7" ht="15" thickBot="1">
      <c r="B2160" s="216" t="s">
        <v>1203</v>
      </c>
    </row>
    <row r="2161" spans="2:7">
      <c r="B2161" s="170" t="s">
        <v>897</v>
      </c>
      <c r="C2161" s="171" t="s">
        <v>319</v>
      </c>
      <c r="D2161" s="171" t="s">
        <v>320</v>
      </c>
      <c r="E2161" s="171" t="s">
        <v>898</v>
      </c>
      <c r="F2161" s="172" t="s">
        <v>899</v>
      </c>
      <c r="G2161" s="139"/>
    </row>
    <row r="2162" spans="2:7" ht="29.5" thickBot="1">
      <c r="B2162" s="218" t="s">
        <v>1287</v>
      </c>
      <c r="C2162" s="202" t="s">
        <v>198</v>
      </c>
      <c r="D2162" s="203">
        <v>0.1</v>
      </c>
      <c r="E2162" s="204">
        <f>+EQUIPOS!C43</f>
        <v>78000</v>
      </c>
      <c r="F2162" s="206">
        <f>+ROUND((D2162*E2162),0)</f>
        <v>7800</v>
      </c>
      <c r="G2162" s="142"/>
    </row>
    <row r="2163" spans="2:7" ht="15" thickBot="1">
      <c r="B2163" s="212"/>
      <c r="C2163" s="184">
        <f>+G2163/$G$2170</f>
        <v>5.9107925008714632E-2</v>
      </c>
      <c r="D2163" s="190"/>
      <c r="F2163" s="212" t="s">
        <v>900</v>
      </c>
      <c r="G2163" s="149">
        <f>+SUM(F2162)</f>
        <v>7800</v>
      </c>
    </row>
    <row r="2164" spans="2:7">
      <c r="B2164" s="212"/>
      <c r="C2164" s="184"/>
      <c r="D2164" s="190"/>
      <c r="F2164" s="212"/>
      <c r="G2164" s="302"/>
    </row>
    <row r="2165" spans="2:7" ht="15" thickBot="1">
      <c r="B2165" s="216" t="s">
        <v>1262</v>
      </c>
    </row>
    <row r="2166" spans="2:7">
      <c r="B2166" s="170" t="s">
        <v>897</v>
      </c>
      <c r="C2166" s="171" t="s">
        <v>319</v>
      </c>
      <c r="D2166" s="171" t="s">
        <v>320</v>
      </c>
      <c r="E2166" s="171" t="s">
        <v>898</v>
      </c>
      <c r="F2166" s="172" t="s">
        <v>899</v>
      </c>
      <c r="G2166" s="139"/>
    </row>
    <row r="2167" spans="2:7" ht="15" thickBot="1">
      <c r="B2167" s="218" t="s">
        <v>1218</v>
      </c>
      <c r="C2167" s="202" t="s">
        <v>23</v>
      </c>
      <c r="D2167" s="203">
        <v>4.3515999999999997E-3</v>
      </c>
      <c r="E2167" s="204">
        <f>+EQUIPOS!C53</f>
        <v>450000</v>
      </c>
      <c r="F2167" s="206">
        <f>+ROUND((D2167*E2167),0)</f>
        <v>1958</v>
      </c>
      <c r="G2167" s="142"/>
    </row>
    <row r="2168" spans="2:7" ht="15" thickBot="1">
      <c r="B2168" s="212"/>
      <c r="C2168" s="184">
        <f>+G2168/$G$2170</f>
        <v>1.4837604765008108E-2</v>
      </c>
      <c r="D2168" s="190"/>
      <c r="F2168" s="212" t="s">
        <v>900</v>
      </c>
      <c r="G2168" s="149">
        <f>+SUM(F2167)</f>
        <v>1958</v>
      </c>
    </row>
    <row r="2169" spans="2:7" ht="15" thickBot="1"/>
    <row r="2170" spans="2:7" ht="15" thickBot="1">
      <c r="C2170" s="65"/>
      <c r="D2170" s="65"/>
      <c r="E2170" s="67" t="s">
        <v>908</v>
      </c>
      <c r="F2170" s="65"/>
      <c r="G2170" s="160">
        <f>+SUM(G2144:G2168)</f>
        <v>131962</v>
      </c>
    </row>
    <row r="2171" spans="2:7" ht="15" thickBot="1">
      <c r="B2171" s="155"/>
      <c r="C2171" s="155"/>
    </row>
    <row r="2172" spans="2:7" ht="19.25" customHeight="1">
      <c r="B2172" s="1721"/>
      <c r="C2172" s="1770" t="s">
        <v>1175</v>
      </c>
      <c r="D2172" s="1770"/>
      <c r="E2172" s="1770"/>
      <c r="F2172" s="1770"/>
      <c r="G2172" s="1771"/>
    </row>
    <row r="2173" spans="2:7" ht="19.25" customHeight="1">
      <c r="B2173" s="1722"/>
      <c r="C2173" s="1772"/>
      <c r="D2173" s="1772"/>
      <c r="E2173" s="1772"/>
      <c r="F2173" s="1772"/>
      <c r="G2173" s="1773"/>
    </row>
    <row r="2174" spans="2:7" ht="19.25" customHeight="1">
      <c r="B2174" s="1722"/>
      <c r="C2174" s="1772"/>
      <c r="D2174" s="1772"/>
      <c r="E2174" s="1772"/>
      <c r="F2174" s="1772"/>
      <c r="G2174" s="1773"/>
    </row>
    <row r="2175" spans="2:7" ht="19.25" customHeight="1">
      <c r="B2175" s="1722"/>
      <c r="C2175" s="1772"/>
      <c r="D2175" s="1772"/>
      <c r="E2175" s="1772"/>
      <c r="F2175" s="1772"/>
      <c r="G2175" s="1773"/>
    </row>
    <row r="2176" spans="2:7" ht="19.25" customHeight="1" thickBot="1">
      <c r="B2176" s="1723"/>
      <c r="C2176" s="1774"/>
      <c r="D2176" s="1774"/>
      <c r="E2176" s="1774"/>
      <c r="F2176" s="1774"/>
      <c r="G2176" s="1775"/>
    </row>
    <row r="2177" spans="2:7">
      <c r="B2177" s="1724" t="s">
        <v>890</v>
      </c>
      <c r="C2177" s="1726"/>
      <c r="D2177" s="1726"/>
      <c r="E2177" s="1733" t="s">
        <v>891</v>
      </c>
      <c r="F2177" s="1735"/>
      <c r="G2177" s="1736"/>
    </row>
    <row r="2178" spans="2:7">
      <c r="B2178" s="1727"/>
      <c r="C2178" s="1729"/>
      <c r="D2178" s="1729"/>
      <c r="E2178" s="1734"/>
      <c r="F2178" s="1737"/>
      <c r="G2178" s="1738"/>
    </row>
    <row r="2179" spans="2:7">
      <c r="B2179" s="1727"/>
      <c r="C2179" s="1729"/>
      <c r="D2179" s="1729"/>
      <c r="E2179" s="332" t="s">
        <v>892</v>
      </c>
      <c r="F2179" s="1739"/>
      <c r="G2179" s="1740"/>
    </row>
    <row r="2180" spans="2:7">
      <c r="B2180" s="1727"/>
      <c r="C2180" s="1729"/>
      <c r="D2180" s="1729"/>
      <c r="E2180" s="332" t="s">
        <v>893</v>
      </c>
      <c r="F2180" s="1739"/>
      <c r="G2180" s="1740"/>
    </row>
    <row r="2181" spans="2:7">
      <c r="B2181" s="1727"/>
      <c r="C2181" s="1729"/>
      <c r="D2181" s="1729"/>
      <c r="E2181" s="1734" t="s">
        <v>894</v>
      </c>
      <c r="F2181" s="1742"/>
      <c r="G2181" s="1743"/>
    </row>
    <row r="2182" spans="2:7" ht="15" thickBot="1">
      <c r="B2182" s="1730"/>
      <c r="C2182" s="1732"/>
      <c r="D2182" s="1732"/>
      <c r="E2182" s="1741"/>
      <c r="F2182" s="1744"/>
      <c r="G2182" s="1745"/>
    </row>
    <row r="2183" spans="2:7">
      <c r="B2183" s="1755" t="str">
        <f>+PRESUPUESTO!$A$2</f>
        <v>OBJETO: MEJORAMIENTO Y ADECUACIÓN DE LAS VIAS URBANAS DEL MUNICIPIO DE SANTA FE DE ANTIOQUIA</v>
      </c>
      <c r="C2183" s="1757"/>
      <c r="D2183" s="1757"/>
      <c r="E2183" s="1757"/>
      <c r="F2183" s="1757"/>
      <c r="G2183" s="1758"/>
    </row>
    <row r="2184" spans="2:7" ht="15" thickBot="1">
      <c r="B2184" s="1759"/>
      <c r="C2184" s="1761"/>
      <c r="D2184" s="1761"/>
      <c r="E2184" s="1761"/>
      <c r="F2184" s="1761"/>
      <c r="G2184" s="1762"/>
    </row>
    <row r="2185" spans="2:7" ht="15" thickBot="1">
      <c r="B2185" s="167" t="s">
        <v>1</v>
      </c>
      <c r="C2185" s="2059"/>
      <c r="D2185" s="1763"/>
      <c r="E2185" s="1763"/>
      <c r="F2185" s="2060"/>
      <c r="G2185" s="168" t="s">
        <v>193</v>
      </c>
    </row>
    <row r="2186" spans="2:7" ht="33" customHeight="1" thickBot="1">
      <c r="B2186" s="145" t="str">
        <f>+P!A86</f>
        <v>17.4.1</v>
      </c>
      <c r="C2186" s="2061" t="str">
        <f>+P!B86</f>
        <v>Suministro e instalación de mortero 1:4 para ENCOROZADA de mamaposteria, incluye malla tipo anje, chapas  y todo lo necesario para su correcto insstalacion</v>
      </c>
      <c r="D2186" s="1765"/>
      <c r="E2186" s="1765"/>
      <c r="F2186" s="2062"/>
      <c r="G2186" s="169" t="str">
        <f>+P!C86</f>
        <v>ml</v>
      </c>
    </row>
    <row r="2187" spans="2:7" ht="15" thickBot="1">
      <c r="B2187" s="216" t="s">
        <v>896</v>
      </c>
    </row>
    <row r="2188" spans="2:7">
      <c r="B2188" s="170" t="s">
        <v>897</v>
      </c>
      <c r="C2188" s="171" t="s">
        <v>319</v>
      </c>
      <c r="D2188" s="171" t="s">
        <v>320</v>
      </c>
      <c r="E2188" s="171" t="s">
        <v>898</v>
      </c>
      <c r="F2188" s="172" t="s">
        <v>899</v>
      </c>
      <c r="G2188" s="139"/>
    </row>
    <row r="2189" spans="2:7">
      <c r="B2189" s="217" t="s">
        <v>1288</v>
      </c>
      <c r="C2189" s="208" t="s">
        <v>10</v>
      </c>
      <c r="D2189" s="209">
        <v>2.835E-2</v>
      </c>
      <c r="E2189" s="210">
        <f>+'CONCRETOS Y MORTERO'!G26</f>
        <v>538996.55000000005</v>
      </c>
      <c r="F2189" s="211">
        <f t="shared" ref="F2189:F2190" si="18">+ROUND((D2189*E2189),0)</f>
        <v>15281</v>
      </c>
      <c r="G2189" s="147"/>
    </row>
    <row r="2190" spans="2:7">
      <c r="B2190" s="217" t="s">
        <v>1083</v>
      </c>
      <c r="C2190" s="208" t="s">
        <v>10</v>
      </c>
      <c r="D2190" s="209">
        <v>0.3</v>
      </c>
      <c r="E2190" s="210">
        <f>+MATERIALES!D140</f>
        <v>2400</v>
      </c>
      <c r="F2190" s="211">
        <f t="shared" si="18"/>
        <v>720</v>
      </c>
      <c r="G2190" s="147"/>
    </row>
    <row r="2191" spans="2:7" ht="15" thickBot="1">
      <c r="B2191" s="212"/>
      <c r="C2191" s="184">
        <f>+G2191/$G$2170</f>
        <v>0.12125460359800548</v>
      </c>
      <c r="D2191" s="190"/>
      <c r="F2191" s="212" t="s">
        <v>900</v>
      </c>
      <c r="G2191" s="149">
        <f>+SUM(F2189:F2190)</f>
        <v>16001</v>
      </c>
    </row>
    <row r="2192" spans="2:7" ht="15" thickBot="1">
      <c r="B2192" s="216" t="s">
        <v>901</v>
      </c>
    </row>
    <row r="2193" spans="2:7">
      <c r="B2193" s="170" t="s">
        <v>897</v>
      </c>
      <c r="C2193" s="171" t="s">
        <v>319</v>
      </c>
      <c r="D2193" s="171" t="s">
        <v>320</v>
      </c>
      <c r="E2193" s="171" t="s">
        <v>898</v>
      </c>
      <c r="F2193" s="172" t="s">
        <v>899</v>
      </c>
      <c r="G2193" s="139"/>
    </row>
    <row r="2194" spans="2:7" ht="15" thickBot="1">
      <c r="B2194" s="218" t="s">
        <v>1225</v>
      </c>
      <c r="C2194" s="202" t="s">
        <v>916</v>
      </c>
      <c r="D2194" s="203">
        <v>9.8443096828452856E-2</v>
      </c>
      <c r="E2194" s="204">
        <f>+'FP OPERATIVO'!F35</f>
        <v>295642.2840888889</v>
      </c>
      <c r="F2194" s="206">
        <f>+ROUND((D2194*E2194),0)</f>
        <v>29104</v>
      </c>
      <c r="G2194" s="142"/>
    </row>
    <row r="2195" spans="2:7" ht="15" thickBot="1">
      <c r="B2195" s="212"/>
      <c r="C2195" s="184">
        <f>+G2195/$G$2170</f>
        <v>0.22054833967354237</v>
      </c>
      <c r="D2195" s="190"/>
      <c r="F2195" s="212" t="s">
        <v>900</v>
      </c>
      <c r="G2195" s="149">
        <f>+SUM(F2194)</f>
        <v>29104</v>
      </c>
    </row>
    <row r="2196" spans="2:7" ht="15" thickBot="1">
      <c r="B2196" s="216" t="s">
        <v>917</v>
      </c>
    </row>
    <row r="2197" spans="2:7">
      <c r="B2197" s="170" t="s">
        <v>897</v>
      </c>
      <c r="C2197" s="171" t="s">
        <v>319</v>
      </c>
      <c r="D2197" s="171" t="s">
        <v>320</v>
      </c>
      <c r="E2197" s="171" t="s">
        <v>898</v>
      </c>
      <c r="F2197" s="172" t="s">
        <v>899</v>
      </c>
      <c r="G2197" s="139"/>
    </row>
    <row r="2198" spans="2:7" ht="15" thickBot="1">
      <c r="B2198" s="218" t="s">
        <v>905</v>
      </c>
      <c r="C2198" s="202" t="s">
        <v>906</v>
      </c>
      <c r="D2198" s="203">
        <v>0.05</v>
      </c>
      <c r="E2198" s="204">
        <f>+G2195</f>
        <v>29104</v>
      </c>
      <c r="F2198" s="206">
        <f>+ROUND((D2198*E2198),0)</f>
        <v>1455</v>
      </c>
      <c r="G2198" s="142"/>
    </row>
    <row r="2199" spans="2:7" ht="15" thickBot="1">
      <c r="B2199" s="212"/>
      <c r="C2199" s="184">
        <f>+G2199/$G$2170</f>
        <v>1.1025901395856384E-2</v>
      </c>
      <c r="D2199" s="190"/>
      <c r="F2199" s="212" t="s">
        <v>900</v>
      </c>
      <c r="G2199" s="149">
        <f>+SUM(F2198)</f>
        <v>1455</v>
      </c>
    </row>
    <row r="2200" spans="2:7" ht="15" thickBot="1">
      <c r="B2200" s="216" t="s">
        <v>1203</v>
      </c>
    </row>
    <row r="2201" spans="2:7">
      <c r="B2201" s="170" t="s">
        <v>897</v>
      </c>
      <c r="C2201" s="171" t="s">
        <v>319</v>
      </c>
      <c r="D2201" s="171" t="s">
        <v>320</v>
      </c>
      <c r="E2201" s="171" t="s">
        <v>898</v>
      </c>
      <c r="F2201" s="187" t="s">
        <v>899</v>
      </c>
      <c r="G2201" s="143"/>
    </row>
    <row r="2202" spans="2:7">
      <c r="B2202" s="233" t="s">
        <v>1277</v>
      </c>
      <c r="C2202" s="208" t="s">
        <v>198</v>
      </c>
      <c r="D2202" s="209">
        <v>0.1</v>
      </c>
      <c r="E2202" s="210">
        <f>+EQUIPOS!C35</f>
        <v>5500</v>
      </c>
      <c r="F2202" s="213">
        <f t="shared" ref="F2202:F2203" si="19">+ROUND((D2202*E2202),0)</f>
        <v>550</v>
      </c>
      <c r="G2202" s="162"/>
    </row>
    <row r="2203" spans="2:7" ht="29.5" thickBot="1">
      <c r="B2203" s="223" t="s">
        <v>1194</v>
      </c>
      <c r="C2203" s="202" t="s">
        <v>198</v>
      </c>
      <c r="D2203" s="203">
        <v>0.1</v>
      </c>
      <c r="E2203" s="204">
        <f>+EQUIPOS!C36</f>
        <v>600</v>
      </c>
      <c r="F2203" s="205">
        <f t="shared" si="19"/>
        <v>60</v>
      </c>
      <c r="G2203" s="162"/>
    </row>
    <row r="2204" spans="2:7" ht="15" thickBot="1">
      <c r="B2204" s="212"/>
      <c r="C2204" s="184">
        <f>+G2204/$G$2170</f>
        <v>4.6225428532456316E-3</v>
      </c>
      <c r="D2204" s="190"/>
      <c r="F2204" s="212" t="s">
        <v>900</v>
      </c>
      <c r="G2204" s="149">
        <f>+SUM(F2202:F2203)</f>
        <v>610</v>
      </c>
    </row>
    <row r="2205" spans="2:7" ht="15" thickBot="1"/>
    <row r="2206" spans="2:7" ht="15" thickBot="1">
      <c r="C2206" s="65"/>
      <c r="D2206" s="65"/>
      <c r="E2206" s="67" t="s">
        <v>908</v>
      </c>
      <c r="F2206" s="65"/>
      <c r="G2206" s="160">
        <f>+SUM(G2188:G2204)</f>
        <v>47170</v>
      </c>
    </row>
    <row r="2207" spans="2:7" ht="15" thickBot="1">
      <c r="B2207" s="155"/>
      <c r="C2207" s="155"/>
    </row>
    <row r="2208" spans="2:7" ht="15" thickBot="1">
      <c r="B2208" s="2063" t="s">
        <v>1289</v>
      </c>
      <c r="C2208" s="2064"/>
      <c r="D2208" s="2064"/>
      <c r="E2208" s="2064"/>
      <c r="F2208" s="2064"/>
      <c r="G2208" s="2065"/>
    </row>
    <row r="2209" spans="2:7" ht="18" customHeight="1">
      <c r="B2209" s="1721"/>
      <c r="C2209" s="1770" t="s">
        <v>1175</v>
      </c>
      <c r="D2209" s="1770"/>
      <c r="E2209" s="1770"/>
      <c r="F2209" s="1770"/>
      <c r="G2209" s="1771"/>
    </row>
    <row r="2210" spans="2:7" ht="18" customHeight="1">
      <c r="B2210" s="1722"/>
      <c r="C2210" s="1772"/>
      <c r="D2210" s="1772"/>
      <c r="E2210" s="1772"/>
      <c r="F2210" s="1772"/>
      <c r="G2210" s="1773"/>
    </row>
    <row r="2211" spans="2:7" ht="18" customHeight="1">
      <c r="B2211" s="1722"/>
      <c r="C2211" s="1772"/>
      <c r="D2211" s="1772"/>
      <c r="E2211" s="1772"/>
      <c r="F2211" s="1772"/>
      <c r="G2211" s="1773"/>
    </row>
    <row r="2212" spans="2:7" ht="18" customHeight="1">
      <c r="B2212" s="1722"/>
      <c r="C2212" s="1772"/>
      <c r="D2212" s="1772"/>
      <c r="E2212" s="1772"/>
      <c r="F2212" s="1772"/>
      <c r="G2212" s="1773"/>
    </row>
    <row r="2213" spans="2:7" ht="18" customHeight="1" thickBot="1">
      <c r="B2213" s="1723"/>
      <c r="C2213" s="1774"/>
      <c r="D2213" s="1774"/>
      <c r="E2213" s="1774"/>
      <c r="F2213" s="1774"/>
      <c r="G2213" s="1775"/>
    </row>
    <row r="2214" spans="2:7">
      <c r="B2214" s="1724" t="s">
        <v>890</v>
      </c>
      <c r="C2214" s="1726"/>
      <c r="D2214" s="1726"/>
      <c r="E2214" s="1733" t="s">
        <v>891</v>
      </c>
      <c r="F2214" s="1735"/>
      <c r="G2214" s="1736"/>
    </row>
    <row r="2215" spans="2:7">
      <c r="B2215" s="1727"/>
      <c r="C2215" s="1729"/>
      <c r="D2215" s="1729"/>
      <c r="E2215" s="1734"/>
      <c r="F2215" s="1737"/>
      <c r="G2215" s="1738"/>
    </row>
    <row r="2216" spans="2:7">
      <c r="B2216" s="1727"/>
      <c r="C2216" s="1729"/>
      <c r="D2216" s="1729"/>
      <c r="E2216" s="332" t="s">
        <v>892</v>
      </c>
      <c r="F2216" s="1739"/>
      <c r="G2216" s="1740"/>
    </row>
    <row r="2217" spans="2:7">
      <c r="B2217" s="1727"/>
      <c r="C2217" s="1729"/>
      <c r="D2217" s="1729"/>
      <c r="E2217" s="332" t="s">
        <v>893</v>
      </c>
      <c r="F2217" s="1739"/>
      <c r="G2217" s="1740"/>
    </row>
    <row r="2218" spans="2:7">
      <c r="B2218" s="1727"/>
      <c r="C2218" s="1729"/>
      <c r="D2218" s="1729"/>
      <c r="E2218" s="1734" t="s">
        <v>894</v>
      </c>
      <c r="F2218" s="1742"/>
      <c r="G2218" s="1743"/>
    </row>
    <row r="2219" spans="2:7" ht="15" thickBot="1">
      <c r="B2219" s="1730"/>
      <c r="C2219" s="1732"/>
      <c r="D2219" s="1732"/>
      <c r="E2219" s="1741"/>
      <c r="F2219" s="1744"/>
      <c r="G2219" s="1745"/>
    </row>
    <row r="2220" spans="2:7">
      <c r="B2220" s="1755" t="str">
        <f>+PRESUPUESTO!$A$2</f>
        <v>OBJETO: MEJORAMIENTO Y ADECUACIÓN DE LAS VIAS URBANAS DEL MUNICIPIO DE SANTA FE DE ANTIOQUIA</v>
      </c>
      <c r="C2220" s="1757"/>
      <c r="D2220" s="1757"/>
      <c r="E2220" s="1757"/>
      <c r="F2220" s="1757"/>
      <c r="G2220" s="1758"/>
    </row>
    <row r="2221" spans="2:7" ht="15" thickBot="1">
      <c r="B2221" s="1759"/>
      <c r="C2221" s="1761"/>
      <c r="D2221" s="1761"/>
      <c r="E2221" s="1761"/>
      <c r="F2221" s="1761"/>
      <c r="G2221" s="1762"/>
    </row>
    <row r="2222" spans="2:7" ht="62.5" customHeight="1" thickBot="1">
      <c r="B2222" s="145" t="str">
        <f>+P!A88</f>
        <v>18.1</v>
      </c>
      <c r="C2222" s="2061" t="str">
        <f>+P!B88</f>
        <v>Construcción de MAMPOSTERÍA EN LADRILLO PARA REVOCAR O ENCHAPAR una cara o dos caras, DE 15 x 20 x 40 cm. ESPESOR DE 15 cm. Incluye el suministro y transporte del ladrillo, el mortero de pega 1:4 espesor max=0.01 m y todos los demás elementos necesarios para su correcta construcción y funcionamiento.</v>
      </c>
      <c r="D2222" s="1765"/>
      <c r="E2222" s="1765"/>
      <c r="F2222" s="2062"/>
      <c r="G2222" s="169" t="str">
        <f>+P!C88</f>
        <v>m2</v>
      </c>
    </row>
    <row r="2223" spans="2:7" ht="15" thickBot="1">
      <c r="B2223" s="216" t="s">
        <v>896</v>
      </c>
    </row>
    <row r="2224" spans="2:7">
      <c r="B2224" s="170" t="s">
        <v>897</v>
      </c>
      <c r="C2224" s="171" t="s">
        <v>319</v>
      </c>
      <c r="D2224" s="171" t="s">
        <v>320</v>
      </c>
      <c r="E2224" s="171" t="s">
        <v>898</v>
      </c>
      <c r="F2224" s="172" t="s">
        <v>899</v>
      </c>
      <c r="G2224" s="139"/>
    </row>
    <row r="2225" spans="2:7">
      <c r="B2225" s="217" t="s">
        <v>1072</v>
      </c>
      <c r="C2225" s="208" t="s">
        <v>23</v>
      </c>
      <c r="D2225" s="209">
        <v>12.195119999999999</v>
      </c>
      <c r="E2225" s="210">
        <f>+MATERIALES!D129</f>
        <v>3400</v>
      </c>
      <c r="F2225" s="211">
        <f>+ROUND((D2225*E2225),0)</f>
        <v>41463</v>
      </c>
      <c r="G2225" s="147"/>
    </row>
    <row r="2226" spans="2:7" ht="15" thickBot="1">
      <c r="B2226" s="218" t="s">
        <v>1237</v>
      </c>
      <c r="C2226" s="202" t="s">
        <v>14</v>
      </c>
      <c r="D2226" s="203">
        <v>3.2399999999999998E-2</v>
      </c>
      <c r="E2226" s="204">
        <f>+'CONCRETOS Y MORTERO'!G26</f>
        <v>538996.55000000005</v>
      </c>
      <c r="F2226" s="206">
        <f>+ROUND((D2226*E2226),0)</f>
        <v>17463</v>
      </c>
      <c r="G2226" s="142"/>
    </row>
    <row r="2227" spans="2:7" ht="15" thickBot="1">
      <c r="B2227" s="212"/>
      <c r="C2227" s="184">
        <f>+G2227/$G$2248</f>
        <v>0.47431078198575283</v>
      </c>
      <c r="D2227" s="190"/>
      <c r="F2227" s="212" t="s">
        <v>900</v>
      </c>
      <c r="G2227" s="149">
        <f>+SUM(F2225:F2226)</f>
        <v>58926</v>
      </c>
    </row>
    <row r="2228" spans="2:7" ht="15" thickBot="1">
      <c r="B2228" s="216" t="s">
        <v>901</v>
      </c>
    </row>
    <row r="2229" spans="2:7">
      <c r="B2229" s="170" t="s">
        <v>897</v>
      </c>
      <c r="C2229" s="171" t="s">
        <v>319</v>
      </c>
      <c r="D2229" s="171" t="s">
        <v>320</v>
      </c>
      <c r="E2229" s="171" t="s">
        <v>898</v>
      </c>
      <c r="F2229" s="172" t="s">
        <v>899</v>
      </c>
      <c r="G2229" s="139"/>
    </row>
    <row r="2230" spans="2:7" ht="15" thickBot="1">
      <c r="B2230" s="218" t="s">
        <v>1290</v>
      </c>
      <c r="C2230" s="202" t="s">
        <v>916</v>
      </c>
      <c r="D2230" s="203">
        <v>0.18420890000000001</v>
      </c>
      <c r="E2230" s="204">
        <f>+'FP OPERATIVO'!F36</f>
        <v>302186.41694755561</v>
      </c>
      <c r="F2230" s="206">
        <f>+ROUND((D2230*E2230),0)</f>
        <v>55665</v>
      </c>
      <c r="G2230" s="142"/>
    </row>
    <row r="2231" spans="2:7" ht="15" thickBot="1">
      <c r="B2231" s="212"/>
      <c r="C2231" s="184">
        <f>+G2231/$G$2248</f>
        <v>0.44806214029862762</v>
      </c>
      <c r="D2231" s="190"/>
      <c r="F2231" s="212" t="s">
        <v>900</v>
      </c>
      <c r="G2231" s="149">
        <f>+SUM(F2230)</f>
        <v>55665</v>
      </c>
    </row>
    <row r="2232" spans="2:7" ht="15" thickBot="1">
      <c r="B2232" s="216" t="s">
        <v>917</v>
      </c>
    </row>
    <row r="2233" spans="2:7">
      <c r="B2233" s="170" t="s">
        <v>897</v>
      </c>
      <c r="C2233" s="171" t="s">
        <v>319</v>
      </c>
      <c r="D2233" s="171" t="s">
        <v>320</v>
      </c>
      <c r="E2233" s="171" t="s">
        <v>898</v>
      </c>
      <c r="F2233" s="172" t="s">
        <v>899</v>
      </c>
      <c r="G2233" s="139"/>
    </row>
    <row r="2234" spans="2:7" ht="15" thickBot="1">
      <c r="B2234" s="218" t="s">
        <v>905</v>
      </c>
      <c r="C2234" s="202" t="s">
        <v>906</v>
      </c>
      <c r="D2234" s="203">
        <v>0.05</v>
      </c>
      <c r="E2234" s="204">
        <f>+G2231</f>
        <v>55665</v>
      </c>
      <c r="F2234" s="206">
        <f>+ROUND((D2234*E2234),0)+1</f>
        <v>2784</v>
      </c>
      <c r="G2234" s="142"/>
    </row>
    <row r="2235" spans="2:7" ht="15" thickBot="1">
      <c r="B2235" s="212"/>
      <c r="C2235" s="184">
        <f>+G2235/$G$2248</f>
        <v>2.2409143961041576E-2</v>
      </c>
      <c r="D2235" s="190"/>
      <c r="F2235" s="212" t="s">
        <v>900</v>
      </c>
      <c r="G2235" s="149">
        <f>+SUM(F2234)</f>
        <v>2784</v>
      </c>
    </row>
    <row r="2236" spans="2:7" ht="15" thickBot="1">
      <c r="B2236" s="216" t="s">
        <v>1203</v>
      </c>
    </row>
    <row r="2237" spans="2:7">
      <c r="B2237" s="170" t="s">
        <v>897</v>
      </c>
      <c r="C2237" s="171" t="s">
        <v>319</v>
      </c>
      <c r="D2237" s="171" t="s">
        <v>320</v>
      </c>
      <c r="E2237" s="171" t="s">
        <v>898</v>
      </c>
      <c r="F2237" s="172" t="s">
        <v>899</v>
      </c>
      <c r="G2237" s="139"/>
    </row>
    <row r="2238" spans="2:7">
      <c r="B2238" s="217" t="s">
        <v>1144</v>
      </c>
      <c r="C2238" s="208" t="s">
        <v>198</v>
      </c>
      <c r="D2238" s="209">
        <v>0.02</v>
      </c>
      <c r="E2238" s="210">
        <f>+EQUIPOS!C48</f>
        <v>140000</v>
      </c>
      <c r="F2238" s="211">
        <f>+ROUND((D2238*E2238),0)</f>
        <v>2800</v>
      </c>
      <c r="G2238" s="147"/>
    </row>
    <row r="2239" spans="2:7" ht="29">
      <c r="B2239" s="217" t="s">
        <v>1193</v>
      </c>
      <c r="C2239" s="208" t="s">
        <v>198</v>
      </c>
      <c r="D2239" s="209">
        <v>0.112</v>
      </c>
      <c r="E2239" s="210">
        <f>+EQUIPOS!C35</f>
        <v>5500</v>
      </c>
      <c r="F2239" s="211">
        <f>+ROUND((D2239*E2239),0)</f>
        <v>616</v>
      </c>
      <c r="G2239" s="147"/>
    </row>
    <row r="2240" spans="2:7" ht="29.5" thickBot="1">
      <c r="B2240" s="218" t="s">
        <v>1194</v>
      </c>
      <c r="C2240" s="202" t="s">
        <v>198</v>
      </c>
      <c r="D2240" s="203">
        <v>0.112</v>
      </c>
      <c r="E2240" s="204">
        <f>+EQUIPOS!C36</f>
        <v>600</v>
      </c>
      <c r="F2240" s="206">
        <f>+ROUND((D2240*E2240),0)</f>
        <v>67</v>
      </c>
      <c r="G2240" s="142"/>
    </row>
    <row r="2241" spans="2:11" ht="15" thickBot="1">
      <c r="B2241" s="212"/>
      <c r="C2241" s="184">
        <f>+G2241/$G$2248</f>
        <v>2.8035577735742747E-2</v>
      </c>
      <c r="D2241" s="190"/>
      <c r="F2241" s="212" t="s">
        <v>900</v>
      </c>
      <c r="G2241" s="149">
        <f>+SUM(F2238:F2240)</f>
        <v>3483</v>
      </c>
    </row>
    <row r="2242" spans="2:11" ht="15" thickBot="1">
      <c r="B2242" s="216" t="s">
        <v>1205</v>
      </c>
    </row>
    <row r="2243" spans="2:11" ht="15" thickBot="1">
      <c r="B2243" s="267" t="s">
        <v>897</v>
      </c>
      <c r="C2243" s="226" t="s">
        <v>319</v>
      </c>
      <c r="D2243" s="226" t="s">
        <v>320</v>
      </c>
      <c r="E2243" s="226" t="s">
        <v>898</v>
      </c>
      <c r="F2243" s="227" t="s">
        <v>899</v>
      </c>
      <c r="G2243" s="143"/>
    </row>
    <row r="2244" spans="2:11">
      <c r="B2244" s="272" t="s">
        <v>1218</v>
      </c>
      <c r="C2244" s="268" t="s">
        <v>23</v>
      </c>
      <c r="D2244" s="269">
        <v>6.2529999999999999E-3</v>
      </c>
      <c r="E2244" s="270">
        <f>+EQUIPOS!$C$53</f>
        <v>450000</v>
      </c>
      <c r="F2244" s="271">
        <f>+ROUND((D2244*E2244),0)</f>
        <v>2814</v>
      </c>
      <c r="G2244" s="162"/>
    </row>
    <row r="2245" spans="2:11" ht="15" thickBot="1">
      <c r="B2245" s="223" t="s">
        <v>1187</v>
      </c>
      <c r="C2245" s="202" t="s">
        <v>23</v>
      </c>
      <c r="D2245" s="203">
        <v>0.56299999999999994</v>
      </c>
      <c r="E2245" s="204">
        <v>1000</v>
      </c>
      <c r="F2245" s="205">
        <f>+ROUND((D2245*E2245),0)</f>
        <v>563</v>
      </c>
      <c r="G2245" s="144"/>
    </row>
    <row r="2246" spans="2:11" ht="15" thickBot="1">
      <c r="B2246" s="212"/>
      <c r="C2246" s="184">
        <f>+G2246/$G$2248</f>
        <v>2.7182356018835271E-2</v>
      </c>
      <c r="D2246" s="190"/>
      <c r="F2246" s="212" t="s">
        <v>900</v>
      </c>
      <c r="G2246" s="149">
        <f>+SUM(F2244:F2245)</f>
        <v>3377</v>
      </c>
    </row>
    <row r="2247" spans="2:11" ht="15" thickBot="1"/>
    <row r="2248" spans="2:11" ht="15" thickBot="1">
      <c r="C2248" s="65"/>
      <c r="D2248" s="65"/>
      <c r="E2248" s="67" t="s">
        <v>908</v>
      </c>
      <c r="F2248" s="65"/>
      <c r="G2248" s="160">
        <f>+SUM(G2224:G2246)</f>
        <v>124235</v>
      </c>
      <c r="I2248" s="134"/>
      <c r="J2248" s="5"/>
      <c r="K2248" s="5"/>
    </row>
    <row r="2249" spans="2:11" ht="15" thickBot="1">
      <c r="J2249" s="63"/>
      <c r="K2249" s="302"/>
    </row>
    <row r="2250" spans="2:11" ht="19.25" customHeight="1">
      <c r="B2250" s="1721"/>
      <c r="C2250" s="1770" t="s">
        <v>1175</v>
      </c>
      <c r="D2250" s="1770"/>
      <c r="E2250" s="1770"/>
      <c r="F2250" s="1770"/>
      <c r="G2250" s="1771"/>
    </row>
    <row r="2251" spans="2:11" ht="19.25" customHeight="1">
      <c r="B2251" s="1722"/>
      <c r="C2251" s="1772"/>
      <c r="D2251" s="1772"/>
      <c r="E2251" s="1772"/>
      <c r="F2251" s="1772"/>
      <c r="G2251" s="1773"/>
    </row>
    <row r="2252" spans="2:11" ht="19.25" customHeight="1">
      <c r="B2252" s="1722"/>
      <c r="C2252" s="1772"/>
      <c r="D2252" s="1772"/>
      <c r="E2252" s="1772"/>
      <c r="F2252" s="1772"/>
      <c r="G2252" s="1773"/>
    </row>
    <row r="2253" spans="2:11" ht="19.25" customHeight="1">
      <c r="B2253" s="1722"/>
      <c r="C2253" s="1772"/>
      <c r="D2253" s="1772"/>
      <c r="E2253" s="1772"/>
      <c r="F2253" s="1772"/>
      <c r="G2253" s="1773"/>
    </row>
    <row r="2254" spans="2:11" ht="19.25" customHeight="1" thickBot="1">
      <c r="B2254" s="1723"/>
      <c r="C2254" s="1774"/>
      <c r="D2254" s="1774"/>
      <c r="E2254" s="1774"/>
      <c r="F2254" s="1774"/>
      <c r="G2254" s="1775"/>
    </row>
    <row r="2255" spans="2:11">
      <c r="B2255" s="1724" t="s">
        <v>890</v>
      </c>
      <c r="C2255" s="1726"/>
      <c r="D2255" s="1726"/>
      <c r="E2255" s="1733" t="s">
        <v>891</v>
      </c>
      <c r="F2255" s="1735"/>
      <c r="G2255" s="1736"/>
    </row>
    <row r="2256" spans="2:11">
      <c r="B2256" s="1727"/>
      <c r="C2256" s="1729"/>
      <c r="D2256" s="1729"/>
      <c r="E2256" s="1734"/>
      <c r="F2256" s="1737"/>
      <c r="G2256" s="1738"/>
    </row>
    <row r="2257" spans="2:7">
      <c r="B2257" s="1727"/>
      <c r="C2257" s="1729"/>
      <c r="D2257" s="1729"/>
      <c r="E2257" s="332" t="s">
        <v>892</v>
      </c>
      <c r="F2257" s="1739"/>
      <c r="G2257" s="1740"/>
    </row>
    <row r="2258" spans="2:7">
      <c r="B2258" s="1727"/>
      <c r="C2258" s="1729"/>
      <c r="D2258" s="1729"/>
      <c r="E2258" s="332" t="s">
        <v>893</v>
      </c>
      <c r="F2258" s="1739"/>
      <c r="G2258" s="1740"/>
    </row>
    <row r="2259" spans="2:7">
      <c r="B2259" s="1727"/>
      <c r="C2259" s="1729"/>
      <c r="D2259" s="1729"/>
      <c r="E2259" s="1734" t="s">
        <v>894</v>
      </c>
      <c r="F2259" s="1742"/>
      <c r="G2259" s="1743"/>
    </row>
    <row r="2260" spans="2:7" ht="15" thickBot="1">
      <c r="B2260" s="1730"/>
      <c r="C2260" s="1732"/>
      <c r="D2260" s="1732"/>
      <c r="E2260" s="1741"/>
      <c r="F2260" s="1744"/>
      <c r="G2260" s="1745"/>
    </row>
    <row r="2261" spans="2:7">
      <c r="B2261" s="1755" t="str">
        <f>+PRESUPUESTO!$A$2</f>
        <v>OBJETO: MEJORAMIENTO Y ADECUACIÓN DE LAS VIAS URBANAS DEL MUNICIPIO DE SANTA FE DE ANTIOQUIA</v>
      </c>
      <c r="C2261" s="1757"/>
      <c r="D2261" s="1757"/>
      <c r="E2261" s="1757"/>
      <c r="F2261" s="1757"/>
      <c r="G2261" s="1758"/>
    </row>
    <row r="2262" spans="2:7" ht="15" thickBot="1">
      <c r="B2262" s="1759"/>
      <c r="C2262" s="1761"/>
      <c r="D2262" s="1761"/>
      <c r="E2262" s="1761"/>
      <c r="F2262" s="1761"/>
      <c r="G2262" s="1762"/>
    </row>
    <row r="2263" spans="2:7" ht="15" thickBot="1">
      <c r="B2263" s="167" t="s">
        <v>1</v>
      </c>
      <c r="C2263" s="2059"/>
      <c r="D2263" s="1763"/>
      <c r="E2263" s="1763"/>
      <c r="F2263" s="2060"/>
      <c r="G2263" s="168" t="s">
        <v>193</v>
      </c>
    </row>
    <row r="2264" spans="2:7" ht="62.5" customHeight="1" thickBot="1">
      <c r="B2264" s="145" t="str">
        <f>+P!A89</f>
        <v>18.2</v>
      </c>
      <c r="C2264" s="2061" t="str">
        <f>+P!B89</f>
        <v>Construcción de MAMPOSTERÍA EN LADRILLO PARA REVOCAR O ENCHAPAR una cara o dos caras, DE 10 x 20 x 40 cm. ESPESOR DE 10 cm. Incluye el suministro y transporte del ladrillo, el mortero de pega 1:4 espesor max=0.01 m y todos los demás elementos necesarios para su correcta construcción y funcionamiento.</v>
      </c>
      <c r="D2264" s="1765"/>
      <c r="E2264" s="1765"/>
      <c r="F2264" s="2062"/>
      <c r="G2264" s="169" t="str">
        <f>+P!C89</f>
        <v>m2</v>
      </c>
    </row>
    <row r="2265" spans="2:7" ht="15" thickBot="1">
      <c r="B2265" s="216" t="s">
        <v>896</v>
      </c>
    </row>
    <row r="2266" spans="2:7">
      <c r="B2266" s="170" t="s">
        <v>897</v>
      </c>
      <c r="C2266" s="171" t="s">
        <v>319</v>
      </c>
      <c r="D2266" s="171" t="s">
        <v>320</v>
      </c>
      <c r="E2266" s="171" t="s">
        <v>898</v>
      </c>
      <c r="F2266" s="172" t="s">
        <v>899</v>
      </c>
      <c r="G2266" s="139"/>
    </row>
    <row r="2267" spans="2:7">
      <c r="B2267" s="217" t="s">
        <v>1073</v>
      </c>
      <c r="C2267" s="208" t="s">
        <v>23</v>
      </c>
      <c r="D2267" s="209">
        <v>12.195119999999999</v>
      </c>
      <c r="E2267" s="210">
        <f>+MATERIALES!D130</f>
        <v>1950</v>
      </c>
      <c r="F2267" s="211">
        <f>+ROUND((D2267*E2267),0)</f>
        <v>23780</v>
      </c>
      <c r="G2267" s="147"/>
    </row>
    <row r="2268" spans="2:7" ht="15" thickBot="1">
      <c r="B2268" s="218" t="s">
        <v>1237</v>
      </c>
      <c r="C2268" s="202" t="s">
        <v>14</v>
      </c>
      <c r="D2268" s="203">
        <v>2.1600000000000001E-2</v>
      </c>
      <c r="E2268" s="204">
        <f>+'CONCRETOS Y MORTERO'!G26</f>
        <v>538996.55000000005</v>
      </c>
      <c r="F2268" s="206">
        <f>+ROUND((D2268*E2268),0)</f>
        <v>11642</v>
      </c>
      <c r="G2268" s="142"/>
    </row>
    <row r="2269" spans="2:7" ht="15" thickBot="1">
      <c r="B2269" s="212"/>
      <c r="C2269" s="184">
        <f>+G2269/$G$2290</f>
        <v>0.55538656924693086</v>
      </c>
      <c r="D2269" s="190"/>
      <c r="F2269" s="212" t="s">
        <v>900</v>
      </c>
      <c r="G2269" s="149">
        <f>+SUM(F2267:F2268)</f>
        <v>35422</v>
      </c>
    </row>
    <row r="2270" spans="2:7" ht="15" thickBot="1">
      <c r="B2270" s="216" t="s">
        <v>901</v>
      </c>
    </row>
    <row r="2271" spans="2:7">
      <c r="B2271" s="170" t="s">
        <v>897</v>
      </c>
      <c r="C2271" s="171" t="s">
        <v>319</v>
      </c>
      <c r="D2271" s="171" t="s">
        <v>320</v>
      </c>
      <c r="E2271" s="171" t="s">
        <v>898</v>
      </c>
      <c r="F2271" s="172" t="s">
        <v>899</v>
      </c>
      <c r="G2271" s="139"/>
    </row>
    <row r="2272" spans="2:7" ht="15" thickBot="1">
      <c r="B2272" s="218" t="s">
        <v>1290</v>
      </c>
      <c r="C2272" s="202" t="s">
        <v>916</v>
      </c>
      <c r="D2272" s="203">
        <v>6.7979999999999999E-2</v>
      </c>
      <c r="E2272" s="204">
        <f>+'FP OPERATIVO'!F36</f>
        <v>302186.41694755561</v>
      </c>
      <c r="F2272" s="206">
        <f>+ROUND((D2272*E2272),0)</f>
        <v>20543</v>
      </c>
      <c r="G2272" s="142"/>
    </row>
    <row r="2273" spans="2:7" ht="15" thickBot="1">
      <c r="B2273" s="212"/>
      <c r="C2273" s="184">
        <f>+G2273/$G$2290</f>
        <v>0.32209661487323415</v>
      </c>
      <c r="D2273" s="190"/>
      <c r="F2273" s="212" t="s">
        <v>900</v>
      </c>
      <c r="G2273" s="149">
        <f>+F2272</f>
        <v>20543</v>
      </c>
    </row>
    <row r="2274" spans="2:7" ht="15" thickBot="1">
      <c r="B2274" s="216" t="s">
        <v>917</v>
      </c>
    </row>
    <row r="2275" spans="2:7">
      <c r="B2275" s="170" t="s">
        <v>897</v>
      </c>
      <c r="C2275" s="171" t="s">
        <v>319</v>
      </c>
      <c r="D2275" s="171" t="s">
        <v>320</v>
      </c>
      <c r="E2275" s="171" t="s">
        <v>898</v>
      </c>
      <c r="F2275" s="172" t="s">
        <v>899</v>
      </c>
      <c r="G2275" s="139"/>
    </row>
    <row r="2276" spans="2:7" ht="15" thickBot="1">
      <c r="B2276" s="218" t="s">
        <v>905</v>
      </c>
      <c r="C2276" s="202" t="s">
        <v>906</v>
      </c>
      <c r="D2276" s="203">
        <v>0.05</v>
      </c>
      <c r="E2276" s="204">
        <f>+G2273</f>
        <v>20543</v>
      </c>
      <c r="F2276" s="206">
        <f>+ROUND((D2276*E2276),0)</f>
        <v>1027</v>
      </c>
      <c r="G2276" s="142"/>
    </row>
    <row r="2277" spans="2:7" ht="15" thickBot="1">
      <c r="B2277" s="212"/>
      <c r="C2277" s="184">
        <f>+G2277/$G$2290</f>
        <v>1.6102478872356104E-2</v>
      </c>
      <c r="D2277" s="190"/>
      <c r="F2277" s="212" t="s">
        <v>900</v>
      </c>
      <c r="G2277" s="149">
        <f>+SUM(F2276)</f>
        <v>1027</v>
      </c>
    </row>
    <row r="2278" spans="2:7" ht="15" thickBot="1">
      <c r="B2278" s="216" t="s">
        <v>1203</v>
      </c>
    </row>
    <row r="2279" spans="2:7">
      <c r="B2279" s="170" t="s">
        <v>897</v>
      </c>
      <c r="C2279" s="171" t="s">
        <v>319</v>
      </c>
      <c r="D2279" s="171" t="s">
        <v>320</v>
      </c>
      <c r="E2279" s="171" t="s">
        <v>898</v>
      </c>
      <c r="F2279" s="172" t="s">
        <v>899</v>
      </c>
      <c r="G2279" s="139"/>
    </row>
    <row r="2280" spans="2:7">
      <c r="B2280" s="217" t="s">
        <v>1144</v>
      </c>
      <c r="C2280" s="208" t="s">
        <v>198</v>
      </c>
      <c r="D2280" s="209">
        <v>0.02</v>
      </c>
      <c r="E2280" s="210">
        <f>+EQUIPOS!C48</f>
        <v>140000</v>
      </c>
      <c r="F2280" s="211">
        <f>+ROUND((D2280*E2280),0)</f>
        <v>2800</v>
      </c>
      <c r="G2280" s="147"/>
    </row>
    <row r="2281" spans="2:7" ht="29">
      <c r="B2281" s="217" t="s">
        <v>1193</v>
      </c>
      <c r="C2281" s="208" t="s">
        <v>198</v>
      </c>
      <c r="D2281" s="209">
        <v>0.1</v>
      </c>
      <c r="E2281" s="210">
        <f>+EQUIPOS!C35</f>
        <v>5500</v>
      </c>
      <c r="F2281" s="211">
        <f>+ROUND((D2281*E2281),0)</f>
        <v>550</v>
      </c>
      <c r="G2281" s="147"/>
    </row>
    <row r="2282" spans="2:7" ht="29.5" thickBot="1">
      <c r="B2282" s="218" t="s">
        <v>1194</v>
      </c>
      <c r="C2282" s="202" t="s">
        <v>198</v>
      </c>
      <c r="D2282" s="203">
        <v>0.1</v>
      </c>
      <c r="E2282" s="204">
        <f>+EQUIPOS!C36</f>
        <v>600</v>
      </c>
      <c r="F2282" s="206">
        <f>+ROUND((D2282*E2282),0)</f>
        <v>60</v>
      </c>
      <c r="G2282" s="142"/>
    </row>
    <row r="2283" spans="2:7" ht="15" thickBot="1">
      <c r="B2283" s="212"/>
      <c r="C2283" s="184">
        <f>+G2283/$G$2290</f>
        <v>5.346587434735571E-2</v>
      </c>
      <c r="D2283" s="190"/>
      <c r="F2283" s="212" t="s">
        <v>900</v>
      </c>
      <c r="G2283" s="149">
        <f>+SUM(F2280:F2282)</f>
        <v>3410</v>
      </c>
    </row>
    <row r="2284" spans="2:7" ht="15" thickBot="1">
      <c r="B2284" s="216" t="s">
        <v>1205</v>
      </c>
    </row>
    <row r="2285" spans="2:7">
      <c r="B2285" s="170" t="s">
        <v>897</v>
      </c>
      <c r="C2285" s="171" t="s">
        <v>319</v>
      </c>
      <c r="D2285" s="171" t="s">
        <v>320</v>
      </c>
      <c r="E2285" s="171" t="s">
        <v>898</v>
      </c>
      <c r="F2285" s="187" t="s">
        <v>899</v>
      </c>
      <c r="G2285" s="139"/>
    </row>
    <row r="2286" spans="2:7">
      <c r="B2286" s="222" t="s">
        <v>1187</v>
      </c>
      <c r="C2286" s="208" t="s">
        <v>23</v>
      </c>
      <c r="D2286" s="209">
        <v>0.56299999999999994</v>
      </c>
      <c r="E2286" s="210">
        <v>1000</v>
      </c>
      <c r="F2286" s="213">
        <f>+ROUND((D2286*E2286),0)</f>
        <v>563</v>
      </c>
      <c r="G2286" s="147"/>
    </row>
    <row r="2287" spans="2:7" ht="15" thickBot="1">
      <c r="B2287" s="223" t="s">
        <v>1218</v>
      </c>
      <c r="C2287" s="202" t="s">
        <v>23</v>
      </c>
      <c r="D2287" s="203">
        <v>6.2529999999999999E-3</v>
      </c>
      <c r="E2287" s="204">
        <f>+EQUIPOS!C53</f>
        <v>450000</v>
      </c>
      <c r="F2287" s="213">
        <f>+ROUND((D2287*E2287),0)</f>
        <v>2814</v>
      </c>
      <c r="G2287" s="147"/>
    </row>
    <row r="2288" spans="2:7" ht="15" thickBot="1">
      <c r="B2288" s="212"/>
      <c r="C2288" s="301">
        <f>+G2288/$G$2290</f>
        <v>5.2948462660123236E-2</v>
      </c>
      <c r="D2288" s="190"/>
      <c r="F2288" s="212" t="s">
        <v>900</v>
      </c>
      <c r="G2288" s="148">
        <f>+SUM(F2286:F2287)</f>
        <v>3377</v>
      </c>
    </row>
    <row r="2289" spans="2:7" ht="15" thickBot="1"/>
    <row r="2290" spans="2:7" ht="15" thickBot="1">
      <c r="C2290" s="65"/>
      <c r="D2290" s="65"/>
      <c r="E2290" s="67" t="s">
        <v>908</v>
      </c>
      <c r="F2290" s="65"/>
      <c r="G2290" s="160">
        <f>+SUM(G2266:G2288)</f>
        <v>63779</v>
      </c>
    </row>
    <row r="2291" spans="2:7" ht="15" thickBot="1">
      <c r="B2291" s="155"/>
      <c r="C2291" s="155"/>
    </row>
    <row r="2292" spans="2:7" ht="15" thickBot="1">
      <c r="B2292" s="2063" t="s">
        <v>1291</v>
      </c>
      <c r="C2292" s="2064"/>
      <c r="D2292" s="2064"/>
      <c r="E2292" s="2064"/>
      <c r="F2292" s="2064"/>
      <c r="G2292" s="2065"/>
    </row>
    <row r="2293" spans="2:7" ht="19.25" customHeight="1">
      <c r="B2293" s="1721"/>
      <c r="C2293" s="1770" t="s">
        <v>1175</v>
      </c>
      <c r="D2293" s="1770"/>
      <c r="E2293" s="1770"/>
      <c r="F2293" s="1770"/>
      <c r="G2293" s="1771"/>
    </row>
    <row r="2294" spans="2:7" ht="19.25" customHeight="1">
      <c r="B2294" s="1722"/>
      <c r="C2294" s="1772"/>
      <c r="D2294" s="1772"/>
      <c r="E2294" s="1772"/>
      <c r="F2294" s="1772"/>
      <c r="G2294" s="1773"/>
    </row>
    <row r="2295" spans="2:7" ht="19.25" customHeight="1">
      <c r="B2295" s="1722"/>
      <c r="C2295" s="1772"/>
      <c r="D2295" s="1772"/>
      <c r="E2295" s="1772"/>
      <c r="F2295" s="1772"/>
      <c r="G2295" s="1773"/>
    </row>
    <row r="2296" spans="2:7" ht="19.25" customHeight="1">
      <c r="B2296" s="1722"/>
      <c r="C2296" s="1772"/>
      <c r="D2296" s="1772"/>
      <c r="E2296" s="1772"/>
      <c r="F2296" s="1772"/>
      <c r="G2296" s="1773"/>
    </row>
    <row r="2297" spans="2:7" ht="19.25" customHeight="1" thickBot="1">
      <c r="B2297" s="1723"/>
      <c r="C2297" s="1774"/>
      <c r="D2297" s="1774"/>
      <c r="E2297" s="1774"/>
      <c r="F2297" s="1774"/>
      <c r="G2297" s="1775"/>
    </row>
    <row r="2298" spans="2:7">
      <c r="B2298" s="1724" t="s">
        <v>890</v>
      </c>
      <c r="C2298" s="1726"/>
      <c r="D2298" s="1726"/>
      <c r="E2298" s="1733" t="s">
        <v>891</v>
      </c>
      <c r="F2298" s="1735"/>
      <c r="G2298" s="1736"/>
    </row>
    <row r="2299" spans="2:7">
      <c r="B2299" s="1727"/>
      <c r="C2299" s="1729"/>
      <c r="D2299" s="1729"/>
      <c r="E2299" s="1734"/>
      <c r="F2299" s="1737"/>
      <c r="G2299" s="1738"/>
    </row>
    <row r="2300" spans="2:7">
      <c r="B2300" s="1727"/>
      <c r="C2300" s="1729"/>
      <c r="D2300" s="1729"/>
      <c r="E2300" s="332" t="s">
        <v>892</v>
      </c>
      <c r="F2300" s="1739"/>
      <c r="G2300" s="1740"/>
    </row>
    <row r="2301" spans="2:7">
      <c r="B2301" s="1727"/>
      <c r="C2301" s="1729"/>
      <c r="D2301" s="1729"/>
      <c r="E2301" s="332" t="s">
        <v>893</v>
      </c>
      <c r="F2301" s="1739"/>
      <c r="G2301" s="1740"/>
    </row>
    <row r="2302" spans="2:7">
      <c r="B2302" s="1727"/>
      <c r="C2302" s="1729"/>
      <c r="D2302" s="1729"/>
      <c r="E2302" s="1734" t="s">
        <v>894</v>
      </c>
      <c r="F2302" s="1742"/>
      <c r="G2302" s="1743"/>
    </row>
    <row r="2303" spans="2:7" ht="15" thickBot="1">
      <c r="B2303" s="1730"/>
      <c r="C2303" s="1732"/>
      <c r="D2303" s="1732"/>
      <c r="E2303" s="1741"/>
      <c r="F2303" s="1744"/>
      <c r="G2303" s="1745"/>
    </row>
    <row r="2304" spans="2:7">
      <c r="B2304" s="1755" t="str">
        <f>+PRESUPUESTO!$A$2</f>
        <v>OBJETO: MEJORAMIENTO Y ADECUACIÓN DE LAS VIAS URBANAS DEL MUNICIPIO DE SANTA FE DE ANTIOQUIA</v>
      </c>
      <c r="C2304" s="1757"/>
      <c r="D2304" s="1757"/>
      <c r="E2304" s="1757"/>
      <c r="F2304" s="1757"/>
      <c r="G2304" s="1758"/>
    </row>
    <row r="2305" spans="2:7" ht="15" thickBot="1">
      <c r="B2305" s="1759"/>
      <c r="C2305" s="1761"/>
      <c r="D2305" s="1761"/>
      <c r="E2305" s="1761"/>
      <c r="F2305" s="1761"/>
      <c r="G2305" s="1762"/>
    </row>
    <row r="2306" spans="2:7" ht="15" thickBot="1">
      <c r="B2306" s="167" t="s">
        <v>1</v>
      </c>
      <c r="C2306" s="2059"/>
      <c r="D2306" s="1763"/>
      <c r="E2306" s="1763"/>
      <c r="F2306" s="2060"/>
      <c r="G2306" s="168" t="s">
        <v>193</v>
      </c>
    </row>
    <row r="2307" spans="2:7" ht="89" customHeight="1" thickBot="1">
      <c r="B2307" s="145" t="str">
        <f>+P!A91</f>
        <v>19.1</v>
      </c>
      <c r="C2307" s="2061" t="str">
        <f>+P!B91</f>
        <v>TALA, cargue y retiro de ÁRBOLES bajo cualquier condición, con ALTURAS mayores de 20,0 m. Incluye trozado, chipiado, retiro de raíces completas, transporte y disposición del material resultante al sitio que indiquen las autoridades competentes y la interventoría. Se realizará en aquellos árboles que dada su ubicación interfieren con el proyecto o que ofrezcan algún riesgo para la comunidad y que no justifique su trasplante. Según definición del Plan de Manejo Arbóreo.</v>
      </c>
      <c r="D2307" s="1765"/>
      <c r="E2307" s="1765"/>
      <c r="F2307" s="2062"/>
      <c r="G2307" s="169" t="str">
        <f>+P!C91</f>
        <v>un</v>
      </c>
    </row>
    <row r="2308" spans="2:7" ht="15" thickBot="1">
      <c r="B2308" s="216" t="s">
        <v>1178</v>
      </c>
    </row>
    <row r="2309" spans="2:7">
      <c r="B2309" s="170" t="s">
        <v>897</v>
      </c>
      <c r="C2309" s="171" t="s">
        <v>319</v>
      </c>
      <c r="D2309" s="171" t="s">
        <v>320</v>
      </c>
      <c r="E2309" s="171" t="s">
        <v>898</v>
      </c>
      <c r="F2309" s="172" t="s">
        <v>899</v>
      </c>
      <c r="G2309" s="139"/>
    </row>
    <row r="2310" spans="2:7" ht="15" thickBot="1">
      <c r="B2310" s="218" t="s">
        <v>1292</v>
      </c>
      <c r="C2310" s="202" t="s">
        <v>916</v>
      </c>
      <c r="D2310" s="203">
        <v>3.5</v>
      </c>
      <c r="E2310" s="204">
        <f>+'FP OPERATIVO'!F35</f>
        <v>295642.2840888889</v>
      </c>
      <c r="F2310" s="206">
        <f>+ROUND((D2310*E2310),0)</f>
        <v>1034748</v>
      </c>
      <c r="G2310" s="142"/>
    </row>
    <row r="2311" spans="2:7" ht="15" thickBot="1">
      <c r="B2311" s="212"/>
      <c r="C2311" s="184" t="e">
        <f>+G2311/$G$2327</f>
        <v>#REF!</v>
      </c>
      <c r="D2311" s="190"/>
      <c r="F2311" s="212" t="s">
        <v>900</v>
      </c>
      <c r="G2311" s="149">
        <f>+SUM(F2310)</f>
        <v>1034748</v>
      </c>
    </row>
    <row r="2312" spans="2:7" ht="15" thickBot="1">
      <c r="B2312" s="216" t="s">
        <v>1180</v>
      </c>
    </row>
    <row r="2313" spans="2:7">
      <c r="B2313" s="170" t="s">
        <v>897</v>
      </c>
      <c r="C2313" s="171" t="s">
        <v>319</v>
      </c>
      <c r="D2313" s="171" t="s">
        <v>320</v>
      </c>
      <c r="E2313" s="171" t="s">
        <v>898</v>
      </c>
      <c r="F2313" s="172" t="s">
        <v>899</v>
      </c>
      <c r="G2313" s="139"/>
    </row>
    <row r="2314" spans="2:7" ht="15" thickBot="1">
      <c r="B2314" s="218" t="s">
        <v>905</v>
      </c>
      <c r="C2314" s="202" t="s">
        <v>906</v>
      </c>
      <c r="D2314" s="203">
        <v>0.05</v>
      </c>
      <c r="E2314" s="204">
        <f>+G2311</f>
        <v>1034748</v>
      </c>
      <c r="F2314" s="206">
        <f>+ROUND((D2314*E2314),0)</f>
        <v>51737</v>
      </c>
      <c r="G2314" s="142"/>
    </row>
    <row r="2315" spans="2:7" ht="15" thickBot="1">
      <c r="B2315" s="212"/>
      <c r="C2315" s="184" t="e">
        <f>+G2315/$G$2327</f>
        <v>#REF!</v>
      </c>
      <c r="D2315" s="190"/>
      <c r="F2315" s="212" t="s">
        <v>900</v>
      </c>
      <c r="G2315" s="149">
        <f>+SUM(F2314)</f>
        <v>51737</v>
      </c>
    </row>
    <row r="2316" spans="2:7" ht="15" thickBot="1">
      <c r="B2316" s="216" t="s">
        <v>1181</v>
      </c>
    </row>
    <row r="2317" spans="2:7">
      <c r="B2317" s="170" t="s">
        <v>897</v>
      </c>
      <c r="C2317" s="171" t="s">
        <v>319</v>
      </c>
      <c r="D2317" s="171" t="s">
        <v>320</v>
      </c>
      <c r="E2317" s="171" t="s">
        <v>898</v>
      </c>
      <c r="F2317" s="187" t="s">
        <v>899</v>
      </c>
      <c r="G2317" s="139"/>
    </row>
    <row r="2318" spans="2:7">
      <c r="B2318" s="217" t="s">
        <v>1145</v>
      </c>
      <c r="C2318" s="208" t="s">
        <v>198</v>
      </c>
      <c r="D2318" s="209">
        <v>2.8</v>
      </c>
      <c r="E2318" s="210">
        <f>+EQUIPOS!C49</f>
        <v>105000</v>
      </c>
      <c r="F2318" s="213">
        <f>+ROUND((D2318*E2318),0)</f>
        <v>294000</v>
      </c>
      <c r="G2318" s="147"/>
    </row>
    <row r="2319" spans="2:7">
      <c r="B2319" s="217" t="s">
        <v>1146</v>
      </c>
      <c r="C2319" s="208" t="s">
        <v>14</v>
      </c>
      <c r="D2319" s="209">
        <v>2.4</v>
      </c>
      <c r="E2319" s="210">
        <f>+EQUIPOS!C50</f>
        <v>98000</v>
      </c>
      <c r="F2319" s="213">
        <f>+ROUND((D2319*E2319),0)</f>
        <v>235200</v>
      </c>
      <c r="G2319" s="147"/>
    </row>
    <row r="2320" spans="2:7" ht="15" thickBot="1">
      <c r="B2320" s="218" t="s">
        <v>1147</v>
      </c>
      <c r="C2320" s="202" t="s">
        <v>14</v>
      </c>
      <c r="D2320" s="203">
        <v>2.2000000000000002</v>
      </c>
      <c r="E2320" s="204">
        <f>+EQUIPOS!C51</f>
        <v>245000</v>
      </c>
      <c r="F2320" s="205">
        <f>+ROUND((D2320*E2320),0)</f>
        <v>539000</v>
      </c>
      <c r="G2320" s="142"/>
    </row>
    <row r="2321" spans="2:7" ht="15" thickBot="1">
      <c r="B2321" s="212"/>
      <c r="C2321" s="184" t="e">
        <f>+G2321/$G$2327</f>
        <v>#REF!</v>
      </c>
      <c r="D2321" s="190"/>
      <c r="F2321" s="212" t="s">
        <v>900</v>
      </c>
      <c r="G2321" s="149">
        <f>+SUM(F2318:F2320)</f>
        <v>1068200</v>
      </c>
    </row>
    <row r="2322" spans="2:7" ht="15" thickBot="1">
      <c r="B2322" s="216" t="s">
        <v>1182</v>
      </c>
    </row>
    <row r="2323" spans="2:7">
      <c r="B2323" s="170" t="s">
        <v>897</v>
      </c>
      <c r="C2323" s="171" t="s">
        <v>319</v>
      </c>
      <c r="D2323" s="171" t="s">
        <v>320</v>
      </c>
      <c r="E2323" s="171" t="s">
        <v>898</v>
      </c>
      <c r="F2323" s="172" t="s">
        <v>899</v>
      </c>
      <c r="G2323" s="139"/>
    </row>
    <row r="2324" spans="2:7" ht="29.5" thickBot="1">
      <c r="B2324" s="218" t="s">
        <v>1183</v>
      </c>
      <c r="C2324" s="202" t="s">
        <v>14</v>
      </c>
      <c r="D2324" s="203">
        <v>4.5999999999999996</v>
      </c>
      <c r="E2324" s="204" t="e">
        <f>+P!E13</f>
        <v>#REF!</v>
      </c>
      <c r="F2324" s="206" t="e">
        <f>+ROUND((D2324*E2324),0)</f>
        <v>#REF!</v>
      </c>
      <c r="G2324" s="142"/>
    </row>
    <row r="2325" spans="2:7" ht="15" thickBot="1">
      <c r="B2325" s="212"/>
      <c r="C2325" s="184" t="e">
        <f>+G2325/$G$2327</f>
        <v>#REF!</v>
      </c>
      <c r="D2325" s="190"/>
      <c r="F2325" s="212" t="s">
        <v>900</v>
      </c>
      <c r="G2325" s="149" t="e">
        <f>+SUM(F2324)</f>
        <v>#REF!</v>
      </c>
    </row>
    <row r="2326" spans="2:7" ht="15" thickBot="1"/>
    <row r="2327" spans="2:7" ht="15" thickBot="1">
      <c r="C2327" s="65"/>
      <c r="D2327" s="65"/>
      <c r="E2327" s="67" t="s">
        <v>908</v>
      </c>
      <c r="F2327" s="65"/>
      <c r="G2327" s="160" t="e">
        <f>+SUM(G2309:G2325)</f>
        <v>#REF!</v>
      </c>
    </row>
    <row r="2328" spans="2:7" ht="15" thickBot="1">
      <c r="B2328" s="155"/>
      <c r="C2328" s="155"/>
    </row>
    <row r="2329" spans="2:7" ht="20.5" customHeight="1">
      <c r="B2329" s="1721"/>
      <c r="C2329" s="1770" t="s">
        <v>1175</v>
      </c>
      <c r="D2329" s="1770"/>
      <c r="E2329" s="1770"/>
      <c r="F2329" s="1770"/>
      <c r="G2329" s="1771"/>
    </row>
    <row r="2330" spans="2:7" ht="20.5" customHeight="1">
      <c r="B2330" s="1722"/>
      <c r="C2330" s="1772"/>
      <c r="D2330" s="1772"/>
      <c r="E2330" s="1772"/>
      <c r="F2330" s="1772"/>
      <c r="G2330" s="1773"/>
    </row>
    <row r="2331" spans="2:7" ht="20.5" customHeight="1">
      <c r="B2331" s="1722"/>
      <c r="C2331" s="1772"/>
      <c r="D2331" s="1772"/>
      <c r="E2331" s="1772"/>
      <c r="F2331" s="1772"/>
      <c r="G2331" s="1773"/>
    </row>
    <row r="2332" spans="2:7" ht="20.5" customHeight="1">
      <c r="B2332" s="1722"/>
      <c r="C2332" s="1772"/>
      <c r="D2332" s="1772"/>
      <c r="E2332" s="1772"/>
      <c r="F2332" s="1772"/>
      <c r="G2332" s="1773"/>
    </row>
    <row r="2333" spans="2:7" ht="20.5" customHeight="1" thickBot="1">
      <c r="B2333" s="1723"/>
      <c r="C2333" s="1774"/>
      <c r="D2333" s="1774"/>
      <c r="E2333" s="1774"/>
      <c r="F2333" s="1774"/>
      <c r="G2333" s="1775"/>
    </row>
    <row r="2334" spans="2:7">
      <c r="B2334" s="1724" t="s">
        <v>890</v>
      </c>
      <c r="C2334" s="1726"/>
      <c r="D2334" s="1726"/>
      <c r="E2334" s="1733" t="s">
        <v>891</v>
      </c>
      <c r="F2334" s="1735"/>
      <c r="G2334" s="1736"/>
    </row>
    <row r="2335" spans="2:7">
      <c r="B2335" s="1727"/>
      <c r="C2335" s="1729"/>
      <c r="D2335" s="1729"/>
      <c r="E2335" s="1734"/>
      <c r="F2335" s="1737"/>
      <c r="G2335" s="1738"/>
    </row>
    <row r="2336" spans="2:7">
      <c r="B2336" s="1727"/>
      <c r="C2336" s="1729"/>
      <c r="D2336" s="1729"/>
      <c r="E2336" s="332" t="s">
        <v>892</v>
      </c>
      <c r="F2336" s="1739"/>
      <c r="G2336" s="1740"/>
    </row>
    <row r="2337" spans="2:7">
      <c r="B2337" s="1727"/>
      <c r="C2337" s="1729"/>
      <c r="D2337" s="1729"/>
      <c r="E2337" s="332" t="s">
        <v>893</v>
      </c>
      <c r="F2337" s="1739"/>
      <c r="G2337" s="1740"/>
    </row>
    <row r="2338" spans="2:7">
      <c r="B2338" s="1727"/>
      <c r="C2338" s="1729"/>
      <c r="D2338" s="1729"/>
      <c r="E2338" s="1734" t="s">
        <v>894</v>
      </c>
      <c r="F2338" s="1742"/>
      <c r="G2338" s="1743"/>
    </row>
    <row r="2339" spans="2:7" ht="15" thickBot="1">
      <c r="B2339" s="1730"/>
      <c r="C2339" s="1732"/>
      <c r="D2339" s="1732"/>
      <c r="E2339" s="1741"/>
      <c r="F2339" s="1744"/>
      <c r="G2339" s="1745"/>
    </row>
    <row r="2340" spans="2:7">
      <c r="B2340" s="1755" t="str">
        <f>+PRESUPUESTO!$A$2</f>
        <v>OBJETO: MEJORAMIENTO Y ADECUACIÓN DE LAS VIAS URBANAS DEL MUNICIPIO DE SANTA FE DE ANTIOQUIA</v>
      </c>
      <c r="C2340" s="1757"/>
      <c r="D2340" s="1757"/>
      <c r="E2340" s="1757"/>
      <c r="F2340" s="1757"/>
      <c r="G2340" s="1758"/>
    </row>
    <row r="2341" spans="2:7" ht="15" thickBot="1">
      <c r="B2341" s="1759"/>
      <c r="C2341" s="1761"/>
      <c r="D2341" s="1761"/>
      <c r="E2341" s="1761"/>
      <c r="F2341" s="1761"/>
      <c r="G2341" s="1762"/>
    </row>
    <row r="2342" spans="2:7" ht="15" thickBot="1">
      <c r="B2342" s="167" t="s">
        <v>1</v>
      </c>
      <c r="C2342" s="2059"/>
      <c r="D2342" s="1763"/>
      <c r="E2342" s="1763"/>
      <c r="F2342" s="2060"/>
      <c r="G2342" s="168" t="s">
        <v>193</v>
      </c>
    </row>
    <row r="2343" spans="2:7" ht="92" customHeight="1" thickBot="1">
      <c r="B2343" s="145" t="str">
        <f>+P!A92</f>
        <v>19.2</v>
      </c>
      <c r="C2343" s="2061" t="str">
        <f>+P!B92</f>
        <v>PODAS, cargue y retiro de ÁRBOLES ADULTOS bajo cualquier condición. Incluye trozado, chipiado, transporte y disposición del material resultante al sitio que indiquen las autoridades competentes y la interventoría. La poda se realizará con motosierra. Se realizará en aquellos árboles que dada su condiciones fitosanitarias requieren de una poda de aclareo o realce. Según definición del Plan de Manejo Arbóreo.</v>
      </c>
      <c r="D2343" s="1765"/>
      <c r="E2343" s="1765"/>
      <c r="F2343" s="2062"/>
      <c r="G2343" s="169" t="str">
        <f>+P!C92</f>
        <v>un</v>
      </c>
    </row>
    <row r="2344" spans="2:7" ht="15" thickBot="1">
      <c r="B2344" s="216" t="s">
        <v>896</v>
      </c>
    </row>
    <row r="2345" spans="2:7">
      <c r="B2345" s="170" t="s">
        <v>897</v>
      </c>
      <c r="C2345" s="171" t="s">
        <v>319</v>
      </c>
      <c r="D2345" s="171" t="s">
        <v>320</v>
      </c>
      <c r="E2345" s="171" t="s">
        <v>898</v>
      </c>
      <c r="F2345" s="172" t="s">
        <v>899</v>
      </c>
      <c r="G2345" s="139"/>
    </row>
    <row r="2346" spans="2:7" ht="15" thickBot="1">
      <c r="B2346" s="218" t="s">
        <v>1293</v>
      </c>
      <c r="C2346" s="202" t="s">
        <v>1246</v>
      </c>
      <c r="D2346" s="203">
        <v>1.5</v>
      </c>
      <c r="E2346" s="204">
        <v>2500</v>
      </c>
      <c r="F2346" s="206">
        <f>+ROUND((D2346*E2346),0)</f>
        <v>3750</v>
      </c>
      <c r="G2346" s="142"/>
    </row>
    <row r="2347" spans="2:7" ht="15" thickBot="1">
      <c r="B2347" s="212"/>
      <c r="C2347" s="184" t="e">
        <f>+G2347/$G$2367</f>
        <v>#REF!</v>
      </c>
      <c r="D2347" s="190"/>
      <c r="F2347" s="212" t="s">
        <v>900</v>
      </c>
      <c r="G2347" s="149">
        <f>+SUM(F2346)</f>
        <v>3750</v>
      </c>
    </row>
    <row r="2348" spans="2:7" ht="15" thickBot="1">
      <c r="B2348" s="216" t="s">
        <v>901</v>
      </c>
    </row>
    <row r="2349" spans="2:7">
      <c r="B2349" s="170" t="s">
        <v>897</v>
      </c>
      <c r="C2349" s="171" t="s">
        <v>319</v>
      </c>
      <c r="D2349" s="171" t="s">
        <v>320</v>
      </c>
      <c r="E2349" s="171" t="s">
        <v>898</v>
      </c>
      <c r="F2349" s="172" t="s">
        <v>899</v>
      </c>
      <c r="G2349" s="139"/>
    </row>
    <row r="2350" spans="2:7" ht="15" thickBot="1">
      <c r="B2350" s="218" t="s">
        <v>1294</v>
      </c>
      <c r="C2350" s="202" t="s">
        <v>916</v>
      </c>
      <c r="D2350" s="203">
        <v>0.24180937482178649</v>
      </c>
      <c r="E2350" s="204">
        <f>+'FP OPERATIVO'!F37</f>
        <v>400346.36479999998</v>
      </c>
      <c r="F2350" s="206">
        <f>+ROUND((D2350*E2350),0)</f>
        <v>96808</v>
      </c>
      <c r="G2350" s="142"/>
    </row>
    <row r="2351" spans="2:7" ht="15" thickBot="1">
      <c r="B2351" s="212"/>
      <c r="C2351" s="184" t="e">
        <f>+G2351/$G$2367</f>
        <v>#REF!</v>
      </c>
      <c r="D2351" s="190"/>
      <c r="F2351" s="212" t="s">
        <v>900</v>
      </c>
      <c r="G2351" s="149">
        <f>+SUM(F2350)</f>
        <v>96808</v>
      </c>
    </row>
    <row r="2352" spans="2:7" ht="15" thickBot="1">
      <c r="B2352" s="216" t="s">
        <v>917</v>
      </c>
    </row>
    <row r="2353" spans="2:7">
      <c r="B2353" s="170" t="s">
        <v>897</v>
      </c>
      <c r="C2353" s="171" t="s">
        <v>319</v>
      </c>
      <c r="D2353" s="171" t="s">
        <v>320</v>
      </c>
      <c r="E2353" s="171" t="s">
        <v>898</v>
      </c>
      <c r="F2353" s="172" t="s">
        <v>899</v>
      </c>
      <c r="G2353" s="139"/>
    </row>
    <row r="2354" spans="2:7" ht="15" thickBot="1">
      <c r="B2354" s="218" t="s">
        <v>905</v>
      </c>
      <c r="C2354" s="202" t="s">
        <v>906</v>
      </c>
      <c r="D2354" s="203">
        <v>0.05</v>
      </c>
      <c r="E2354" s="204">
        <f>+G2351</f>
        <v>96808</v>
      </c>
      <c r="F2354" s="206">
        <f>+ROUND((D2354*E2354),0)</f>
        <v>4840</v>
      </c>
      <c r="G2354" s="142"/>
    </row>
    <row r="2355" spans="2:7" ht="15" thickBot="1">
      <c r="B2355" s="212"/>
      <c r="C2355" s="184" t="e">
        <f>+G2355/$G$2367</f>
        <v>#REF!</v>
      </c>
      <c r="D2355" s="190"/>
      <c r="F2355" s="212" t="s">
        <v>900</v>
      </c>
      <c r="G2355" s="149">
        <f>+SUM(F2354)</f>
        <v>4840</v>
      </c>
    </row>
    <row r="2356" spans="2:7" ht="15" thickBot="1">
      <c r="B2356" s="216" t="s">
        <v>1203</v>
      </c>
    </row>
    <row r="2357" spans="2:7">
      <c r="B2357" s="170" t="s">
        <v>897</v>
      </c>
      <c r="C2357" s="171" t="s">
        <v>319</v>
      </c>
      <c r="D2357" s="171" t="s">
        <v>320</v>
      </c>
      <c r="E2357" s="171" t="s">
        <v>898</v>
      </c>
      <c r="F2357" s="172" t="s">
        <v>899</v>
      </c>
      <c r="G2357" s="139"/>
    </row>
    <row r="2358" spans="2:7">
      <c r="B2358" s="217" t="s">
        <v>1148</v>
      </c>
      <c r="C2358" s="208" t="s">
        <v>198</v>
      </c>
      <c r="D2358" s="209">
        <v>0.14285999999999999</v>
      </c>
      <c r="E2358" s="210">
        <f>+EQUIPOS!C52</f>
        <v>18500</v>
      </c>
      <c r="F2358" s="211">
        <f>+ROUND((D2358*E2358),0)</f>
        <v>2643</v>
      </c>
      <c r="G2358" s="147"/>
    </row>
    <row r="2359" spans="2:7">
      <c r="B2359" s="217" t="s">
        <v>1145</v>
      </c>
      <c r="C2359" s="208" t="s">
        <v>198</v>
      </c>
      <c r="D2359" s="209">
        <v>0.14285999999999999</v>
      </c>
      <c r="E2359" s="210">
        <f>+EQUIPOS!C49</f>
        <v>105000</v>
      </c>
      <c r="F2359" s="211">
        <f>+ROUND((D2359*E2359),0)</f>
        <v>15000</v>
      </c>
      <c r="G2359" s="147"/>
    </row>
    <row r="2360" spans="2:7" ht="15" thickBot="1">
      <c r="B2360" s="218" t="s">
        <v>1146</v>
      </c>
      <c r="C2360" s="202" t="s">
        <v>14</v>
      </c>
      <c r="D2360" s="203">
        <v>0.55000000000000004</v>
      </c>
      <c r="E2360" s="204">
        <f>+EQUIPOS!C50</f>
        <v>98000</v>
      </c>
      <c r="F2360" s="206">
        <f>+ROUND((D2360*E2360),0)</f>
        <v>53900</v>
      </c>
      <c r="G2360" s="142"/>
    </row>
    <row r="2361" spans="2:7" ht="15" thickBot="1">
      <c r="B2361" s="212"/>
      <c r="C2361" s="184" t="e">
        <f>+G2361/$G$2367</f>
        <v>#REF!</v>
      </c>
      <c r="D2361" s="190"/>
      <c r="F2361" s="212" t="s">
        <v>900</v>
      </c>
      <c r="G2361" s="149">
        <f>+SUM(F2358:F2360)</f>
        <v>71543</v>
      </c>
    </row>
    <row r="2362" spans="2:7" ht="15" thickBot="1">
      <c r="B2362" s="216" t="s">
        <v>1205</v>
      </c>
    </row>
    <row r="2363" spans="2:7">
      <c r="B2363" s="170" t="s">
        <v>897</v>
      </c>
      <c r="C2363" s="171" t="s">
        <v>319</v>
      </c>
      <c r="D2363" s="171" t="s">
        <v>320</v>
      </c>
      <c r="E2363" s="171" t="s">
        <v>898</v>
      </c>
      <c r="F2363" s="172" t="s">
        <v>899</v>
      </c>
      <c r="G2363" s="139"/>
    </row>
    <row r="2364" spans="2:7" ht="29.5" thickBot="1">
      <c r="B2364" s="218" t="s">
        <v>1183</v>
      </c>
      <c r="C2364" s="202" t="s">
        <v>14</v>
      </c>
      <c r="D2364" s="203">
        <v>0.55000000000000004</v>
      </c>
      <c r="E2364" s="204" t="e">
        <f>+P!E13</f>
        <v>#REF!</v>
      </c>
      <c r="F2364" s="206" t="e">
        <f>+ROUND((D2364*E2364),0)</f>
        <v>#REF!</v>
      </c>
      <c r="G2364" s="142"/>
    </row>
    <row r="2365" spans="2:7" ht="15" thickBot="1">
      <c r="B2365" s="212"/>
      <c r="C2365" s="184" t="e">
        <f>+G2365/$G$2367</f>
        <v>#REF!</v>
      </c>
      <c r="D2365" s="190"/>
      <c r="F2365" s="212" t="s">
        <v>900</v>
      </c>
      <c r="G2365" s="149" t="e">
        <f>+SUM(F2364)</f>
        <v>#REF!</v>
      </c>
    </row>
    <row r="2366" spans="2:7" ht="15" thickBot="1"/>
    <row r="2367" spans="2:7" ht="15" thickBot="1">
      <c r="C2367" s="65"/>
      <c r="D2367" s="65"/>
      <c r="E2367" s="67" t="s">
        <v>908</v>
      </c>
      <c r="F2367" s="65"/>
      <c r="G2367" s="160" t="e">
        <f>+SUM(G2345:G2365)</f>
        <v>#REF!</v>
      </c>
    </row>
    <row r="2368" spans="2:7" ht="15" thickBot="1">
      <c r="B2368" s="155"/>
      <c r="C2368" s="155"/>
    </row>
    <row r="2369" spans="2:7" ht="15" thickBot="1">
      <c r="B2369" s="2063" t="s">
        <v>1295</v>
      </c>
      <c r="C2369" s="2064"/>
      <c r="D2369" s="2064"/>
      <c r="E2369" s="2064"/>
      <c r="F2369" s="2064"/>
      <c r="G2369" s="2065"/>
    </row>
    <row r="2370" spans="2:7" ht="19.25" customHeight="1">
      <c r="B2370" s="1721"/>
      <c r="C2370" s="1770" t="s">
        <v>1175</v>
      </c>
      <c r="D2370" s="1770"/>
      <c r="E2370" s="1770"/>
      <c r="F2370" s="1770"/>
      <c r="G2370" s="1771"/>
    </row>
    <row r="2371" spans="2:7" ht="19.25" customHeight="1">
      <c r="B2371" s="1722"/>
      <c r="C2371" s="1772"/>
      <c r="D2371" s="1772"/>
      <c r="E2371" s="1772"/>
      <c r="F2371" s="1772"/>
      <c r="G2371" s="1773"/>
    </row>
    <row r="2372" spans="2:7" ht="19.25" customHeight="1">
      <c r="B2372" s="1722"/>
      <c r="C2372" s="1772"/>
      <c r="D2372" s="1772"/>
      <c r="E2372" s="1772"/>
      <c r="F2372" s="1772"/>
      <c r="G2372" s="1773"/>
    </row>
    <row r="2373" spans="2:7" ht="19.25" customHeight="1">
      <c r="B2373" s="1722"/>
      <c r="C2373" s="1772"/>
      <c r="D2373" s="1772"/>
      <c r="E2373" s="1772"/>
      <c r="F2373" s="1772"/>
      <c r="G2373" s="1773"/>
    </row>
    <row r="2374" spans="2:7" ht="19.25" customHeight="1" thickBot="1">
      <c r="B2374" s="1723"/>
      <c r="C2374" s="1774"/>
      <c r="D2374" s="1774"/>
      <c r="E2374" s="1774"/>
      <c r="F2374" s="1774"/>
      <c r="G2374" s="1775"/>
    </row>
    <row r="2375" spans="2:7">
      <c r="B2375" s="1724" t="s">
        <v>890</v>
      </c>
      <c r="C2375" s="1726"/>
      <c r="D2375" s="1726"/>
      <c r="E2375" s="1733" t="s">
        <v>891</v>
      </c>
      <c r="F2375" s="1735"/>
      <c r="G2375" s="1736"/>
    </row>
    <row r="2376" spans="2:7">
      <c r="B2376" s="1727"/>
      <c r="C2376" s="1729"/>
      <c r="D2376" s="1729"/>
      <c r="E2376" s="1734"/>
      <c r="F2376" s="1737"/>
      <c r="G2376" s="1738"/>
    </row>
    <row r="2377" spans="2:7">
      <c r="B2377" s="1727"/>
      <c r="C2377" s="1729"/>
      <c r="D2377" s="1729"/>
      <c r="E2377" s="332" t="s">
        <v>892</v>
      </c>
      <c r="F2377" s="1739"/>
      <c r="G2377" s="1740"/>
    </row>
    <row r="2378" spans="2:7">
      <c r="B2378" s="1727"/>
      <c r="C2378" s="1729"/>
      <c r="D2378" s="1729"/>
      <c r="E2378" s="332" t="s">
        <v>893</v>
      </c>
      <c r="F2378" s="1739"/>
      <c r="G2378" s="1740"/>
    </row>
    <row r="2379" spans="2:7">
      <c r="B2379" s="1727"/>
      <c r="C2379" s="1729"/>
      <c r="D2379" s="1729"/>
      <c r="E2379" s="1734" t="s">
        <v>894</v>
      </c>
      <c r="F2379" s="1742"/>
      <c r="G2379" s="1743"/>
    </row>
    <row r="2380" spans="2:7" ht="15" thickBot="1">
      <c r="B2380" s="1730"/>
      <c r="C2380" s="1732"/>
      <c r="D2380" s="1732"/>
      <c r="E2380" s="1741"/>
      <c r="F2380" s="1744"/>
      <c r="G2380" s="1745"/>
    </row>
    <row r="2381" spans="2:7">
      <c r="B2381" s="1755" t="str">
        <f>+PRESUPUESTO!$A$2</f>
        <v>OBJETO: MEJORAMIENTO Y ADECUACIÓN DE LAS VIAS URBANAS DEL MUNICIPIO DE SANTA FE DE ANTIOQUIA</v>
      </c>
      <c r="C2381" s="1757"/>
      <c r="D2381" s="1757"/>
      <c r="E2381" s="1757"/>
      <c r="F2381" s="1757"/>
      <c r="G2381" s="1758"/>
    </row>
    <row r="2382" spans="2:7" ht="15" thickBot="1">
      <c r="B2382" s="1759"/>
      <c r="C2382" s="1761"/>
      <c r="D2382" s="1761"/>
      <c r="E2382" s="1761"/>
      <c r="F2382" s="1761"/>
      <c r="G2382" s="1762"/>
    </row>
    <row r="2383" spans="2:7" ht="15" thickBot="1">
      <c r="B2383" s="167" t="s">
        <v>1</v>
      </c>
      <c r="C2383" s="2059"/>
      <c r="D2383" s="1763"/>
      <c r="E2383" s="1763"/>
      <c r="F2383" s="2060"/>
      <c r="G2383" s="168" t="s">
        <v>193</v>
      </c>
    </row>
    <row r="2384" spans="2:7" ht="82.25" customHeight="1" thickBot="1">
      <c r="B2384" s="145" t="str">
        <f>+P!A94</f>
        <v>20.1</v>
      </c>
      <c r="C2384" s="2061" t="str">
        <f>+P!B94</f>
        <v>Suministro, transporte y colocación de cerramiento en malla eslabonada calibre 10 ojo No. 5, tubería galvanizada de 1.9" calibre 14, cerramiento tipo Inder. altura de 2.0m medidos a partir de la cara superior de la viga de fundación, dos hilas de mampostería en bloque de 20x20x40, columna cada 2m de 20cmx20cm, viga de fundación en concreto ciclópeo 40% piedra y concreto de 21Mpa al 60% de 40cm x 30cm, incluye acero de refuerzo y todo lo necesario para su correcta construcción. Según diseño.</v>
      </c>
      <c r="D2384" s="1765"/>
      <c r="E2384" s="1765"/>
      <c r="F2384" s="2062"/>
      <c r="G2384" s="169" t="str">
        <f>+P!C94</f>
        <v>ml</v>
      </c>
    </row>
    <row r="2385" spans="2:7" ht="15" thickBot="1">
      <c r="B2385" s="216" t="s">
        <v>896</v>
      </c>
    </row>
    <row r="2386" spans="2:7">
      <c r="B2386" s="170" t="s">
        <v>897</v>
      </c>
      <c r="C2386" s="171" t="s">
        <v>319</v>
      </c>
      <c r="D2386" s="171" t="s">
        <v>320</v>
      </c>
      <c r="E2386" s="171" t="s">
        <v>898</v>
      </c>
      <c r="F2386" s="172" t="s">
        <v>899</v>
      </c>
      <c r="G2386" s="139"/>
    </row>
    <row r="2387" spans="2:7">
      <c r="B2387" s="217" t="s">
        <v>1199</v>
      </c>
      <c r="C2387" s="208" t="s">
        <v>14</v>
      </c>
      <c r="D2387" s="209">
        <v>0.13209000000000001</v>
      </c>
      <c r="E2387" s="210">
        <f>+'CONCRETOS Y MORTERO'!G75</f>
        <v>591127</v>
      </c>
      <c r="F2387" s="211">
        <f t="shared" ref="F2387:F2397" si="20">+ROUND((D2387*E2387),0)</f>
        <v>78082</v>
      </c>
      <c r="G2387" s="147"/>
    </row>
    <row r="2388" spans="2:7" ht="29">
      <c r="B2388" s="217" t="s">
        <v>982</v>
      </c>
      <c r="C2388" s="208" t="s">
        <v>14</v>
      </c>
      <c r="D2388" s="209">
        <v>4.8000000000000001E-2</v>
      </c>
      <c r="E2388" s="210">
        <f>+MATERIALES!D43</f>
        <v>108000</v>
      </c>
      <c r="F2388" s="211">
        <f t="shared" si="20"/>
        <v>5184</v>
      </c>
      <c r="G2388" s="147"/>
    </row>
    <row r="2389" spans="2:7" ht="29">
      <c r="B2389" s="217" t="s">
        <v>1296</v>
      </c>
      <c r="C2389" s="208" t="s">
        <v>69</v>
      </c>
      <c r="D2389" s="209">
        <v>7.7270599999999998</v>
      </c>
      <c r="E2389" s="210" t="e">
        <f>+P!E34</f>
        <v>#REF!</v>
      </c>
      <c r="F2389" s="211" t="e">
        <f t="shared" si="20"/>
        <v>#REF!</v>
      </c>
      <c r="G2389" s="147"/>
    </row>
    <row r="2390" spans="2:7" ht="29">
      <c r="B2390" s="217" t="s">
        <v>1084</v>
      </c>
      <c r="C2390" s="208" t="s">
        <v>23</v>
      </c>
      <c r="D2390" s="209">
        <v>5.5</v>
      </c>
      <c r="E2390" s="210">
        <f>+MATERIALES!D141</f>
        <v>3800</v>
      </c>
      <c r="F2390" s="211">
        <f t="shared" si="20"/>
        <v>20900</v>
      </c>
      <c r="G2390" s="147"/>
    </row>
    <row r="2391" spans="2:7">
      <c r="B2391" s="217" t="s">
        <v>1085</v>
      </c>
      <c r="C2391" s="208" t="s">
        <v>34</v>
      </c>
      <c r="D2391" s="209">
        <v>2.6779999999999999</v>
      </c>
      <c r="E2391" s="210">
        <f>+MATERIALES!D142</f>
        <v>28690</v>
      </c>
      <c r="F2391" s="211">
        <f t="shared" si="20"/>
        <v>76832</v>
      </c>
      <c r="G2391" s="147"/>
    </row>
    <row r="2392" spans="2:7">
      <c r="B2392" s="217" t="s">
        <v>1237</v>
      </c>
      <c r="C2392" s="208" t="s">
        <v>14</v>
      </c>
      <c r="D2392" s="209">
        <v>3.066E-2</v>
      </c>
      <c r="E2392" s="210">
        <f>+'CONCRETOS Y MORTERO'!G26</f>
        <v>538996.55000000005</v>
      </c>
      <c r="F2392" s="211">
        <f t="shared" si="20"/>
        <v>16526</v>
      </c>
      <c r="G2392" s="147"/>
    </row>
    <row r="2393" spans="2:7">
      <c r="B2393" s="217" t="s">
        <v>1086</v>
      </c>
      <c r="C2393" s="208" t="s">
        <v>69</v>
      </c>
      <c r="D2393" s="209">
        <v>0.26250000000000001</v>
      </c>
      <c r="E2393" s="210">
        <f>+MATERIALES!D143</f>
        <v>23900</v>
      </c>
      <c r="F2393" s="211">
        <f t="shared" si="20"/>
        <v>6274</v>
      </c>
      <c r="G2393" s="147"/>
    </row>
    <row r="2394" spans="2:7" ht="29">
      <c r="B2394" s="217" t="s">
        <v>1087</v>
      </c>
      <c r="C2394" s="208" t="s">
        <v>10</v>
      </c>
      <c r="D2394" s="209">
        <v>3.2</v>
      </c>
      <c r="E2394" s="210">
        <f>+MATERIALES!D144</f>
        <v>28650</v>
      </c>
      <c r="F2394" s="211">
        <f t="shared" si="20"/>
        <v>91680</v>
      </c>
      <c r="G2394" s="147"/>
    </row>
    <row r="2395" spans="2:7">
      <c r="B2395" s="217" t="s">
        <v>1088</v>
      </c>
      <c r="C2395" s="208" t="s">
        <v>10</v>
      </c>
      <c r="D2395" s="209">
        <v>2.06</v>
      </c>
      <c r="E2395" s="210">
        <f>+MATERIALES!D145</f>
        <v>12500</v>
      </c>
      <c r="F2395" s="211">
        <f t="shared" si="20"/>
        <v>25750</v>
      </c>
      <c r="G2395" s="147"/>
    </row>
    <row r="2396" spans="2:7" ht="29">
      <c r="B2396" s="217" t="s">
        <v>1206</v>
      </c>
      <c r="C2396" s="208" t="s">
        <v>23</v>
      </c>
      <c r="D2396" s="209">
        <v>0.11111</v>
      </c>
      <c r="E2396" s="210">
        <f>+MATERIALES!D36</f>
        <v>11000</v>
      </c>
      <c r="F2396" s="211">
        <f t="shared" si="20"/>
        <v>1222</v>
      </c>
      <c r="G2396" s="147"/>
    </row>
    <row r="2397" spans="2:7" ht="15" thickBot="1">
      <c r="B2397" s="218" t="s">
        <v>1209</v>
      </c>
      <c r="C2397" s="202" t="s">
        <v>69</v>
      </c>
      <c r="D2397" s="203">
        <v>1.05</v>
      </c>
      <c r="E2397" s="204" t="e">
        <f>+E2389</f>
        <v>#REF!</v>
      </c>
      <c r="F2397" s="206" t="e">
        <f t="shared" si="20"/>
        <v>#REF!</v>
      </c>
      <c r="G2397" s="142"/>
    </row>
    <row r="2398" spans="2:7" ht="15" thickBot="1">
      <c r="B2398" s="212"/>
      <c r="C2398" s="259">
        <v>72.462854023894707</v>
      </c>
      <c r="D2398" s="190"/>
      <c r="F2398" s="212" t="s">
        <v>900</v>
      </c>
      <c r="G2398" s="149" t="e">
        <f>+SUM(F2387:F2397)</f>
        <v>#REF!</v>
      </c>
    </row>
    <row r="2399" spans="2:7" ht="15" thickBot="1">
      <c r="B2399" s="216" t="s">
        <v>901</v>
      </c>
    </row>
    <row r="2400" spans="2:7">
      <c r="B2400" s="170" t="s">
        <v>897</v>
      </c>
      <c r="C2400" s="171" t="s">
        <v>319</v>
      </c>
      <c r="D2400" s="171" t="s">
        <v>320</v>
      </c>
      <c r="E2400" s="171" t="s">
        <v>898</v>
      </c>
      <c r="F2400" s="172" t="s">
        <v>899</v>
      </c>
      <c r="G2400" s="139"/>
    </row>
    <row r="2401" spans="2:7">
      <c r="B2401" s="217" t="s">
        <v>1207</v>
      </c>
      <c r="C2401" s="208" t="s">
        <v>916</v>
      </c>
      <c r="D2401" s="209">
        <v>0.33333000000000002</v>
      </c>
      <c r="E2401" s="210">
        <f>+'FP OPERATIVO'!F35</f>
        <v>295642.2840888889</v>
      </c>
      <c r="F2401" s="211">
        <f>+ROUND((D2401*E2401),0)</f>
        <v>98546</v>
      </c>
      <c r="G2401" s="147"/>
    </row>
    <row r="2402" spans="2:7" ht="15" thickBot="1">
      <c r="B2402" s="218" t="s">
        <v>1297</v>
      </c>
      <c r="C2402" s="202" t="s">
        <v>916</v>
      </c>
      <c r="D2402" s="203">
        <v>0.14285999999999999</v>
      </c>
      <c r="E2402" s="204">
        <f>+'FP OPERATIVO'!F36</f>
        <v>302186.41694755561</v>
      </c>
      <c r="F2402" s="206">
        <f>+ROUND((D2402*E2402),0)</f>
        <v>43170</v>
      </c>
      <c r="G2402" s="142"/>
    </row>
    <row r="2403" spans="2:7" ht="15" thickBot="1">
      <c r="B2403" s="212"/>
      <c r="C2403" s="259">
        <v>25.519235045585901</v>
      </c>
      <c r="D2403" s="190"/>
      <c r="F2403" s="212" t="s">
        <v>900</v>
      </c>
      <c r="G2403" s="149">
        <f>+SUM(F2401:F2402)</f>
        <v>141716</v>
      </c>
    </row>
    <row r="2404" spans="2:7" ht="15" thickBot="1">
      <c r="B2404" s="216" t="s">
        <v>917</v>
      </c>
    </row>
    <row r="2405" spans="2:7">
      <c r="B2405" s="170" t="s">
        <v>897</v>
      </c>
      <c r="C2405" s="171" t="s">
        <v>319</v>
      </c>
      <c r="D2405" s="171" t="s">
        <v>320</v>
      </c>
      <c r="E2405" s="171" t="s">
        <v>898</v>
      </c>
      <c r="F2405" s="172" t="s">
        <v>899</v>
      </c>
      <c r="G2405" s="139"/>
    </row>
    <row r="2406" spans="2:7" ht="15" thickBot="1">
      <c r="B2406" s="218" t="s">
        <v>905</v>
      </c>
      <c r="C2406" s="202" t="s">
        <v>906</v>
      </c>
      <c r="D2406" s="203">
        <v>0.05</v>
      </c>
      <c r="E2406" s="204">
        <f>+G2403</f>
        <v>141716</v>
      </c>
      <c r="F2406" s="206">
        <f>+ROUND((D2406*E2406),0)</f>
        <v>7086</v>
      </c>
      <c r="G2406" s="147"/>
    </row>
    <row r="2407" spans="2:7" ht="15" thickBot="1">
      <c r="B2407" s="212"/>
      <c r="C2407" s="259">
        <v>1.2760021832737001</v>
      </c>
      <c r="D2407" s="190"/>
      <c r="F2407" s="212" t="s">
        <v>900</v>
      </c>
      <c r="G2407" s="148">
        <f>+SUM(F2406)</f>
        <v>7086</v>
      </c>
    </row>
    <row r="2408" spans="2:7" ht="15" thickBot="1">
      <c r="B2408" s="216" t="s">
        <v>1203</v>
      </c>
    </row>
    <row r="2409" spans="2:7">
      <c r="B2409" s="170" t="s">
        <v>897</v>
      </c>
      <c r="C2409" s="171" t="s">
        <v>319</v>
      </c>
      <c r="D2409" s="171" t="s">
        <v>320</v>
      </c>
      <c r="E2409" s="171" t="s">
        <v>898</v>
      </c>
      <c r="F2409" s="187" t="s">
        <v>899</v>
      </c>
      <c r="G2409" s="143"/>
    </row>
    <row r="2410" spans="2:7">
      <c r="B2410" s="222" t="s">
        <v>1298</v>
      </c>
      <c r="C2410" s="208" t="s">
        <v>1299</v>
      </c>
      <c r="D2410" s="209">
        <v>6.2509999999999996E-2</v>
      </c>
      <c r="E2410" s="210">
        <f>+EQUIPOS!C43</f>
        <v>78000</v>
      </c>
      <c r="F2410" s="213">
        <f t="shared" ref="F2410:F2412" si="21">+ROUND((D2410*E2410),0)</f>
        <v>4876</v>
      </c>
      <c r="G2410" s="162"/>
    </row>
    <row r="2411" spans="2:7">
      <c r="B2411" s="222" t="s">
        <v>1300</v>
      </c>
      <c r="C2411" s="208" t="s">
        <v>1299</v>
      </c>
      <c r="D2411" s="209">
        <v>4.3150000000000001E-2</v>
      </c>
      <c r="E2411" s="210">
        <f>+EQUIPOS!C35</f>
        <v>5500</v>
      </c>
      <c r="F2411" s="213">
        <f t="shared" si="21"/>
        <v>237</v>
      </c>
      <c r="G2411" s="162"/>
    </row>
    <row r="2412" spans="2:7">
      <c r="B2412" s="222" t="s">
        <v>1301</v>
      </c>
      <c r="C2412" s="208" t="s">
        <v>1299</v>
      </c>
      <c r="D2412" s="209">
        <v>4.3150000000000001E-2</v>
      </c>
      <c r="E2412" s="210">
        <f>+EQUIPOS!C36</f>
        <v>600</v>
      </c>
      <c r="F2412" s="213">
        <f t="shared" si="21"/>
        <v>26</v>
      </c>
      <c r="G2412" s="162"/>
    </row>
    <row r="2413" spans="2:7" ht="29.5" thickBot="1">
      <c r="B2413" s="223" t="s">
        <v>1204</v>
      </c>
      <c r="C2413" s="202" t="s">
        <v>198</v>
      </c>
      <c r="D2413" s="203">
        <v>0.05</v>
      </c>
      <c r="E2413" s="204">
        <v>36690</v>
      </c>
      <c r="F2413" s="205">
        <f>+ROUND((D2413*E2413),0)</f>
        <v>1835</v>
      </c>
      <c r="G2413" s="162"/>
    </row>
    <row r="2414" spans="2:7" ht="15" thickBot="1">
      <c r="B2414" s="212"/>
      <c r="C2414" s="259">
        <v>0.74190874724563804</v>
      </c>
      <c r="D2414" s="190"/>
      <c r="F2414" s="212" t="s">
        <v>900</v>
      </c>
      <c r="G2414" s="148">
        <f>+SUM(F2410:F2413)</f>
        <v>6974</v>
      </c>
    </row>
    <row r="2415" spans="2:7" ht="15" thickBot="1">
      <c r="B2415" s="216" t="s">
        <v>1302</v>
      </c>
    </row>
    <row r="2416" spans="2:7">
      <c r="B2416" s="170" t="s">
        <v>897</v>
      </c>
      <c r="C2416" s="171" t="s">
        <v>319</v>
      </c>
      <c r="D2416" s="171" t="s">
        <v>320</v>
      </c>
      <c r="E2416" s="171" t="s">
        <v>898</v>
      </c>
      <c r="F2416" s="187" t="s">
        <v>899</v>
      </c>
      <c r="G2416" s="139"/>
    </row>
    <row r="2417" spans="2:7">
      <c r="B2417" s="222" t="s">
        <v>1303</v>
      </c>
      <c r="C2417" s="208" t="s">
        <v>23</v>
      </c>
      <c r="D2417" s="209">
        <v>0.2135</v>
      </c>
      <c r="E2417" s="210">
        <f>+EQUIPOS!C53</f>
        <v>450000</v>
      </c>
      <c r="F2417" s="213">
        <f>+ROUND((D2417*E2417),0)</f>
        <v>96075</v>
      </c>
      <c r="G2417" s="147"/>
    </row>
    <row r="2418" spans="2:7" ht="29.5" thickBot="1">
      <c r="B2418" s="223" t="s">
        <v>1204</v>
      </c>
      <c r="C2418" s="202" t="s">
        <v>198</v>
      </c>
      <c r="D2418" s="203">
        <v>0.05</v>
      </c>
      <c r="E2418" s="204">
        <v>36690</v>
      </c>
      <c r="F2418" s="205">
        <f>+ROUND((D2418*E2418),0)</f>
        <v>1835</v>
      </c>
      <c r="G2418" s="142"/>
    </row>
    <row r="2419" spans="2:7" ht="15" thickBot="1">
      <c r="C2419" s="259">
        <v>0.74190874724563804</v>
      </c>
      <c r="D2419" s="190"/>
      <c r="F2419" s="212" t="s">
        <v>900</v>
      </c>
      <c r="G2419" s="148">
        <f>+SUM(F2417:F2418)</f>
        <v>97910</v>
      </c>
    </row>
    <row r="2420" spans="2:7" ht="15" thickBot="1"/>
    <row r="2421" spans="2:7" ht="15" thickBot="1">
      <c r="C2421" s="65"/>
      <c r="D2421" s="65"/>
      <c r="E2421" s="67" t="s">
        <v>908</v>
      </c>
      <c r="F2421" s="65"/>
      <c r="G2421" s="160" t="e">
        <f>+SUM(G2386:G2419)</f>
        <v>#REF!</v>
      </c>
    </row>
  </sheetData>
  <mergeCells count="776">
    <mergeCell ref="B1:G1"/>
    <mergeCell ref="B2:B6"/>
    <mergeCell ref="C2:G6"/>
    <mergeCell ref="B7:D12"/>
    <mergeCell ref="E7:E8"/>
    <mergeCell ref="F7:G8"/>
    <mergeCell ref="F9:G9"/>
    <mergeCell ref="F10:G10"/>
    <mergeCell ref="E11:E12"/>
    <mergeCell ref="F11:G12"/>
    <mergeCell ref="B45:D50"/>
    <mergeCell ref="E45:E46"/>
    <mergeCell ref="F45:G46"/>
    <mergeCell ref="F47:G47"/>
    <mergeCell ref="F48:G48"/>
    <mergeCell ref="E49:E50"/>
    <mergeCell ref="F49:G50"/>
    <mergeCell ref="B13:G14"/>
    <mergeCell ref="C15:F15"/>
    <mergeCell ref="C16:F16"/>
    <mergeCell ref="B39:G39"/>
    <mergeCell ref="B40:B44"/>
    <mergeCell ref="C40:G44"/>
    <mergeCell ref="E83:E84"/>
    <mergeCell ref="F83:G84"/>
    <mergeCell ref="B85:G86"/>
    <mergeCell ref="C87:F87"/>
    <mergeCell ref="C88:F88"/>
    <mergeCell ref="B108:G108"/>
    <mergeCell ref="B51:G52"/>
    <mergeCell ref="C53:F53"/>
    <mergeCell ref="C54:F54"/>
    <mergeCell ref="B74:B78"/>
    <mergeCell ref="C74:G78"/>
    <mergeCell ref="B79:D84"/>
    <mergeCell ref="E79:E80"/>
    <mergeCell ref="F79:G80"/>
    <mergeCell ref="F81:G81"/>
    <mergeCell ref="F82:G82"/>
    <mergeCell ref="B109:B113"/>
    <mergeCell ref="C109:G113"/>
    <mergeCell ref="B114:D119"/>
    <mergeCell ref="E114:E115"/>
    <mergeCell ref="F114:G115"/>
    <mergeCell ref="F116:G116"/>
    <mergeCell ref="F117:G117"/>
    <mergeCell ref="E118:E119"/>
    <mergeCell ref="F118:G119"/>
    <mergeCell ref="B147:D152"/>
    <mergeCell ref="E147:E148"/>
    <mergeCell ref="F147:G148"/>
    <mergeCell ref="F149:G149"/>
    <mergeCell ref="F150:G150"/>
    <mergeCell ref="E151:E152"/>
    <mergeCell ref="F151:G152"/>
    <mergeCell ref="B120:G121"/>
    <mergeCell ref="C122:F122"/>
    <mergeCell ref="C123:F123"/>
    <mergeCell ref="B141:G141"/>
    <mergeCell ref="B142:B146"/>
    <mergeCell ref="C142:G146"/>
    <mergeCell ref="B153:G154"/>
    <mergeCell ref="C155:F155"/>
    <mergeCell ref="C156:F156"/>
    <mergeCell ref="B173:B177"/>
    <mergeCell ref="C173:G177"/>
    <mergeCell ref="B178:D183"/>
    <mergeCell ref="E178:E179"/>
    <mergeCell ref="F178:G179"/>
    <mergeCell ref="F180:G180"/>
    <mergeCell ref="F181:G181"/>
    <mergeCell ref="B209:D214"/>
    <mergeCell ref="E209:E210"/>
    <mergeCell ref="F209:G210"/>
    <mergeCell ref="F211:G211"/>
    <mergeCell ref="F212:G212"/>
    <mergeCell ref="E213:E214"/>
    <mergeCell ref="F213:G214"/>
    <mergeCell ref="E182:E183"/>
    <mergeCell ref="F182:G183"/>
    <mergeCell ref="B184:G185"/>
    <mergeCell ref="C186:F186"/>
    <mergeCell ref="C187:F187"/>
    <mergeCell ref="B204:B208"/>
    <mergeCell ref="C204:G208"/>
    <mergeCell ref="B215:G216"/>
    <mergeCell ref="C217:F217"/>
    <mergeCell ref="C218:F218"/>
    <mergeCell ref="B239:B243"/>
    <mergeCell ref="C239:G243"/>
    <mergeCell ref="B244:D249"/>
    <mergeCell ref="E244:E245"/>
    <mergeCell ref="F244:G245"/>
    <mergeCell ref="F246:G246"/>
    <mergeCell ref="F247:G247"/>
    <mergeCell ref="B278:D283"/>
    <mergeCell ref="E278:E279"/>
    <mergeCell ref="F278:G279"/>
    <mergeCell ref="F280:G280"/>
    <mergeCell ref="F281:G281"/>
    <mergeCell ref="E282:E283"/>
    <mergeCell ref="F282:G283"/>
    <mergeCell ref="E248:E249"/>
    <mergeCell ref="F248:G249"/>
    <mergeCell ref="B250:G251"/>
    <mergeCell ref="C252:F252"/>
    <mergeCell ref="C253:F253"/>
    <mergeCell ref="B273:B277"/>
    <mergeCell ref="C273:G277"/>
    <mergeCell ref="E317:E318"/>
    <mergeCell ref="F317:G318"/>
    <mergeCell ref="B319:G320"/>
    <mergeCell ref="C321:F321"/>
    <mergeCell ref="C322:F322"/>
    <mergeCell ref="B339:G339"/>
    <mergeCell ref="B284:G285"/>
    <mergeCell ref="C286:F286"/>
    <mergeCell ref="C287:F287"/>
    <mergeCell ref="B308:B312"/>
    <mergeCell ref="C308:G312"/>
    <mergeCell ref="B313:D318"/>
    <mergeCell ref="E313:E314"/>
    <mergeCell ref="F313:G314"/>
    <mergeCell ref="F315:G315"/>
    <mergeCell ref="F316:G316"/>
    <mergeCell ref="B340:B344"/>
    <mergeCell ref="C340:G344"/>
    <mergeCell ref="B345:D350"/>
    <mergeCell ref="E345:E346"/>
    <mergeCell ref="F345:G346"/>
    <mergeCell ref="F347:G347"/>
    <mergeCell ref="F348:G348"/>
    <mergeCell ref="E349:E350"/>
    <mergeCell ref="F349:G350"/>
    <mergeCell ref="B351:G352"/>
    <mergeCell ref="C353:F353"/>
    <mergeCell ref="C354:F354"/>
    <mergeCell ref="B376:B380"/>
    <mergeCell ref="C376:G380"/>
    <mergeCell ref="B381:D386"/>
    <mergeCell ref="E381:E382"/>
    <mergeCell ref="F381:G382"/>
    <mergeCell ref="F383:G383"/>
    <mergeCell ref="F384:G384"/>
    <mergeCell ref="B416:D421"/>
    <mergeCell ref="E416:E417"/>
    <mergeCell ref="F416:G417"/>
    <mergeCell ref="F418:G418"/>
    <mergeCell ref="F419:G419"/>
    <mergeCell ref="E420:E421"/>
    <mergeCell ref="F420:G421"/>
    <mergeCell ref="E385:E386"/>
    <mergeCell ref="F385:G386"/>
    <mergeCell ref="B387:G388"/>
    <mergeCell ref="C389:F389"/>
    <mergeCell ref="C390:F390"/>
    <mergeCell ref="B411:B415"/>
    <mergeCell ref="C411:G415"/>
    <mergeCell ref="B422:G423"/>
    <mergeCell ref="C424:F424"/>
    <mergeCell ref="C425:F425"/>
    <mergeCell ref="B449:B453"/>
    <mergeCell ref="C449:G453"/>
    <mergeCell ref="B454:D459"/>
    <mergeCell ref="E454:E455"/>
    <mergeCell ref="F454:G455"/>
    <mergeCell ref="F456:G456"/>
    <mergeCell ref="F457:G457"/>
    <mergeCell ref="B485:D490"/>
    <mergeCell ref="E485:E486"/>
    <mergeCell ref="F485:G486"/>
    <mergeCell ref="F487:G487"/>
    <mergeCell ref="F488:G488"/>
    <mergeCell ref="E489:E490"/>
    <mergeCell ref="F489:G490"/>
    <mergeCell ref="E458:E459"/>
    <mergeCell ref="F458:G459"/>
    <mergeCell ref="B460:G461"/>
    <mergeCell ref="C462:F462"/>
    <mergeCell ref="C463:F463"/>
    <mergeCell ref="B480:B484"/>
    <mergeCell ref="C480:G484"/>
    <mergeCell ref="B522:D527"/>
    <mergeCell ref="E522:E523"/>
    <mergeCell ref="F522:G523"/>
    <mergeCell ref="F524:G524"/>
    <mergeCell ref="F525:G525"/>
    <mergeCell ref="E526:E527"/>
    <mergeCell ref="F526:G527"/>
    <mergeCell ref="B491:G492"/>
    <mergeCell ref="C493:F493"/>
    <mergeCell ref="C494:F494"/>
    <mergeCell ref="B516:G516"/>
    <mergeCell ref="B517:B521"/>
    <mergeCell ref="C517:G521"/>
    <mergeCell ref="B528:G529"/>
    <mergeCell ref="C530:F530"/>
    <mergeCell ref="C531:F531"/>
    <mergeCell ref="B560:B564"/>
    <mergeCell ref="C560:G564"/>
    <mergeCell ref="B565:D570"/>
    <mergeCell ref="E565:E566"/>
    <mergeCell ref="F565:G566"/>
    <mergeCell ref="F567:G567"/>
    <mergeCell ref="F568:G568"/>
    <mergeCell ref="B607:D612"/>
    <mergeCell ref="E607:E608"/>
    <mergeCell ref="F607:G608"/>
    <mergeCell ref="F609:G609"/>
    <mergeCell ref="F610:G610"/>
    <mergeCell ref="E611:E612"/>
    <mergeCell ref="F611:G612"/>
    <mergeCell ref="E569:E570"/>
    <mergeCell ref="F569:G570"/>
    <mergeCell ref="B571:G572"/>
    <mergeCell ref="C573:F573"/>
    <mergeCell ref="B602:B606"/>
    <mergeCell ref="C602:G606"/>
    <mergeCell ref="B613:G614"/>
    <mergeCell ref="C615:F615"/>
    <mergeCell ref="C616:F616"/>
    <mergeCell ref="B653:B657"/>
    <mergeCell ref="C653:G657"/>
    <mergeCell ref="B658:D663"/>
    <mergeCell ref="E658:E659"/>
    <mergeCell ref="F658:G659"/>
    <mergeCell ref="F660:G660"/>
    <mergeCell ref="F661:G661"/>
    <mergeCell ref="B693:D698"/>
    <mergeCell ref="E693:E694"/>
    <mergeCell ref="F693:G694"/>
    <mergeCell ref="F695:G695"/>
    <mergeCell ref="F696:G696"/>
    <mergeCell ref="E697:E698"/>
    <mergeCell ref="F697:G698"/>
    <mergeCell ref="E662:E663"/>
    <mergeCell ref="F662:G663"/>
    <mergeCell ref="B664:G665"/>
    <mergeCell ref="C666:F666"/>
    <mergeCell ref="C667:F667"/>
    <mergeCell ref="B688:B692"/>
    <mergeCell ref="C688:G692"/>
    <mergeCell ref="B699:G700"/>
    <mergeCell ref="C701:F701"/>
    <mergeCell ref="C702:F702"/>
    <mergeCell ref="B722:B726"/>
    <mergeCell ref="C722:G726"/>
    <mergeCell ref="B727:D732"/>
    <mergeCell ref="E727:E728"/>
    <mergeCell ref="F727:G728"/>
    <mergeCell ref="F729:G729"/>
    <mergeCell ref="F730:G730"/>
    <mergeCell ref="B764:D769"/>
    <mergeCell ref="E764:E765"/>
    <mergeCell ref="F764:G765"/>
    <mergeCell ref="F766:G766"/>
    <mergeCell ref="F767:G767"/>
    <mergeCell ref="E768:E769"/>
    <mergeCell ref="F768:G769"/>
    <mergeCell ref="E731:E732"/>
    <mergeCell ref="F731:G732"/>
    <mergeCell ref="B733:G734"/>
    <mergeCell ref="C735:F735"/>
    <mergeCell ref="C736:F736"/>
    <mergeCell ref="B759:B763"/>
    <mergeCell ref="C759:G763"/>
    <mergeCell ref="B802:D807"/>
    <mergeCell ref="E802:E803"/>
    <mergeCell ref="F802:G803"/>
    <mergeCell ref="F804:G804"/>
    <mergeCell ref="F805:G805"/>
    <mergeCell ref="E806:E807"/>
    <mergeCell ref="F806:G807"/>
    <mergeCell ref="B770:G771"/>
    <mergeCell ref="C772:F772"/>
    <mergeCell ref="C773:F773"/>
    <mergeCell ref="B796:G796"/>
    <mergeCell ref="B797:B801"/>
    <mergeCell ref="C797:G801"/>
    <mergeCell ref="B839:D844"/>
    <mergeCell ref="E839:E840"/>
    <mergeCell ref="F839:G840"/>
    <mergeCell ref="F841:G841"/>
    <mergeCell ref="F842:G842"/>
    <mergeCell ref="E843:E844"/>
    <mergeCell ref="F843:G844"/>
    <mergeCell ref="B808:G809"/>
    <mergeCell ref="C810:F810"/>
    <mergeCell ref="C811:F811"/>
    <mergeCell ref="B833:G833"/>
    <mergeCell ref="B834:B838"/>
    <mergeCell ref="C834:G838"/>
    <mergeCell ref="B876:D881"/>
    <mergeCell ref="E876:E877"/>
    <mergeCell ref="F876:G877"/>
    <mergeCell ref="F878:G878"/>
    <mergeCell ref="F879:G879"/>
    <mergeCell ref="E880:E881"/>
    <mergeCell ref="F880:G881"/>
    <mergeCell ref="B845:G846"/>
    <mergeCell ref="C847:F847"/>
    <mergeCell ref="C848:F848"/>
    <mergeCell ref="B870:G870"/>
    <mergeCell ref="B871:B875"/>
    <mergeCell ref="C871:G875"/>
    <mergeCell ref="B882:G883"/>
    <mergeCell ref="C884:F884"/>
    <mergeCell ref="C885:F885"/>
    <mergeCell ref="B916:B920"/>
    <mergeCell ref="C916:G920"/>
    <mergeCell ref="B921:D926"/>
    <mergeCell ref="E921:E922"/>
    <mergeCell ref="F921:G922"/>
    <mergeCell ref="F923:G923"/>
    <mergeCell ref="F924:G924"/>
    <mergeCell ref="B964:D969"/>
    <mergeCell ref="E964:E965"/>
    <mergeCell ref="F964:G965"/>
    <mergeCell ref="F966:G966"/>
    <mergeCell ref="F967:G967"/>
    <mergeCell ref="E968:E969"/>
    <mergeCell ref="F968:G969"/>
    <mergeCell ref="E925:E926"/>
    <mergeCell ref="F925:G926"/>
    <mergeCell ref="B927:G928"/>
    <mergeCell ref="C929:F929"/>
    <mergeCell ref="C930:F930"/>
    <mergeCell ref="B959:B963"/>
    <mergeCell ref="C959:G963"/>
    <mergeCell ref="B970:G971"/>
    <mergeCell ref="C972:F972"/>
    <mergeCell ref="C973:F973"/>
    <mergeCell ref="B996:B1000"/>
    <mergeCell ref="C996:G1000"/>
    <mergeCell ref="B1001:D1006"/>
    <mergeCell ref="E1001:E1002"/>
    <mergeCell ref="F1001:G1002"/>
    <mergeCell ref="F1003:G1003"/>
    <mergeCell ref="F1004:G1004"/>
    <mergeCell ref="B1038:D1043"/>
    <mergeCell ref="E1038:E1039"/>
    <mergeCell ref="F1038:G1039"/>
    <mergeCell ref="F1040:G1040"/>
    <mergeCell ref="F1041:G1041"/>
    <mergeCell ref="E1042:E1043"/>
    <mergeCell ref="F1042:G1043"/>
    <mergeCell ref="E1005:E1006"/>
    <mergeCell ref="F1005:G1006"/>
    <mergeCell ref="B1007:G1008"/>
    <mergeCell ref="C1009:F1009"/>
    <mergeCell ref="C1010:F1010"/>
    <mergeCell ref="B1033:B1037"/>
    <mergeCell ref="C1033:G1037"/>
    <mergeCell ref="B1076:D1081"/>
    <mergeCell ref="E1076:E1077"/>
    <mergeCell ref="F1076:G1077"/>
    <mergeCell ref="F1078:G1078"/>
    <mergeCell ref="F1079:G1079"/>
    <mergeCell ref="E1080:E1081"/>
    <mergeCell ref="F1080:G1081"/>
    <mergeCell ref="B1044:G1045"/>
    <mergeCell ref="C1046:F1046"/>
    <mergeCell ref="C1047:F1047"/>
    <mergeCell ref="B1070:G1070"/>
    <mergeCell ref="B1071:B1075"/>
    <mergeCell ref="C1071:G1075"/>
    <mergeCell ref="B1082:G1083"/>
    <mergeCell ref="C1084:F1084"/>
    <mergeCell ref="C1085:F1085"/>
    <mergeCell ref="B1112:B1116"/>
    <mergeCell ref="C1112:G1116"/>
    <mergeCell ref="B1117:D1122"/>
    <mergeCell ref="E1117:E1118"/>
    <mergeCell ref="F1117:G1118"/>
    <mergeCell ref="F1119:G1119"/>
    <mergeCell ref="F1120:G1120"/>
    <mergeCell ref="B1154:D1159"/>
    <mergeCell ref="E1154:E1155"/>
    <mergeCell ref="F1154:G1155"/>
    <mergeCell ref="F1156:G1156"/>
    <mergeCell ref="F1157:G1157"/>
    <mergeCell ref="E1158:E1159"/>
    <mergeCell ref="F1158:G1159"/>
    <mergeCell ref="E1121:E1122"/>
    <mergeCell ref="F1121:G1122"/>
    <mergeCell ref="B1123:G1124"/>
    <mergeCell ref="C1125:F1125"/>
    <mergeCell ref="C1126:F1126"/>
    <mergeCell ref="B1149:B1153"/>
    <mergeCell ref="C1149:G1153"/>
    <mergeCell ref="B1187:D1192"/>
    <mergeCell ref="E1187:E1188"/>
    <mergeCell ref="F1187:G1188"/>
    <mergeCell ref="F1189:G1189"/>
    <mergeCell ref="F1190:G1190"/>
    <mergeCell ref="E1191:E1192"/>
    <mergeCell ref="F1191:G1192"/>
    <mergeCell ref="B1160:G1161"/>
    <mergeCell ref="C1162:F1162"/>
    <mergeCell ref="C1163:F1163"/>
    <mergeCell ref="B1181:G1181"/>
    <mergeCell ref="B1182:B1186"/>
    <mergeCell ref="C1182:G1186"/>
    <mergeCell ref="B1223:D1228"/>
    <mergeCell ref="E1223:E1224"/>
    <mergeCell ref="F1223:G1224"/>
    <mergeCell ref="F1225:G1225"/>
    <mergeCell ref="F1226:G1226"/>
    <mergeCell ref="E1227:E1228"/>
    <mergeCell ref="F1227:G1228"/>
    <mergeCell ref="B1193:G1194"/>
    <mergeCell ref="C1195:F1195"/>
    <mergeCell ref="C1196:F1196"/>
    <mergeCell ref="B1217:G1217"/>
    <mergeCell ref="B1218:B1222"/>
    <mergeCell ref="C1218:G1222"/>
    <mergeCell ref="B1229:G1230"/>
    <mergeCell ref="C1231:F1231"/>
    <mergeCell ref="C1232:F1232"/>
    <mergeCell ref="B1253:B1257"/>
    <mergeCell ref="C1253:G1257"/>
    <mergeCell ref="B1258:D1263"/>
    <mergeCell ref="E1258:E1259"/>
    <mergeCell ref="F1258:G1259"/>
    <mergeCell ref="F1260:G1260"/>
    <mergeCell ref="F1261:G1261"/>
    <mergeCell ref="B1293:D1298"/>
    <mergeCell ref="E1293:E1294"/>
    <mergeCell ref="F1293:G1294"/>
    <mergeCell ref="F1295:G1295"/>
    <mergeCell ref="F1296:G1296"/>
    <mergeCell ref="E1297:E1298"/>
    <mergeCell ref="F1297:G1298"/>
    <mergeCell ref="E1262:E1263"/>
    <mergeCell ref="F1262:G1263"/>
    <mergeCell ref="B1264:G1265"/>
    <mergeCell ref="C1266:F1266"/>
    <mergeCell ref="C1267:F1267"/>
    <mergeCell ref="B1288:B1292"/>
    <mergeCell ref="C1288:G1292"/>
    <mergeCell ref="B1330:D1335"/>
    <mergeCell ref="E1330:E1331"/>
    <mergeCell ref="F1330:G1331"/>
    <mergeCell ref="F1332:G1332"/>
    <mergeCell ref="F1333:G1333"/>
    <mergeCell ref="E1334:E1335"/>
    <mergeCell ref="F1334:G1335"/>
    <mergeCell ref="B1299:G1300"/>
    <mergeCell ref="C1301:F1301"/>
    <mergeCell ref="C1302:F1302"/>
    <mergeCell ref="B1324:G1324"/>
    <mergeCell ref="B1325:B1329"/>
    <mergeCell ref="C1325:G1329"/>
    <mergeCell ref="B1336:G1337"/>
    <mergeCell ref="C1338:F1338"/>
    <mergeCell ref="C1339:F1339"/>
    <mergeCell ref="B1365:B1369"/>
    <mergeCell ref="C1365:G1369"/>
    <mergeCell ref="B1370:D1375"/>
    <mergeCell ref="E1370:E1371"/>
    <mergeCell ref="F1370:G1371"/>
    <mergeCell ref="F1372:G1372"/>
    <mergeCell ref="F1373:G1373"/>
    <mergeCell ref="B1410:D1415"/>
    <mergeCell ref="E1410:E1411"/>
    <mergeCell ref="F1410:G1411"/>
    <mergeCell ref="F1412:G1412"/>
    <mergeCell ref="F1413:G1413"/>
    <mergeCell ref="E1414:E1415"/>
    <mergeCell ref="F1414:G1415"/>
    <mergeCell ref="E1374:E1375"/>
    <mergeCell ref="F1374:G1375"/>
    <mergeCell ref="B1376:G1377"/>
    <mergeCell ref="C1378:F1378"/>
    <mergeCell ref="C1379:F1379"/>
    <mergeCell ref="B1405:B1409"/>
    <mergeCell ref="C1405:G1409"/>
    <mergeCell ref="B1416:G1417"/>
    <mergeCell ref="C1418:F1418"/>
    <mergeCell ref="C1419:F1419"/>
    <mergeCell ref="B1448:B1452"/>
    <mergeCell ref="C1448:G1452"/>
    <mergeCell ref="B1453:D1458"/>
    <mergeCell ref="E1453:E1454"/>
    <mergeCell ref="F1453:G1454"/>
    <mergeCell ref="F1455:G1455"/>
    <mergeCell ref="F1456:G1456"/>
    <mergeCell ref="B1496:D1501"/>
    <mergeCell ref="E1496:E1497"/>
    <mergeCell ref="F1496:G1497"/>
    <mergeCell ref="F1498:G1498"/>
    <mergeCell ref="F1499:G1499"/>
    <mergeCell ref="E1500:E1501"/>
    <mergeCell ref="F1500:G1501"/>
    <mergeCell ref="E1457:E1458"/>
    <mergeCell ref="F1457:G1458"/>
    <mergeCell ref="B1459:G1460"/>
    <mergeCell ref="C1461:F1461"/>
    <mergeCell ref="C1462:F1462"/>
    <mergeCell ref="B1491:B1495"/>
    <mergeCell ref="C1491:G1495"/>
    <mergeCell ref="B1502:G1503"/>
    <mergeCell ref="C1504:F1504"/>
    <mergeCell ref="C1505:F1505"/>
    <mergeCell ref="B1527:B1531"/>
    <mergeCell ref="C1527:G1531"/>
    <mergeCell ref="B1532:D1537"/>
    <mergeCell ref="E1532:E1533"/>
    <mergeCell ref="F1532:G1533"/>
    <mergeCell ref="F1534:G1534"/>
    <mergeCell ref="F1535:G1535"/>
    <mergeCell ref="B1568:D1573"/>
    <mergeCell ref="E1568:E1569"/>
    <mergeCell ref="F1568:G1569"/>
    <mergeCell ref="F1570:G1570"/>
    <mergeCell ref="F1571:G1571"/>
    <mergeCell ref="E1572:E1573"/>
    <mergeCell ref="F1572:G1573"/>
    <mergeCell ref="E1536:E1537"/>
    <mergeCell ref="F1536:G1537"/>
    <mergeCell ref="B1538:G1539"/>
    <mergeCell ref="C1540:F1540"/>
    <mergeCell ref="C1541:F1541"/>
    <mergeCell ref="B1563:B1567"/>
    <mergeCell ref="C1563:G1567"/>
    <mergeCell ref="E1608:E1609"/>
    <mergeCell ref="F1608:G1609"/>
    <mergeCell ref="B1610:G1611"/>
    <mergeCell ref="C1612:F1612"/>
    <mergeCell ref="C1613:F1613"/>
    <mergeCell ref="B1635:G1635"/>
    <mergeCell ref="B1574:G1575"/>
    <mergeCell ref="C1576:F1576"/>
    <mergeCell ref="C1577:F1577"/>
    <mergeCell ref="B1599:B1603"/>
    <mergeCell ref="C1599:G1603"/>
    <mergeCell ref="B1604:D1609"/>
    <mergeCell ref="E1604:E1605"/>
    <mergeCell ref="F1604:G1605"/>
    <mergeCell ref="F1606:G1606"/>
    <mergeCell ref="F1607:G1607"/>
    <mergeCell ref="B1636:B1640"/>
    <mergeCell ref="C1636:G1640"/>
    <mergeCell ref="B1641:D1646"/>
    <mergeCell ref="E1641:E1642"/>
    <mergeCell ref="F1641:G1642"/>
    <mergeCell ref="F1643:G1643"/>
    <mergeCell ref="F1644:G1644"/>
    <mergeCell ref="E1645:E1646"/>
    <mergeCell ref="F1645:G1646"/>
    <mergeCell ref="B1680:D1685"/>
    <mergeCell ref="E1680:E1681"/>
    <mergeCell ref="F1680:G1681"/>
    <mergeCell ref="F1682:G1682"/>
    <mergeCell ref="F1683:G1683"/>
    <mergeCell ref="E1684:E1685"/>
    <mergeCell ref="F1684:G1685"/>
    <mergeCell ref="B1647:G1648"/>
    <mergeCell ref="C1649:F1649"/>
    <mergeCell ref="C1650:F1650"/>
    <mergeCell ref="B1674:G1674"/>
    <mergeCell ref="B1675:B1679"/>
    <mergeCell ref="C1675:G1679"/>
    <mergeCell ref="B1729:D1734"/>
    <mergeCell ref="E1729:E1730"/>
    <mergeCell ref="F1729:G1730"/>
    <mergeCell ref="F1731:G1731"/>
    <mergeCell ref="F1732:G1732"/>
    <mergeCell ref="E1733:E1734"/>
    <mergeCell ref="F1733:G1734"/>
    <mergeCell ref="B1686:G1687"/>
    <mergeCell ref="C1688:F1688"/>
    <mergeCell ref="C1689:F1689"/>
    <mergeCell ref="B1723:G1723"/>
    <mergeCell ref="B1724:B1728"/>
    <mergeCell ref="C1724:G1728"/>
    <mergeCell ref="B1735:G1736"/>
    <mergeCell ref="C1737:F1737"/>
    <mergeCell ref="C1738:F1738"/>
    <mergeCell ref="B1767:B1771"/>
    <mergeCell ref="C1767:G1771"/>
    <mergeCell ref="B1772:D1777"/>
    <mergeCell ref="E1772:E1773"/>
    <mergeCell ref="F1772:G1773"/>
    <mergeCell ref="F1774:G1774"/>
    <mergeCell ref="F1775:G1775"/>
    <mergeCell ref="B1815:D1820"/>
    <mergeCell ref="E1815:E1816"/>
    <mergeCell ref="F1815:G1816"/>
    <mergeCell ref="F1817:G1817"/>
    <mergeCell ref="F1818:G1818"/>
    <mergeCell ref="E1819:E1820"/>
    <mergeCell ref="F1819:G1820"/>
    <mergeCell ref="E1776:E1777"/>
    <mergeCell ref="F1776:G1777"/>
    <mergeCell ref="B1778:G1779"/>
    <mergeCell ref="C1780:F1780"/>
    <mergeCell ref="C1781:F1781"/>
    <mergeCell ref="B1810:B1814"/>
    <mergeCell ref="C1810:G1814"/>
    <mergeCell ref="E1857:E1858"/>
    <mergeCell ref="F1857:G1858"/>
    <mergeCell ref="B1859:G1860"/>
    <mergeCell ref="C1861:F1861"/>
    <mergeCell ref="C1862:F1862"/>
    <mergeCell ref="B1893:G1893"/>
    <mergeCell ref="B1821:G1822"/>
    <mergeCell ref="C1823:F1823"/>
    <mergeCell ref="C1824:F1824"/>
    <mergeCell ref="B1848:B1852"/>
    <mergeCell ref="C1848:G1852"/>
    <mergeCell ref="B1853:D1858"/>
    <mergeCell ref="E1853:E1854"/>
    <mergeCell ref="F1853:G1854"/>
    <mergeCell ref="F1855:G1855"/>
    <mergeCell ref="F1856:G1856"/>
    <mergeCell ref="B1894:B1898"/>
    <mergeCell ref="C1894:G1898"/>
    <mergeCell ref="B1899:D1904"/>
    <mergeCell ref="E1899:E1900"/>
    <mergeCell ref="F1899:G1900"/>
    <mergeCell ref="F1901:G1901"/>
    <mergeCell ref="F1902:G1902"/>
    <mergeCell ref="E1903:E1904"/>
    <mergeCell ref="F1903:G1904"/>
    <mergeCell ref="B1905:G1906"/>
    <mergeCell ref="C1907:F1907"/>
    <mergeCell ref="C1908:F1908"/>
    <mergeCell ref="B1941:B1945"/>
    <mergeCell ref="C1941:G1945"/>
    <mergeCell ref="B1946:D1951"/>
    <mergeCell ref="E1946:E1947"/>
    <mergeCell ref="F1946:G1947"/>
    <mergeCell ref="F1948:G1948"/>
    <mergeCell ref="F1949:G1949"/>
    <mergeCell ref="B1987:D1992"/>
    <mergeCell ref="E1987:E1988"/>
    <mergeCell ref="F1987:G1988"/>
    <mergeCell ref="F1989:G1989"/>
    <mergeCell ref="F1990:G1990"/>
    <mergeCell ref="E1991:E1992"/>
    <mergeCell ref="F1991:G1992"/>
    <mergeCell ref="E1950:E1951"/>
    <mergeCell ref="F1950:G1951"/>
    <mergeCell ref="B1952:G1953"/>
    <mergeCell ref="C1954:F1954"/>
    <mergeCell ref="C1955:F1955"/>
    <mergeCell ref="B1982:B1986"/>
    <mergeCell ref="C1982:G1986"/>
    <mergeCell ref="B2029:D2034"/>
    <mergeCell ref="E2029:E2030"/>
    <mergeCell ref="F2029:G2030"/>
    <mergeCell ref="F2031:G2031"/>
    <mergeCell ref="F2032:G2032"/>
    <mergeCell ref="E2033:E2034"/>
    <mergeCell ref="F2033:G2034"/>
    <mergeCell ref="B1993:G1994"/>
    <mergeCell ref="C1995:F1995"/>
    <mergeCell ref="C1996:F1996"/>
    <mergeCell ref="B2023:G2023"/>
    <mergeCell ref="B2024:B2028"/>
    <mergeCell ref="C2024:G2028"/>
    <mergeCell ref="E2067:E2068"/>
    <mergeCell ref="F2067:G2068"/>
    <mergeCell ref="B2069:G2070"/>
    <mergeCell ref="C2071:F2071"/>
    <mergeCell ref="C2072:F2072"/>
    <mergeCell ref="B2088:G2088"/>
    <mergeCell ref="B2035:G2036"/>
    <mergeCell ref="C2037:F2037"/>
    <mergeCell ref="C2038:F2038"/>
    <mergeCell ref="B2058:B2062"/>
    <mergeCell ref="C2058:G2062"/>
    <mergeCell ref="B2063:D2068"/>
    <mergeCell ref="E2063:E2064"/>
    <mergeCell ref="F2063:G2064"/>
    <mergeCell ref="F2065:G2065"/>
    <mergeCell ref="F2066:G2066"/>
    <mergeCell ref="B2089:B2093"/>
    <mergeCell ref="C2089:G2093"/>
    <mergeCell ref="B2094:D2099"/>
    <mergeCell ref="E2094:E2095"/>
    <mergeCell ref="F2094:G2095"/>
    <mergeCell ref="F2096:G2096"/>
    <mergeCell ref="F2097:G2097"/>
    <mergeCell ref="E2098:E2099"/>
    <mergeCell ref="F2098:G2099"/>
    <mergeCell ref="B2100:G2101"/>
    <mergeCell ref="C2102:F2102"/>
    <mergeCell ref="C2103:F2103"/>
    <mergeCell ref="B2128:B2132"/>
    <mergeCell ref="C2128:G2132"/>
    <mergeCell ref="B2133:D2138"/>
    <mergeCell ref="E2133:E2134"/>
    <mergeCell ref="F2133:G2134"/>
    <mergeCell ref="F2135:G2135"/>
    <mergeCell ref="F2136:G2136"/>
    <mergeCell ref="B2177:D2182"/>
    <mergeCell ref="E2177:E2178"/>
    <mergeCell ref="F2177:G2178"/>
    <mergeCell ref="F2179:G2179"/>
    <mergeCell ref="F2180:G2180"/>
    <mergeCell ref="E2181:E2182"/>
    <mergeCell ref="F2181:G2182"/>
    <mergeCell ref="E2137:E2138"/>
    <mergeCell ref="F2137:G2138"/>
    <mergeCell ref="B2139:G2140"/>
    <mergeCell ref="C2141:F2141"/>
    <mergeCell ref="C2142:F2142"/>
    <mergeCell ref="B2172:B2176"/>
    <mergeCell ref="C2172:G2176"/>
    <mergeCell ref="B2214:D2219"/>
    <mergeCell ref="E2214:E2215"/>
    <mergeCell ref="F2214:G2215"/>
    <mergeCell ref="F2216:G2216"/>
    <mergeCell ref="F2217:G2217"/>
    <mergeCell ref="E2218:E2219"/>
    <mergeCell ref="F2218:G2219"/>
    <mergeCell ref="B2183:G2184"/>
    <mergeCell ref="C2185:F2185"/>
    <mergeCell ref="C2186:F2186"/>
    <mergeCell ref="B2208:G2208"/>
    <mergeCell ref="B2209:B2213"/>
    <mergeCell ref="C2209:G2213"/>
    <mergeCell ref="B2220:G2221"/>
    <mergeCell ref="C2222:F2222"/>
    <mergeCell ref="B2250:B2254"/>
    <mergeCell ref="C2250:G2254"/>
    <mergeCell ref="B2255:D2260"/>
    <mergeCell ref="E2255:E2256"/>
    <mergeCell ref="F2255:G2256"/>
    <mergeCell ref="F2257:G2257"/>
    <mergeCell ref="F2258:G2258"/>
    <mergeCell ref="E2259:E2260"/>
    <mergeCell ref="B2298:D2303"/>
    <mergeCell ref="E2298:E2299"/>
    <mergeCell ref="F2298:G2299"/>
    <mergeCell ref="F2300:G2300"/>
    <mergeCell ref="F2301:G2301"/>
    <mergeCell ref="E2302:E2303"/>
    <mergeCell ref="F2302:G2303"/>
    <mergeCell ref="F2259:G2260"/>
    <mergeCell ref="B2261:G2262"/>
    <mergeCell ref="C2263:F2263"/>
    <mergeCell ref="C2264:F2264"/>
    <mergeCell ref="B2292:G2292"/>
    <mergeCell ref="B2293:B2297"/>
    <mergeCell ref="C2293:G2297"/>
    <mergeCell ref="E2338:E2339"/>
    <mergeCell ref="F2338:G2339"/>
    <mergeCell ref="B2340:G2341"/>
    <mergeCell ref="C2342:F2342"/>
    <mergeCell ref="C2343:F2343"/>
    <mergeCell ref="B2369:G2369"/>
    <mergeCell ref="B2304:G2305"/>
    <mergeCell ref="C2306:F2306"/>
    <mergeCell ref="C2307:F2307"/>
    <mergeCell ref="B2329:B2333"/>
    <mergeCell ref="C2329:G2333"/>
    <mergeCell ref="B2334:D2339"/>
    <mergeCell ref="E2334:E2335"/>
    <mergeCell ref="F2334:G2335"/>
    <mergeCell ref="F2336:G2336"/>
    <mergeCell ref="F2337:G2337"/>
    <mergeCell ref="B2381:G2382"/>
    <mergeCell ref="C2383:F2383"/>
    <mergeCell ref="C2384:F2384"/>
    <mergeCell ref="B2370:B2374"/>
    <mergeCell ref="C2370:G2374"/>
    <mergeCell ref="B2375:D2380"/>
    <mergeCell ref="E2375:E2376"/>
    <mergeCell ref="F2375:G2376"/>
    <mergeCell ref="F2377:G2377"/>
    <mergeCell ref="F2378:G2378"/>
    <mergeCell ref="E2379:E2380"/>
    <mergeCell ref="F2379:G2380"/>
  </mergeCells>
  <pageMargins left="0.7" right="0.7" top="0.75" bottom="0.75" header="0.3" footer="0.3"/>
  <pageSetup scale="58" orientation="portrait" r:id="rId1"/>
  <rowBreaks count="55" manualBreakCount="55">
    <brk id="37" min="1" max="6" man="1"/>
    <brk id="73" min="1" max="6" man="1"/>
    <brk id="140" min="1" max="6" man="1"/>
    <brk id="172" min="1" max="6" man="1"/>
    <brk id="202" min="1" max="6" man="1"/>
    <brk id="237" min="1" max="6" man="1"/>
    <brk id="271" min="1" max="6" man="1"/>
    <brk id="306" min="1" max="6" man="1"/>
    <brk id="337" min="1" max="6" man="1"/>
    <brk id="374" min="1" max="6" man="1"/>
    <brk id="409" min="1" max="6" man="1"/>
    <brk id="447" min="1" max="6" man="1"/>
    <brk id="478" min="1" max="6" man="1"/>
    <brk id="514" min="1" max="6" man="1"/>
    <brk id="558" min="1" max="6" man="1"/>
    <brk id="600" min="1" max="6" man="1"/>
    <brk id="651" min="1" max="6" man="1"/>
    <brk id="686" min="1" max="6" man="1"/>
    <brk id="869" min="1" max="6" man="1"/>
    <brk id="914" min="1" max="6" man="1"/>
    <brk id="957" min="1" max="6" man="1"/>
    <brk id="994" min="1" max="6" man="1"/>
    <brk id="1031" min="1" max="6" man="1"/>
    <brk id="1068" min="1" max="6" man="1"/>
    <brk id="1110" min="1" max="6" man="1"/>
    <brk id="1147" min="1" max="6" man="1"/>
    <brk id="1179" min="1" max="6" man="1"/>
    <brk id="1215" min="1" max="6" man="1"/>
    <brk id="1286" min="1" max="6" man="1"/>
    <brk id="1322" min="1" max="6" man="1"/>
    <brk id="1363" min="1" max="6" man="1"/>
    <brk id="1403" min="1" max="6" man="1"/>
    <brk id="1446" min="1" max="6" man="1"/>
    <brk id="1489" min="1" max="6" man="1"/>
    <brk id="1525" min="1" max="6" man="1"/>
    <brk id="1561" min="1" max="6" man="1"/>
    <brk id="1597" min="1" max="6" man="1"/>
    <brk id="1633" min="1" max="6" man="1"/>
    <brk id="1672" min="1" max="6" man="1"/>
    <brk id="1721" min="1" max="6" man="1"/>
    <brk id="1765" min="1" max="6" man="1"/>
    <brk id="1808" min="1" max="6" man="1"/>
    <brk id="1846" min="1" max="6" man="1"/>
    <brk id="1891" min="1" max="6" man="1"/>
    <brk id="1939" min="1" max="6" man="1"/>
    <brk id="1980" min="1" max="6" man="1"/>
    <brk id="2021" min="1" max="6" man="1"/>
    <brk id="2056" min="1" max="6" man="1"/>
    <brk id="2086" min="1" max="6" man="1"/>
    <brk id="2126" min="1" max="6" man="1"/>
    <brk id="2170" min="1" max="6" man="1"/>
    <brk id="2206" min="1" max="6" man="1"/>
    <brk id="2290" min="1" max="6" man="1"/>
    <brk id="2327" min="1" max="6" man="1"/>
    <brk id="2367" min="1" max="6" man="1"/>
  </rowBreaks>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555392-F293-4BED-8E1C-1C26C36DDE47}">
  <sheetPr>
    <tabColor theme="4" tint="0.59999389629810485"/>
  </sheetPr>
  <dimension ref="A1:XCM387"/>
  <sheetViews>
    <sheetView topLeftCell="A6" workbookViewId="0">
      <selection activeCell="B63" sqref="B63:H63"/>
    </sheetView>
  </sheetViews>
  <sheetFormatPr baseColWidth="10" defaultColWidth="12.08984375" defaultRowHeight="15.5"/>
  <cols>
    <col min="1" max="1" width="2" style="1185" customWidth="1"/>
    <col min="2" max="2" width="9.453125" style="1192" customWidth="1"/>
    <col min="3" max="3" width="66.453125" style="1193" customWidth="1"/>
    <col min="4" max="4" width="15.453125" style="1193" customWidth="1"/>
    <col min="5" max="5" width="16.08984375" style="1194" customWidth="1"/>
    <col min="6" max="6" width="13.6328125" style="1186" customWidth="1"/>
    <col min="7" max="7" width="12.6328125" style="1186" customWidth="1"/>
    <col min="8" max="8" width="23.6328125" style="1186" customWidth="1"/>
    <col min="9" max="9" width="2" style="1250" customWidth="1"/>
    <col min="10" max="10" width="14.453125" style="1186" customWidth="1"/>
    <col min="11" max="187" width="11.08984375" style="1186" customWidth="1"/>
    <col min="188" max="227" width="12.08984375" style="1185"/>
    <col min="228" max="228" width="1.6328125" style="1185" customWidth="1"/>
    <col min="229" max="229" width="9.453125" style="1185" customWidth="1"/>
    <col min="230" max="230" width="47.453125" style="1185" customWidth="1"/>
    <col min="231" max="231" width="23.6328125" style="1185" bestFit="1" customWidth="1"/>
    <col min="232" max="232" width="15.453125" style="1185" customWidth="1"/>
    <col min="233" max="233" width="22.08984375" style="1185" customWidth="1"/>
    <col min="234" max="234" width="20.453125" style="1185" customWidth="1"/>
    <col min="235" max="235" width="23.08984375" style="1185" customWidth="1"/>
    <col min="236" max="241" width="4.6328125" style="1185" customWidth="1"/>
    <col min="242" max="243" width="3.6328125" style="1185" customWidth="1"/>
    <col min="244" max="251" width="4.453125" style="1185" customWidth="1"/>
    <col min="252" max="443" width="11.08984375" style="1185" customWidth="1"/>
    <col min="444" max="483" width="12.08984375" style="1185"/>
    <col min="484" max="484" width="1.6328125" style="1185" customWidth="1"/>
    <col min="485" max="485" width="9.453125" style="1185" customWidth="1"/>
    <col min="486" max="486" width="47.453125" style="1185" customWidth="1"/>
    <col min="487" max="487" width="23.6328125" style="1185" bestFit="1" customWidth="1"/>
    <col min="488" max="488" width="15.453125" style="1185" customWidth="1"/>
    <col min="489" max="489" width="22.08984375" style="1185" customWidth="1"/>
    <col min="490" max="490" width="20.453125" style="1185" customWidth="1"/>
    <col min="491" max="491" width="23.08984375" style="1185" customWidth="1"/>
    <col min="492" max="497" width="4.6328125" style="1185" customWidth="1"/>
    <col min="498" max="499" width="3.6328125" style="1185" customWidth="1"/>
    <col min="500" max="507" width="4.453125" style="1185" customWidth="1"/>
    <col min="508" max="699" width="11.08984375" style="1185" customWidth="1"/>
    <col min="700" max="739" width="12.08984375" style="1185"/>
    <col min="740" max="740" width="1.6328125" style="1185" customWidth="1"/>
    <col min="741" max="741" width="9.453125" style="1185" customWidth="1"/>
    <col min="742" max="742" width="47.453125" style="1185" customWidth="1"/>
    <col min="743" max="743" width="23.6328125" style="1185" bestFit="1" customWidth="1"/>
    <col min="744" max="744" width="15.453125" style="1185" customWidth="1"/>
    <col min="745" max="745" width="22.08984375" style="1185" customWidth="1"/>
    <col min="746" max="746" width="20.453125" style="1185" customWidth="1"/>
    <col min="747" max="747" width="23.08984375" style="1185" customWidth="1"/>
    <col min="748" max="753" width="4.6328125" style="1185" customWidth="1"/>
    <col min="754" max="755" width="3.6328125" style="1185" customWidth="1"/>
    <col min="756" max="763" width="4.453125" style="1185" customWidth="1"/>
    <col min="764" max="955" width="11.08984375" style="1185" customWidth="1"/>
    <col min="956" max="995" width="12.08984375" style="1185"/>
    <col min="996" max="996" width="1.6328125" style="1185" customWidth="1"/>
    <col min="997" max="997" width="9.453125" style="1185" customWidth="1"/>
    <col min="998" max="998" width="47.453125" style="1185" customWidth="1"/>
    <col min="999" max="999" width="23.6328125" style="1185" bestFit="1" customWidth="1"/>
    <col min="1000" max="1000" width="15.453125" style="1185" customWidth="1"/>
    <col min="1001" max="1001" width="22.08984375" style="1185" customWidth="1"/>
    <col min="1002" max="1002" width="20.453125" style="1185" customWidth="1"/>
    <col min="1003" max="1003" width="23.08984375" style="1185" customWidth="1"/>
    <col min="1004" max="1009" width="4.6328125" style="1185" customWidth="1"/>
    <col min="1010" max="1011" width="3.6328125" style="1185" customWidth="1"/>
    <col min="1012" max="1019" width="4.453125" style="1185" customWidth="1"/>
    <col min="1020" max="1211" width="11.08984375" style="1185" customWidth="1"/>
    <col min="1212" max="1251" width="12.08984375" style="1185"/>
    <col min="1252" max="1252" width="1.6328125" style="1185" customWidth="1"/>
    <col min="1253" max="1253" width="9.453125" style="1185" customWidth="1"/>
    <col min="1254" max="1254" width="47.453125" style="1185" customWidth="1"/>
    <col min="1255" max="1255" width="23.6328125" style="1185" bestFit="1" customWidth="1"/>
    <col min="1256" max="1256" width="15.453125" style="1185" customWidth="1"/>
    <col min="1257" max="1257" width="22.08984375" style="1185" customWidth="1"/>
    <col min="1258" max="1258" width="20.453125" style="1185" customWidth="1"/>
    <col min="1259" max="1259" width="23.08984375" style="1185" customWidth="1"/>
    <col min="1260" max="1265" width="4.6328125" style="1185" customWidth="1"/>
    <col min="1266" max="1267" width="3.6328125" style="1185" customWidth="1"/>
    <col min="1268" max="1275" width="4.453125" style="1185" customWidth="1"/>
    <col min="1276" max="1467" width="11.08984375" style="1185" customWidth="1"/>
    <col min="1468" max="1507" width="12.08984375" style="1185"/>
    <col min="1508" max="1508" width="1.6328125" style="1185" customWidth="1"/>
    <col min="1509" max="1509" width="9.453125" style="1185" customWidth="1"/>
    <col min="1510" max="1510" width="47.453125" style="1185" customWidth="1"/>
    <col min="1511" max="1511" width="23.6328125" style="1185" bestFit="1" customWidth="1"/>
    <col min="1512" max="1512" width="15.453125" style="1185" customWidth="1"/>
    <col min="1513" max="1513" width="22.08984375" style="1185" customWidth="1"/>
    <col min="1514" max="1514" width="20.453125" style="1185" customWidth="1"/>
    <col min="1515" max="1515" width="23.08984375" style="1185" customWidth="1"/>
    <col min="1516" max="1521" width="4.6328125" style="1185" customWidth="1"/>
    <col min="1522" max="1523" width="3.6328125" style="1185" customWidth="1"/>
    <col min="1524" max="1531" width="4.453125" style="1185" customWidth="1"/>
    <col min="1532" max="1723" width="11.08984375" style="1185" customWidth="1"/>
    <col min="1724" max="1763" width="12.08984375" style="1185"/>
    <col min="1764" max="1764" width="1.6328125" style="1185" customWidth="1"/>
    <col min="1765" max="1765" width="9.453125" style="1185" customWidth="1"/>
    <col min="1766" max="1766" width="47.453125" style="1185" customWidth="1"/>
    <col min="1767" max="1767" width="23.6328125" style="1185" bestFit="1" customWidth="1"/>
    <col min="1768" max="1768" width="15.453125" style="1185" customWidth="1"/>
    <col min="1769" max="1769" width="22.08984375" style="1185" customWidth="1"/>
    <col min="1770" max="1770" width="20.453125" style="1185" customWidth="1"/>
    <col min="1771" max="1771" width="23.08984375" style="1185" customWidth="1"/>
    <col min="1772" max="1777" width="4.6328125" style="1185" customWidth="1"/>
    <col min="1778" max="1779" width="3.6328125" style="1185" customWidth="1"/>
    <col min="1780" max="1787" width="4.453125" style="1185" customWidth="1"/>
    <col min="1788" max="1979" width="11.08984375" style="1185" customWidth="1"/>
    <col min="1980" max="2019" width="12.08984375" style="1185"/>
    <col min="2020" max="2020" width="1.6328125" style="1185" customWidth="1"/>
    <col min="2021" max="2021" width="9.453125" style="1185" customWidth="1"/>
    <col min="2022" max="2022" width="47.453125" style="1185" customWidth="1"/>
    <col min="2023" max="2023" width="23.6328125" style="1185" bestFit="1" customWidth="1"/>
    <col min="2024" max="2024" width="15.453125" style="1185" customWidth="1"/>
    <col min="2025" max="2025" width="22.08984375" style="1185" customWidth="1"/>
    <col min="2026" max="2026" width="20.453125" style="1185" customWidth="1"/>
    <col min="2027" max="2027" width="23.08984375" style="1185" customWidth="1"/>
    <col min="2028" max="2033" width="4.6328125" style="1185" customWidth="1"/>
    <col min="2034" max="2035" width="3.6328125" style="1185" customWidth="1"/>
    <col min="2036" max="2043" width="4.453125" style="1185" customWidth="1"/>
    <col min="2044" max="2235" width="11.08984375" style="1185" customWidth="1"/>
    <col min="2236" max="2275" width="12.08984375" style="1185"/>
    <col min="2276" max="2276" width="1.6328125" style="1185" customWidth="1"/>
    <col min="2277" max="2277" width="9.453125" style="1185" customWidth="1"/>
    <col min="2278" max="2278" width="47.453125" style="1185" customWidth="1"/>
    <col min="2279" max="2279" width="23.6328125" style="1185" bestFit="1" customWidth="1"/>
    <col min="2280" max="2280" width="15.453125" style="1185" customWidth="1"/>
    <col min="2281" max="2281" width="22.08984375" style="1185" customWidth="1"/>
    <col min="2282" max="2282" width="20.453125" style="1185" customWidth="1"/>
    <col min="2283" max="2283" width="23.08984375" style="1185" customWidth="1"/>
    <col min="2284" max="2289" width="4.6328125" style="1185" customWidth="1"/>
    <col min="2290" max="2291" width="3.6328125" style="1185" customWidth="1"/>
    <col min="2292" max="2299" width="4.453125" style="1185" customWidth="1"/>
    <col min="2300" max="2491" width="11.08984375" style="1185" customWidth="1"/>
    <col min="2492" max="2531" width="12.08984375" style="1185"/>
    <col min="2532" max="2532" width="1.6328125" style="1185" customWidth="1"/>
    <col min="2533" max="2533" width="9.453125" style="1185" customWidth="1"/>
    <col min="2534" max="2534" width="47.453125" style="1185" customWidth="1"/>
    <col min="2535" max="2535" width="23.6328125" style="1185" bestFit="1" customWidth="1"/>
    <col min="2536" max="2536" width="15.453125" style="1185" customWidth="1"/>
    <col min="2537" max="2537" width="22.08984375" style="1185" customWidth="1"/>
    <col min="2538" max="2538" width="20.453125" style="1185" customWidth="1"/>
    <col min="2539" max="2539" width="23.08984375" style="1185" customWidth="1"/>
    <col min="2540" max="2545" width="4.6328125" style="1185" customWidth="1"/>
    <col min="2546" max="2547" width="3.6328125" style="1185" customWidth="1"/>
    <col min="2548" max="2555" width="4.453125" style="1185" customWidth="1"/>
    <col min="2556" max="2747" width="11.08984375" style="1185" customWidth="1"/>
    <col min="2748" max="2787" width="12.08984375" style="1185"/>
    <col min="2788" max="2788" width="1.6328125" style="1185" customWidth="1"/>
    <col min="2789" max="2789" width="9.453125" style="1185" customWidth="1"/>
    <col min="2790" max="2790" width="47.453125" style="1185" customWidth="1"/>
    <col min="2791" max="2791" width="23.6328125" style="1185" bestFit="1" customWidth="1"/>
    <col min="2792" max="2792" width="15.453125" style="1185" customWidth="1"/>
    <col min="2793" max="2793" width="22.08984375" style="1185" customWidth="1"/>
    <col min="2794" max="2794" width="20.453125" style="1185" customWidth="1"/>
    <col min="2795" max="2795" width="23.08984375" style="1185" customWidth="1"/>
    <col min="2796" max="2801" width="4.6328125" style="1185" customWidth="1"/>
    <col min="2802" max="2803" width="3.6328125" style="1185" customWidth="1"/>
    <col min="2804" max="2811" width="4.453125" style="1185" customWidth="1"/>
    <col min="2812" max="3003" width="11.08984375" style="1185" customWidth="1"/>
    <col min="3004" max="3043" width="12.08984375" style="1185"/>
    <col min="3044" max="3044" width="1.6328125" style="1185" customWidth="1"/>
    <col min="3045" max="3045" width="9.453125" style="1185" customWidth="1"/>
    <col min="3046" max="3046" width="47.453125" style="1185" customWidth="1"/>
    <col min="3047" max="3047" width="23.6328125" style="1185" bestFit="1" customWidth="1"/>
    <col min="3048" max="3048" width="15.453125" style="1185" customWidth="1"/>
    <col min="3049" max="3049" width="22.08984375" style="1185" customWidth="1"/>
    <col min="3050" max="3050" width="20.453125" style="1185" customWidth="1"/>
    <col min="3051" max="3051" width="23.08984375" style="1185" customWidth="1"/>
    <col min="3052" max="3057" width="4.6328125" style="1185" customWidth="1"/>
    <col min="3058" max="3059" width="3.6328125" style="1185" customWidth="1"/>
    <col min="3060" max="3067" width="4.453125" style="1185" customWidth="1"/>
    <col min="3068" max="3259" width="11.08984375" style="1185" customWidth="1"/>
    <col min="3260" max="3299" width="12.08984375" style="1185"/>
    <col min="3300" max="3300" width="1.6328125" style="1185" customWidth="1"/>
    <col min="3301" max="3301" width="9.453125" style="1185" customWidth="1"/>
    <col min="3302" max="3302" width="47.453125" style="1185" customWidth="1"/>
    <col min="3303" max="3303" width="23.6328125" style="1185" bestFit="1" customWidth="1"/>
    <col min="3304" max="3304" width="15.453125" style="1185" customWidth="1"/>
    <col min="3305" max="3305" width="22.08984375" style="1185" customWidth="1"/>
    <col min="3306" max="3306" width="20.453125" style="1185" customWidth="1"/>
    <col min="3307" max="3307" width="23.08984375" style="1185" customWidth="1"/>
    <col min="3308" max="3313" width="4.6328125" style="1185" customWidth="1"/>
    <col min="3314" max="3315" width="3.6328125" style="1185" customWidth="1"/>
    <col min="3316" max="3323" width="4.453125" style="1185" customWidth="1"/>
    <col min="3324" max="3515" width="11.08984375" style="1185" customWidth="1"/>
    <col min="3516" max="3555" width="12.08984375" style="1185"/>
    <col min="3556" max="3556" width="1.6328125" style="1185" customWidth="1"/>
    <col min="3557" max="3557" width="9.453125" style="1185" customWidth="1"/>
    <col min="3558" max="3558" width="47.453125" style="1185" customWidth="1"/>
    <col min="3559" max="3559" width="23.6328125" style="1185" bestFit="1" customWidth="1"/>
    <col min="3560" max="3560" width="15.453125" style="1185" customWidth="1"/>
    <col min="3561" max="3561" width="22.08984375" style="1185" customWidth="1"/>
    <col min="3562" max="3562" width="20.453125" style="1185" customWidth="1"/>
    <col min="3563" max="3563" width="23.08984375" style="1185" customWidth="1"/>
    <col min="3564" max="3569" width="4.6328125" style="1185" customWidth="1"/>
    <col min="3570" max="3571" width="3.6328125" style="1185" customWidth="1"/>
    <col min="3572" max="3579" width="4.453125" style="1185" customWidth="1"/>
    <col min="3580" max="3771" width="11.08984375" style="1185" customWidth="1"/>
    <col min="3772" max="3811" width="12.08984375" style="1185"/>
    <col min="3812" max="3812" width="1.6328125" style="1185" customWidth="1"/>
    <col min="3813" max="3813" width="9.453125" style="1185" customWidth="1"/>
    <col min="3814" max="3814" width="47.453125" style="1185" customWidth="1"/>
    <col min="3815" max="3815" width="23.6328125" style="1185" bestFit="1" customWidth="1"/>
    <col min="3816" max="3816" width="15.453125" style="1185" customWidth="1"/>
    <col min="3817" max="3817" width="22.08984375" style="1185" customWidth="1"/>
    <col min="3818" max="3818" width="20.453125" style="1185" customWidth="1"/>
    <col min="3819" max="3819" width="23.08984375" style="1185" customWidth="1"/>
    <col min="3820" max="3825" width="4.6328125" style="1185" customWidth="1"/>
    <col min="3826" max="3827" width="3.6328125" style="1185" customWidth="1"/>
    <col min="3828" max="3835" width="4.453125" style="1185" customWidth="1"/>
    <col min="3836" max="4027" width="11.08984375" style="1185" customWidth="1"/>
    <col min="4028" max="4067" width="12.08984375" style="1185"/>
    <col min="4068" max="4068" width="1.6328125" style="1185" customWidth="1"/>
    <col min="4069" max="4069" width="9.453125" style="1185" customWidth="1"/>
    <col min="4070" max="4070" width="47.453125" style="1185" customWidth="1"/>
    <col min="4071" max="4071" width="23.6328125" style="1185" bestFit="1" customWidth="1"/>
    <col min="4072" max="4072" width="15.453125" style="1185" customWidth="1"/>
    <col min="4073" max="4073" width="22.08984375" style="1185" customWidth="1"/>
    <col min="4074" max="4074" width="20.453125" style="1185" customWidth="1"/>
    <col min="4075" max="4075" width="23.08984375" style="1185" customWidth="1"/>
    <col min="4076" max="4081" width="4.6328125" style="1185" customWidth="1"/>
    <col min="4082" max="4083" width="3.6328125" style="1185" customWidth="1"/>
    <col min="4084" max="4091" width="4.453125" style="1185" customWidth="1"/>
    <col min="4092" max="4283" width="11.08984375" style="1185" customWidth="1"/>
    <col min="4284" max="4323" width="12.08984375" style="1185"/>
    <col min="4324" max="4324" width="1.6328125" style="1185" customWidth="1"/>
    <col min="4325" max="4325" width="9.453125" style="1185" customWidth="1"/>
    <col min="4326" max="4326" width="47.453125" style="1185" customWidth="1"/>
    <col min="4327" max="4327" width="23.6328125" style="1185" bestFit="1" customWidth="1"/>
    <col min="4328" max="4328" width="15.453125" style="1185" customWidth="1"/>
    <col min="4329" max="4329" width="22.08984375" style="1185" customWidth="1"/>
    <col min="4330" max="4330" width="20.453125" style="1185" customWidth="1"/>
    <col min="4331" max="4331" width="23.08984375" style="1185" customWidth="1"/>
    <col min="4332" max="4337" width="4.6328125" style="1185" customWidth="1"/>
    <col min="4338" max="4339" width="3.6328125" style="1185" customWidth="1"/>
    <col min="4340" max="4347" width="4.453125" style="1185" customWidth="1"/>
    <col min="4348" max="4539" width="11.08984375" style="1185" customWidth="1"/>
    <col min="4540" max="4579" width="12.08984375" style="1185"/>
    <col min="4580" max="4580" width="1.6328125" style="1185" customWidth="1"/>
    <col min="4581" max="4581" width="9.453125" style="1185" customWidth="1"/>
    <col min="4582" max="4582" width="47.453125" style="1185" customWidth="1"/>
    <col min="4583" max="4583" width="23.6328125" style="1185" bestFit="1" customWidth="1"/>
    <col min="4584" max="4584" width="15.453125" style="1185" customWidth="1"/>
    <col min="4585" max="4585" width="22.08984375" style="1185" customWidth="1"/>
    <col min="4586" max="4586" width="20.453125" style="1185" customWidth="1"/>
    <col min="4587" max="4587" width="23.08984375" style="1185" customWidth="1"/>
    <col min="4588" max="4593" width="4.6328125" style="1185" customWidth="1"/>
    <col min="4594" max="4595" width="3.6328125" style="1185" customWidth="1"/>
    <col min="4596" max="4603" width="4.453125" style="1185" customWidth="1"/>
    <col min="4604" max="4795" width="11.08984375" style="1185" customWidth="1"/>
    <col min="4796" max="4835" width="12.08984375" style="1185"/>
    <col min="4836" max="4836" width="1.6328125" style="1185" customWidth="1"/>
    <col min="4837" max="4837" width="9.453125" style="1185" customWidth="1"/>
    <col min="4838" max="4838" width="47.453125" style="1185" customWidth="1"/>
    <col min="4839" max="4839" width="23.6328125" style="1185" bestFit="1" customWidth="1"/>
    <col min="4840" max="4840" width="15.453125" style="1185" customWidth="1"/>
    <col min="4841" max="4841" width="22.08984375" style="1185" customWidth="1"/>
    <col min="4842" max="4842" width="20.453125" style="1185" customWidth="1"/>
    <col min="4843" max="4843" width="23.08984375" style="1185" customWidth="1"/>
    <col min="4844" max="4849" width="4.6328125" style="1185" customWidth="1"/>
    <col min="4850" max="4851" width="3.6328125" style="1185" customWidth="1"/>
    <col min="4852" max="4859" width="4.453125" style="1185" customWidth="1"/>
    <col min="4860" max="5051" width="11.08984375" style="1185" customWidth="1"/>
    <col min="5052" max="5091" width="12.08984375" style="1185"/>
    <col min="5092" max="5092" width="1.6328125" style="1185" customWidth="1"/>
    <col min="5093" max="5093" width="9.453125" style="1185" customWidth="1"/>
    <col min="5094" max="5094" width="47.453125" style="1185" customWidth="1"/>
    <col min="5095" max="5095" width="23.6328125" style="1185" bestFit="1" customWidth="1"/>
    <col min="5096" max="5096" width="15.453125" style="1185" customWidth="1"/>
    <col min="5097" max="5097" width="22.08984375" style="1185" customWidth="1"/>
    <col min="5098" max="5098" width="20.453125" style="1185" customWidth="1"/>
    <col min="5099" max="5099" width="23.08984375" style="1185" customWidth="1"/>
    <col min="5100" max="5105" width="4.6328125" style="1185" customWidth="1"/>
    <col min="5106" max="5107" width="3.6328125" style="1185" customWidth="1"/>
    <col min="5108" max="5115" width="4.453125" style="1185" customWidth="1"/>
    <col min="5116" max="5307" width="11.08984375" style="1185" customWidth="1"/>
    <col min="5308" max="5347" width="12.08984375" style="1185"/>
    <col min="5348" max="5348" width="1.6328125" style="1185" customWidth="1"/>
    <col min="5349" max="5349" width="9.453125" style="1185" customWidth="1"/>
    <col min="5350" max="5350" width="47.453125" style="1185" customWidth="1"/>
    <col min="5351" max="5351" width="23.6328125" style="1185" bestFit="1" customWidth="1"/>
    <col min="5352" max="5352" width="15.453125" style="1185" customWidth="1"/>
    <col min="5353" max="5353" width="22.08984375" style="1185" customWidth="1"/>
    <col min="5354" max="5354" width="20.453125" style="1185" customWidth="1"/>
    <col min="5355" max="5355" width="23.08984375" style="1185" customWidth="1"/>
    <col min="5356" max="5361" width="4.6328125" style="1185" customWidth="1"/>
    <col min="5362" max="5363" width="3.6328125" style="1185" customWidth="1"/>
    <col min="5364" max="5371" width="4.453125" style="1185" customWidth="1"/>
    <col min="5372" max="5563" width="11.08984375" style="1185" customWidth="1"/>
    <col min="5564" max="5603" width="12.08984375" style="1185"/>
    <col min="5604" max="5604" width="1.6328125" style="1185" customWidth="1"/>
    <col min="5605" max="5605" width="9.453125" style="1185" customWidth="1"/>
    <col min="5606" max="5606" width="47.453125" style="1185" customWidth="1"/>
    <col min="5607" max="5607" width="23.6328125" style="1185" bestFit="1" customWidth="1"/>
    <col min="5608" max="5608" width="15.453125" style="1185" customWidth="1"/>
    <col min="5609" max="5609" width="22.08984375" style="1185" customWidth="1"/>
    <col min="5610" max="5610" width="20.453125" style="1185" customWidth="1"/>
    <col min="5611" max="5611" width="23.08984375" style="1185" customWidth="1"/>
    <col min="5612" max="5617" width="4.6328125" style="1185" customWidth="1"/>
    <col min="5618" max="5619" width="3.6328125" style="1185" customWidth="1"/>
    <col min="5620" max="5627" width="4.453125" style="1185" customWidth="1"/>
    <col min="5628" max="5819" width="11.08984375" style="1185" customWidth="1"/>
    <col min="5820" max="5859" width="12.08984375" style="1185"/>
    <col min="5860" max="5860" width="1.6328125" style="1185" customWidth="1"/>
    <col min="5861" max="5861" width="9.453125" style="1185" customWidth="1"/>
    <col min="5862" max="5862" width="47.453125" style="1185" customWidth="1"/>
    <col min="5863" max="5863" width="23.6328125" style="1185" bestFit="1" customWidth="1"/>
    <col min="5864" max="5864" width="15.453125" style="1185" customWidth="1"/>
    <col min="5865" max="5865" width="22.08984375" style="1185" customWidth="1"/>
    <col min="5866" max="5866" width="20.453125" style="1185" customWidth="1"/>
    <col min="5867" max="5867" width="23.08984375" style="1185" customWidth="1"/>
    <col min="5868" max="5873" width="4.6328125" style="1185" customWidth="1"/>
    <col min="5874" max="5875" width="3.6328125" style="1185" customWidth="1"/>
    <col min="5876" max="5883" width="4.453125" style="1185" customWidth="1"/>
    <col min="5884" max="6075" width="11.08984375" style="1185" customWidth="1"/>
    <col min="6076" max="6115" width="12.08984375" style="1185"/>
    <col min="6116" max="6116" width="1.6328125" style="1185" customWidth="1"/>
    <col min="6117" max="6117" width="9.453125" style="1185" customWidth="1"/>
    <col min="6118" max="6118" width="47.453125" style="1185" customWidth="1"/>
    <col min="6119" max="6119" width="23.6328125" style="1185" bestFit="1" customWidth="1"/>
    <col min="6120" max="6120" width="15.453125" style="1185" customWidth="1"/>
    <col min="6121" max="6121" width="22.08984375" style="1185" customWidth="1"/>
    <col min="6122" max="6122" width="20.453125" style="1185" customWidth="1"/>
    <col min="6123" max="6123" width="23.08984375" style="1185" customWidth="1"/>
    <col min="6124" max="6129" width="4.6328125" style="1185" customWidth="1"/>
    <col min="6130" max="6131" width="3.6328125" style="1185" customWidth="1"/>
    <col min="6132" max="6139" width="4.453125" style="1185" customWidth="1"/>
    <col min="6140" max="6331" width="11.08984375" style="1185" customWidth="1"/>
    <col min="6332" max="6371" width="12.08984375" style="1185"/>
    <col min="6372" max="6372" width="1.6328125" style="1185" customWidth="1"/>
    <col min="6373" max="6373" width="9.453125" style="1185" customWidth="1"/>
    <col min="6374" max="6374" width="47.453125" style="1185" customWidth="1"/>
    <col min="6375" max="6375" width="23.6328125" style="1185" bestFit="1" customWidth="1"/>
    <col min="6376" max="6376" width="15.453125" style="1185" customWidth="1"/>
    <col min="6377" max="6377" width="22.08984375" style="1185" customWidth="1"/>
    <col min="6378" max="6378" width="20.453125" style="1185" customWidth="1"/>
    <col min="6379" max="6379" width="23.08984375" style="1185" customWidth="1"/>
    <col min="6380" max="6385" width="4.6328125" style="1185" customWidth="1"/>
    <col min="6386" max="6387" width="3.6328125" style="1185" customWidth="1"/>
    <col min="6388" max="6395" width="4.453125" style="1185" customWidth="1"/>
    <col min="6396" max="6587" width="11.08984375" style="1185" customWidth="1"/>
    <col min="6588" max="6627" width="12.08984375" style="1185"/>
    <col min="6628" max="6628" width="1.6328125" style="1185" customWidth="1"/>
    <col min="6629" max="6629" width="9.453125" style="1185" customWidth="1"/>
    <col min="6630" max="6630" width="47.453125" style="1185" customWidth="1"/>
    <col min="6631" max="6631" width="23.6328125" style="1185" bestFit="1" customWidth="1"/>
    <col min="6632" max="6632" width="15.453125" style="1185" customWidth="1"/>
    <col min="6633" max="6633" width="22.08984375" style="1185" customWidth="1"/>
    <col min="6634" max="6634" width="20.453125" style="1185" customWidth="1"/>
    <col min="6635" max="6635" width="23.08984375" style="1185" customWidth="1"/>
    <col min="6636" max="6641" width="4.6328125" style="1185" customWidth="1"/>
    <col min="6642" max="6643" width="3.6328125" style="1185" customWidth="1"/>
    <col min="6644" max="6651" width="4.453125" style="1185" customWidth="1"/>
    <col min="6652" max="6843" width="11.08984375" style="1185" customWidth="1"/>
    <col min="6844" max="6883" width="12.08984375" style="1185"/>
    <col min="6884" max="6884" width="1.6328125" style="1185" customWidth="1"/>
    <col min="6885" max="6885" width="9.453125" style="1185" customWidth="1"/>
    <col min="6886" max="6886" width="47.453125" style="1185" customWidth="1"/>
    <col min="6887" max="6887" width="23.6328125" style="1185" bestFit="1" customWidth="1"/>
    <col min="6888" max="6888" width="15.453125" style="1185" customWidth="1"/>
    <col min="6889" max="6889" width="22.08984375" style="1185" customWidth="1"/>
    <col min="6890" max="6890" width="20.453125" style="1185" customWidth="1"/>
    <col min="6891" max="6891" width="23.08984375" style="1185" customWidth="1"/>
    <col min="6892" max="6897" width="4.6328125" style="1185" customWidth="1"/>
    <col min="6898" max="6899" width="3.6328125" style="1185" customWidth="1"/>
    <col min="6900" max="6907" width="4.453125" style="1185" customWidth="1"/>
    <col min="6908" max="7099" width="11.08984375" style="1185" customWidth="1"/>
    <col min="7100" max="7139" width="12.08984375" style="1185"/>
    <col min="7140" max="7140" width="1.6328125" style="1185" customWidth="1"/>
    <col min="7141" max="7141" width="9.453125" style="1185" customWidth="1"/>
    <col min="7142" max="7142" width="47.453125" style="1185" customWidth="1"/>
    <col min="7143" max="7143" width="23.6328125" style="1185" bestFit="1" customWidth="1"/>
    <col min="7144" max="7144" width="15.453125" style="1185" customWidth="1"/>
    <col min="7145" max="7145" width="22.08984375" style="1185" customWidth="1"/>
    <col min="7146" max="7146" width="20.453125" style="1185" customWidth="1"/>
    <col min="7147" max="7147" width="23.08984375" style="1185" customWidth="1"/>
    <col min="7148" max="7153" width="4.6328125" style="1185" customWidth="1"/>
    <col min="7154" max="7155" width="3.6328125" style="1185" customWidth="1"/>
    <col min="7156" max="7163" width="4.453125" style="1185" customWidth="1"/>
    <col min="7164" max="7355" width="11.08984375" style="1185" customWidth="1"/>
    <col min="7356" max="7395" width="12.08984375" style="1185"/>
    <col min="7396" max="7396" width="1.6328125" style="1185" customWidth="1"/>
    <col min="7397" max="7397" width="9.453125" style="1185" customWidth="1"/>
    <col min="7398" max="7398" width="47.453125" style="1185" customWidth="1"/>
    <col min="7399" max="7399" width="23.6328125" style="1185" bestFit="1" customWidth="1"/>
    <col min="7400" max="7400" width="15.453125" style="1185" customWidth="1"/>
    <col min="7401" max="7401" width="22.08984375" style="1185" customWidth="1"/>
    <col min="7402" max="7402" width="20.453125" style="1185" customWidth="1"/>
    <col min="7403" max="7403" width="23.08984375" style="1185" customWidth="1"/>
    <col min="7404" max="7409" width="4.6328125" style="1185" customWidth="1"/>
    <col min="7410" max="7411" width="3.6328125" style="1185" customWidth="1"/>
    <col min="7412" max="7419" width="4.453125" style="1185" customWidth="1"/>
    <col min="7420" max="7611" width="11.08984375" style="1185" customWidth="1"/>
    <col min="7612" max="7651" width="12.08984375" style="1185"/>
    <col min="7652" max="7652" width="1.6328125" style="1185" customWidth="1"/>
    <col min="7653" max="7653" width="9.453125" style="1185" customWidth="1"/>
    <col min="7654" max="7654" width="47.453125" style="1185" customWidth="1"/>
    <col min="7655" max="7655" width="23.6328125" style="1185" bestFit="1" customWidth="1"/>
    <col min="7656" max="7656" width="15.453125" style="1185" customWidth="1"/>
    <col min="7657" max="7657" width="22.08984375" style="1185" customWidth="1"/>
    <col min="7658" max="7658" width="20.453125" style="1185" customWidth="1"/>
    <col min="7659" max="7659" width="23.08984375" style="1185" customWidth="1"/>
    <col min="7660" max="7665" width="4.6328125" style="1185" customWidth="1"/>
    <col min="7666" max="7667" width="3.6328125" style="1185" customWidth="1"/>
    <col min="7668" max="7675" width="4.453125" style="1185" customWidth="1"/>
    <col min="7676" max="7867" width="11.08984375" style="1185" customWidth="1"/>
    <col min="7868" max="7907" width="12.08984375" style="1185"/>
    <col min="7908" max="7908" width="1.6328125" style="1185" customWidth="1"/>
    <col min="7909" max="7909" width="9.453125" style="1185" customWidth="1"/>
    <col min="7910" max="7910" width="47.453125" style="1185" customWidth="1"/>
    <col min="7911" max="7911" width="23.6328125" style="1185" bestFit="1" customWidth="1"/>
    <col min="7912" max="7912" width="15.453125" style="1185" customWidth="1"/>
    <col min="7913" max="7913" width="22.08984375" style="1185" customWidth="1"/>
    <col min="7914" max="7914" width="20.453125" style="1185" customWidth="1"/>
    <col min="7915" max="7915" width="23.08984375" style="1185" customWidth="1"/>
    <col min="7916" max="7921" width="4.6328125" style="1185" customWidth="1"/>
    <col min="7922" max="7923" width="3.6328125" style="1185" customWidth="1"/>
    <col min="7924" max="7931" width="4.453125" style="1185" customWidth="1"/>
    <col min="7932" max="8123" width="11.08984375" style="1185" customWidth="1"/>
    <col min="8124" max="8163" width="12.08984375" style="1185"/>
    <col min="8164" max="8164" width="1.6328125" style="1185" customWidth="1"/>
    <col min="8165" max="8165" width="9.453125" style="1185" customWidth="1"/>
    <col min="8166" max="8166" width="47.453125" style="1185" customWidth="1"/>
    <col min="8167" max="8167" width="23.6328125" style="1185" bestFit="1" customWidth="1"/>
    <col min="8168" max="8168" width="15.453125" style="1185" customWidth="1"/>
    <col min="8169" max="8169" width="22.08984375" style="1185" customWidth="1"/>
    <col min="8170" max="8170" width="20.453125" style="1185" customWidth="1"/>
    <col min="8171" max="8171" width="23.08984375" style="1185" customWidth="1"/>
    <col min="8172" max="8177" width="4.6328125" style="1185" customWidth="1"/>
    <col min="8178" max="8179" width="3.6328125" style="1185" customWidth="1"/>
    <col min="8180" max="8187" width="4.453125" style="1185" customWidth="1"/>
    <col min="8188" max="8379" width="11.08984375" style="1185" customWidth="1"/>
    <col min="8380" max="8419" width="12.08984375" style="1185"/>
    <col min="8420" max="8420" width="1.6328125" style="1185" customWidth="1"/>
    <col min="8421" max="8421" width="9.453125" style="1185" customWidth="1"/>
    <col min="8422" max="8422" width="47.453125" style="1185" customWidth="1"/>
    <col min="8423" max="8423" width="23.6328125" style="1185" bestFit="1" customWidth="1"/>
    <col min="8424" max="8424" width="15.453125" style="1185" customWidth="1"/>
    <col min="8425" max="8425" width="22.08984375" style="1185" customWidth="1"/>
    <col min="8426" max="8426" width="20.453125" style="1185" customWidth="1"/>
    <col min="8427" max="8427" width="23.08984375" style="1185" customWidth="1"/>
    <col min="8428" max="8433" width="4.6328125" style="1185" customWidth="1"/>
    <col min="8434" max="8435" width="3.6328125" style="1185" customWidth="1"/>
    <col min="8436" max="8443" width="4.453125" style="1185" customWidth="1"/>
    <col min="8444" max="8635" width="11.08984375" style="1185" customWidth="1"/>
    <col min="8636" max="8675" width="12.08984375" style="1185"/>
    <col min="8676" max="8676" width="1.6328125" style="1185" customWidth="1"/>
    <col min="8677" max="8677" width="9.453125" style="1185" customWidth="1"/>
    <col min="8678" max="8678" width="47.453125" style="1185" customWidth="1"/>
    <col min="8679" max="8679" width="23.6328125" style="1185" bestFit="1" customWidth="1"/>
    <col min="8680" max="8680" width="15.453125" style="1185" customWidth="1"/>
    <col min="8681" max="8681" width="22.08984375" style="1185" customWidth="1"/>
    <col min="8682" max="8682" width="20.453125" style="1185" customWidth="1"/>
    <col min="8683" max="8683" width="23.08984375" style="1185" customWidth="1"/>
    <col min="8684" max="8689" width="4.6328125" style="1185" customWidth="1"/>
    <col min="8690" max="8691" width="3.6328125" style="1185" customWidth="1"/>
    <col min="8692" max="8699" width="4.453125" style="1185" customWidth="1"/>
    <col min="8700" max="8891" width="11.08984375" style="1185" customWidth="1"/>
    <col min="8892" max="8931" width="12.08984375" style="1185"/>
    <col min="8932" max="8932" width="1.6328125" style="1185" customWidth="1"/>
    <col min="8933" max="8933" width="9.453125" style="1185" customWidth="1"/>
    <col min="8934" max="8934" width="47.453125" style="1185" customWidth="1"/>
    <col min="8935" max="8935" width="23.6328125" style="1185" bestFit="1" customWidth="1"/>
    <col min="8936" max="8936" width="15.453125" style="1185" customWidth="1"/>
    <col min="8937" max="8937" width="22.08984375" style="1185" customWidth="1"/>
    <col min="8938" max="8938" width="20.453125" style="1185" customWidth="1"/>
    <col min="8939" max="8939" width="23.08984375" style="1185" customWidth="1"/>
    <col min="8940" max="8945" width="4.6328125" style="1185" customWidth="1"/>
    <col min="8946" max="8947" width="3.6328125" style="1185" customWidth="1"/>
    <col min="8948" max="8955" width="4.453125" style="1185" customWidth="1"/>
    <col min="8956" max="9147" width="11.08984375" style="1185" customWidth="1"/>
    <col min="9148" max="9187" width="12.08984375" style="1185"/>
    <col min="9188" max="9188" width="1.6328125" style="1185" customWidth="1"/>
    <col min="9189" max="9189" width="9.453125" style="1185" customWidth="1"/>
    <col min="9190" max="9190" width="47.453125" style="1185" customWidth="1"/>
    <col min="9191" max="9191" width="23.6328125" style="1185" bestFit="1" customWidth="1"/>
    <col min="9192" max="9192" width="15.453125" style="1185" customWidth="1"/>
    <col min="9193" max="9193" width="22.08984375" style="1185" customWidth="1"/>
    <col min="9194" max="9194" width="20.453125" style="1185" customWidth="1"/>
    <col min="9195" max="9195" width="23.08984375" style="1185" customWidth="1"/>
    <col min="9196" max="9201" width="4.6328125" style="1185" customWidth="1"/>
    <col min="9202" max="9203" width="3.6328125" style="1185" customWidth="1"/>
    <col min="9204" max="9211" width="4.453125" style="1185" customWidth="1"/>
    <col min="9212" max="9403" width="11.08984375" style="1185" customWidth="1"/>
    <col min="9404" max="9443" width="12.08984375" style="1185"/>
    <col min="9444" max="9444" width="1.6328125" style="1185" customWidth="1"/>
    <col min="9445" max="9445" width="9.453125" style="1185" customWidth="1"/>
    <col min="9446" max="9446" width="47.453125" style="1185" customWidth="1"/>
    <col min="9447" max="9447" width="23.6328125" style="1185" bestFit="1" customWidth="1"/>
    <col min="9448" max="9448" width="15.453125" style="1185" customWidth="1"/>
    <col min="9449" max="9449" width="22.08984375" style="1185" customWidth="1"/>
    <col min="9450" max="9450" width="20.453125" style="1185" customWidth="1"/>
    <col min="9451" max="9451" width="23.08984375" style="1185" customWidth="1"/>
    <col min="9452" max="9457" width="4.6328125" style="1185" customWidth="1"/>
    <col min="9458" max="9459" width="3.6328125" style="1185" customWidth="1"/>
    <col min="9460" max="9467" width="4.453125" style="1185" customWidth="1"/>
    <col min="9468" max="9659" width="11.08984375" style="1185" customWidth="1"/>
    <col min="9660" max="9699" width="12.08984375" style="1185"/>
    <col min="9700" max="9700" width="1.6328125" style="1185" customWidth="1"/>
    <col min="9701" max="9701" width="9.453125" style="1185" customWidth="1"/>
    <col min="9702" max="9702" width="47.453125" style="1185" customWidth="1"/>
    <col min="9703" max="9703" width="23.6328125" style="1185" bestFit="1" customWidth="1"/>
    <col min="9704" max="9704" width="15.453125" style="1185" customWidth="1"/>
    <col min="9705" max="9705" width="22.08984375" style="1185" customWidth="1"/>
    <col min="9706" max="9706" width="20.453125" style="1185" customWidth="1"/>
    <col min="9707" max="9707" width="23.08984375" style="1185" customWidth="1"/>
    <col min="9708" max="9713" width="4.6328125" style="1185" customWidth="1"/>
    <col min="9714" max="9715" width="3.6328125" style="1185" customWidth="1"/>
    <col min="9716" max="9723" width="4.453125" style="1185" customWidth="1"/>
    <col min="9724" max="9915" width="11.08984375" style="1185" customWidth="1"/>
    <col min="9916" max="9955" width="12.08984375" style="1185"/>
    <col min="9956" max="9956" width="1.6328125" style="1185" customWidth="1"/>
    <col min="9957" max="9957" width="9.453125" style="1185" customWidth="1"/>
    <col min="9958" max="9958" width="47.453125" style="1185" customWidth="1"/>
    <col min="9959" max="9959" width="23.6328125" style="1185" bestFit="1" customWidth="1"/>
    <col min="9960" max="9960" width="15.453125" style="1185" customWidth="1"/>
    <col min="9961" max="9961" width="22.08984375" style="1185" customWidth="1"/>
    <col min="9962" max="9962" width="20.453125" style="1185" customWidth="1"/>
    <col min="9963" max="9963" width="23.08984375" style="1185" customWidth="1"/>
    <col min="9964" max="9969" width="4.6328125" style="1185" customWidth="1"/>
    <col min="9970" max="9971" width="3.6328125" style="1185" customWidth="1"/>
    <col min="9972" max="9979" width="4.453125" style="1185" customWidth="1"/>
    <col min="9980" max="10171" width="11.08984375" style="1185" customWidth="1"/>
    <col min="10172" max="10211" width="12.08984375" style="1185"/>
    <col min="10212" max="10212" width="1.6328125" style="1185" customWidth="1"/>
    <col min="10213" max="10213" width="9.453125" style="1185" customWidth="1"/>
    <col min="10214" max="10214" width="47.453125" style="1185" customWidth="1"/>
    <col min="10215" max="10215" width="23.6328125" style="1185" bestFit="1" customWidth="1"/>
    <col min="10216" max="10216" width="15.453125" style="1185" customWidth="1"/>
    <col min="10217" max="10217" width="22.08984375" style="1185" customWidth="1"/>
    <col min="10218" max="10218" width="20.453125" style="1185" customWidth="1"/>
    <col min="10219" max="10219" width="23.08984375" style="1185" customWidth="1"/>
    <col min="10220" max="10225" width="4.6328125" style="1185" customWidth="1"/>
    <col min="10226" max="10227" width="3.6328125" style="1185" customWidth="1"/>
    <col min="10228" max="10235" width="4.453125" style="1185" customWidth="1"/>
    <col min="10236" max="10427" width="11.08984375" style="1185" customWidth="1"/>
    <col min="10428" max="10467" width="12.08984375" style="1185"/>
    <col min="10468" max="10468" width="1.6328125" style="1185" customWidth="1"/>
    <col min="10469" max="10469" width="9.453125" style="1185" customWidth="1"/>
    <col min="10470" max="10470" width="47.453125" style="1185" customWidth="1"/>
    <col min="10471" max="10471" width="23.6328125" style="1185" bestFit="1" customWidth="1"/>
    <col min="10472" max="10472" width="15.453125" style="1185" customWidth="1"/>
    <col min="10473" max="10473" width="22.08984375" style="1185" customWidth="1"/>
    <col min="10474" max="10474" width="20.453125" style="1185" customWidth="1"/>
    <col min="10475" max="10475" width="23.08984375" style="1185" customWidth="1"/>
    <col min="10476" max="10481" width="4.6328125" style="1185" customWidth="1"/>
    <col min="10482" max="10483" width="3.6328125" style="1185" customWidth="1"/>
    <col min="10484" max="10491" width="4.453125" style="1185" customWidth="1"/>
    <col min="10492" max="10683" width="11.08984375" style="1185" customWidth="1"/>
    <col min="10684" max="10723" width="12.08984375" style="1185"/>
    <col min="10724" max="10724" width="1.6328125" style="1185" customWidth="1"/>
    <col min="10725" max="10725" width="9.453125" style="1185" customWidth="1"/>
    <col min="10726" max="10726" width="47.453125" style="1185" customWidth="1"/>
    <col min="10727" max="10727" width="23.6328125" style="1185" bestFit="1" customWidth="1"/>
    <col min="10728" max="10728" width="15.453125" style="1185" customWidth="1"/>
    <col min="10729" max="10729" width="22.08984375" style="1185" customWidth="1"/>
    <col min="10730" max="10730" width="20.453125" style="1185" customWidth="1"/>
    <col min="10731" max="10731" width="23.08984375" style="1185" customWidth="1"/>
    <col min="10732" max="10737" width="4.6328125" style="1185" customWidth="1"/>
    <col min="10738" max="10739" width="3.6328125" style="1185" customWidth="1"/>
    <col min="10740" max="10747" width="4.453125" style="1185" customWidth="1"/>
    <col min="10748" max="10939" width="11.08984375" style="1185" customWidth="1"/>
    <col min="10940" max="10979" width="12.08984375" style="1185"/>
    <col min="10980" max="10980" width="1.6328125" style="1185" customWidth="1"/>
    <col min="10981" max="10981" width="9.453125" style="1185" customWidth="1"/>
    <col min="10982" max="10982" width="47.453125" style="1185" customWidth="1"/>
    <col min="10983" max="10983" width="23.6328125" style="1185" bestFit="1" customWidth="1"/>
    <col min="10984" max="10984" width="15.453125" style="1185" customWidth="1"/>
    <col min="10985" max="10985" width="22.08984375" style="1185" customWidth="1"/>
    <col min="10986" max="10986" width="20.453125" style="1185" customWidth="1"/>
    <col min="10987" max="10987" width="23.08984375" style="1185" customWidth="1"/>
    <col min="10988" max="10993" width="4.6328125" style="1185" customWidth="1"/>
    <col min="10994" max="10995" width="3.6328125" style="1185" customWidth="1"/>
    <col min="10996" max="11003" width="4.453125" style="1185" customWidth="1"/>
    <col min="11004" max="11195" width="11.08984375" style="1185" customWidth="1"/>
    <col min="11196" max="11235" width="12.08984375" style="1185"/>
    <col min="11236" max="11236" width="1.6328125" style="1185" customWidth="1"/>
    <col min="11237" max="11237" width="9.453125" style="1185" customWidth="1"/>
    <col min="11238" max="11238" width="47.453125" style="1185" customWidth="1"/>
    <col min="11239" max="11239" width="23.6328125" style="1185" bestFit="1" customWidth="1"/>
    <col min="11240" max="11240" width="15.453125" style="1185" customWidth="1"/>
    <col min="11241" max="11241" width="22.08984375" style="1185" customWidth="1"/>
    <col min="11242" max="11242" width="20.453125" style="1185" customWidth="1"/>
    <col min="11243" max="11243" width="23.08984375" style="1185" customWidth="1"/>
    <col min="11244" max="11249" width="4.6328125" style="1185" customWidth="1"/>
    <col min="11250" max="11251" width="3.6328125" style="1185" customWidth="1"/>
    <col min="11252" max="11259" width="4.453125" style="1185" customWidth="1"/>
    <col min="11260" max="11451" width="11.08984375" style="1185" customWidth="1"/>
    <col min="11452" max="11491" width="12.08984375" style="1185"/>
    <col min="11492" max="11492" width="1.6328125" style="1185" customWidth="1"/>
    <col min="11493" max="11493" width="9.453125" style="1185" customWidth="1"/>
    <col min="11494" max="11494" width="47.453125" style="1185" customWidth="1"/>
    <col min="11495" max="11495" width="23.6328125" style="1185" bestFit="1" customWidth="1"/>
    <col min="11496" max="11496" width="15.453125" style="1185" customWidth="1"/>
    <col min="11497" max="11497" width="22.08984375" style="1185" customWidth="1"/>
    <col min="11498" max="11498" width="20.453125" style="1185" customWidth="1"/>
    <col min="11499" max="11499" width="23.08984375" style="1185" customWidth="1"/>
    <col min="11500" max="11505" width="4.6328125" style="1185" customWidth="1"/>
    <col min="11506" max="11507" width="3.6328125" style="1185" customWidth="1"/>
    <col min="11508" max="11515" width="4.453125" style="1185" customWidth="1"/>
    <col min="11516" max="11707" width="11.08984375" style="1185" customWidth="1"/>
    <col min="11708" max="11747" width="12.08984375" style="1185"/>
    <col min="11748" max="11748" width="1.6328125" style="1185" customWidth="1"/>
    <col min="11749" max="11749" width="9.453125" style="1185" customWidth="1"/>
    <col min="11750" max="11750" width="47.453125" style="1185" customWidth="1"/>
    <col min="11751" max="11751" width="23.6328125" style="1185" bestFit="1" customWidth="1"/>
    <col min="11752" max="11752" width="15.453125" style="1185" customWidth="1"/>
    <col min="11753" max="11753" width="22.08984375" style="1185" customWidth="1"/>
    <col min="11754" max="11754" width="20.453125" style="1185" customWidth="1"/>
    <col min="11755" max="11755" width="23.08984375" style="1185" customWidth="1"/>
    <col min="11756" max="11761" width="4.6328125" style="1185" customWidth="1"/>
    <col min="11762" max="11763" width="3.6328125" style="1185" customWidth="1"/>
    <col min="11764" max="11771" width="4.453125" style="1185" customWidth="1"/>
    <col min="11772" max="11963" width="11.08984375" style="1185" customWidth="1"/>
    <col min="11964" max="12003" width="12.08984375" style="1185"/>
    <col min="12004" max="12004" width="1.6328125" style="1185" customWidth="1"/>
    <col min="12005" max="12005" width="9.453125" style="1185" customWidth="1"/>
    <col min="12006" max="12006" width="47.453125" style="1185" customWidth="1"/>
    <col min="12007" max="12007" width="23.6328125" style="1185" bestFit="1" customWidth="1"/>
    <col min="12008" max="12008" width="15.453125" style="1185" customWidth="1"/>
    <col min="12009" max="12009" width="22.08984375" style="1185" customWidth="1"/>
    <col min="12010" max="12010" width="20.453125" style="1185" customWidth="1"/>
    <col min="12011" max="12011" width="23.08984375" style="1185" customWidth="1"/>
    <col min="12012" max="12017" width="4.6328125" style="1185" customWidth="1"/>
    <col min="12018" max="12019" width="3.6328125" style="1185" customWidth="1"/>
    <col min="12020" max="12027" width="4.453125" style="1185" customWidth="1"/>
    <col min="12028" max="12219" width="11.08984375" style="1185" customWidth="1"/>
    <col min="12220" max="12259" width="12.08984375" style="1185"/>
    <col min="12260" max="12260" width="1.6328125" style="1185" customWidth="1"/>
    <col min="12261" max="12261" width="9.453125" style="1185" customWidth="1"/>
    <col min="12262" max="12262" width="47.453125" style="1185" customWidth="1"/>
    <col min="12263" max="12263" width="23.6328125" style="1185" bestFit="1" customWidth="1"/>
    <col min="12264" max="12264" width="15.453125" style="1185" customWidth="1"/>
    <col min="12265" max="12265" width="22.08984375" style="1185" customWidth="1"/>
    <col min="12266" max="12266" width="20.453125" style="1185" customWidth="1"/>
    <col min="12267" max="12267" width="23.08984375" style="1185" customWidth="1"/>
    <col min="12268" max="12273" width="4.6328125" style="1185" customWidth="1"/>
    <col min="12274" max="12275" width="3.6328125" style="1185" customWidth="1"/>
    <col min="12276" max="12283" width="4.453125" style="1185" customWidth="1"/>
    <col min="12284" max="12475" width="11.08984375" style="1185" customWidth="1"/>
    <col min="12476" max="12515" width="12.08984375" style="1185"/>
    <col min="12516" max="12516" width="1.6328125" style="1185" customWidth="1"/>
    <col min="12517" max="12517" width="9.453125" style="1185" customWidth="1"/>
    <col min="12518" max="12518" width="47.453125" style="1185" customWidth="1"/>
    <col min="12519" max="12519" width="23.6328125" style="1185" bestFit="1" customWidth="1"/>
    <col min="12520" max="12520" width="15.453125" style="1185" customWidth="1"/>
    <col min="12521" max="12521" width="22.08984375" style="1185" customWidth="1"/>
    <col min="12522" max="12522" width="20.453125" style="1185" customWidth="1"/>
    <col min="12523" max="12523" width="23.08984375" style="1185" customWidth="1"/>
    <col min="12524" max="12529" width="4.6328125" style="1185" customWidth="1"/>
    <col min="12530" max="12531" width="3.6328125" style="1185" customWidth="1"/>
    <col min="12532" max="12539" width="4.453125" style="1185" customWidth="1"/>
    <col min="12540" max="12731" width="11.08984375" style="1185" customWidth="1"/>
    <col min="12732" max="12771" width="12.08984375" style="1185"/>
    <col min="12772" max="12772" width="1.6328125" style="1185" customWidth="1"/>
    <col min="12773" max="12773" width="9.453125" style="1185" customWidth="1"/>
    <col min="12774" max="12774" width="47.453125" style="1185" customWidth="1"/>
    <col min="12775" max="12775" width="23.6328125" style="1185" bestFit="1" customWidth="1"/>
    <col min="12776" max="12776" width="15.453125" style="1185" customWidth="1"/>
    <col min="12777" max="12777" width="22.08984375" style="1185" customWidth="1"/>
    <col min="12778" max="12778" width="20.453125" style="1185" customWidth="1"/>
    <col min="12779" max="12779" width="23.08984375" style="1185" customWidth="1"/>
    <col min="12780" max="12785" width="4.6328125" style="1185" customWidth="1"/>
    <col min="12786" max="12787" width="3.6328125" style="1185" customWidth="1"/>
    <col min="12788" max="12795" width="4.453125" style="1185" customWidth="1"/>
    <col min="12796" max="12987" width="11.08984375" style="1185" customWidth="1"/>
    <col min="12988" max="13027" width="12.08984375" style="1185"/>
    <col min="13028" max="13028" width="1.6328125" style="1185" customWidth="1"/>
    <col min="13029" max="13029" width="9.453125" style="1185" customWidth="1"/>
    <col min="13030" max="13030" width="47.453125" style="1185" customWidth="1"/>
    <col min="13031" max="13031" width="23.6328125" style="1185" bestFit="1" customWidth="1"/>
    <col min="13032" max="13032" width="15.453125" style="1185" customWidth="1"/>
    <col min="13033" max="13033" width="22.08984375" style="1185" customWidth="1"/>
    <col min="13034" max="13034" width="20.453125" style="1185" customWidth="1"/>
    <col min="13035" max="13035" width="23.08984375" style="1185" customWidth="1"/>
    <col min="13036" max="13041" width="4.6328125" style="1185" customWidth="1"/>
    <col min="13042" max="13043" width="3.6328125" style="1185" customWidth="1"/>
    <col min="13044" max="13051" width="4.453125" style="1185" customWidth="1"/>
    <col min="13052" max="13243" width="11.08984375" style="1185" customWidth="1"/>
    <col min="13244" max="13283" width="12.08984375" style="1185"/>
    <col min="13284" max="13284" width="1.6328125" style="1185" customWidth="1"/>
    <col min="13285" max="13285" width="9.453125" style="1185" customWidth="1"/>
    <col min="13286" max="13286" width="47.453125" style="1185" customWidth="1"/>
    <col min="13287" max="13287" width="23.6328125" style="1185" bestFit="1" customWidth="1"/>
    <col min="13288" max="13288" width="15.453125" style="1185" customWidth="1"/>
    <col min="13289" max="13289" width="22.08984375" style="1185" customWidth="1"/>
    <col min="13290" max="13290" width="20.453125" style="1185" customWidth="1"/>
    <col min="13291" max="13291" width="23.08984375" style="1185" customWidth="1"/>
    <col min="13292" max="13297" width="4.6328125" style="1185" customWidth="1"/>
    <col min="13298" max="13299" width="3.6328125" style="1185" customWidth="1"/>
    <col min="13300" max="13307" width="4.453125" style="1185" customWidth="1"/>
    <col min="13308" max="13499" width="11.08984375" style="1185" customWidth="1"/>
    <col min="13500" max="13539" width="12.08984375" style="1185"/>
    <col min="13540" max="13540" width="1.6328125" style="1185" customWidth="1"/>
    <col min="13541" max="13541" width="9.453125" style="1185" customWidth="1"/>
    <col min="13542" max="13542" width="47.453125" style="1185" customWidth="1"/>
    <col min="13543" max="13543" width="23.6328125" style="1185" bestFit="1" customWidth="1"/>
    <col min="13544" max="13544" width="15.453125" style="1185" customWidth="1"/>
    <col min="13545" max="13545" width="22.08984375" style="1185" customWidth="1"/>
    <col min="13546" max="13546" width="20.453125" style="1185" customWidth="1"/>
    <col min="13547" max="13547" width="23.08984375" style="1185" customWidth="1"/>
    <col min="13548" max="13553" width="4.6328125" style="1185" customWidth="1"/>
    <col min="13554" max="13555" width="3.6328125" style="1185" customWidth="1"/>
    <col min="13556" max="13563" width="4.453125" style="1185" customWidth="1"/>
    <col min="13564" max="13755" width="11.08984375" style="1185" customWidth="1"/>
    <col min="13756" max="13795" width="12.08984375" style="1185"/>
    <col min="13796" max="13796" width="1.6328125" style="1185" customWidth="1"/>
    <col min="13797" max="13797" width="9.453125" style="1185" customWidth="1"/>
    <col min="13798" max="13798" width="47.453125" style="1185" customWidth="1"/>
    <col min="13799" max="13799" width="23.6328125" style="1185" bestFit="1" customWidth="1"/>
    <col min="13800" max="13800" width="15.453125" style="1185" customWidth="1"/>
    <col min="13801" max="13801" width="22.08984375" style="1185" customWidth="1"/>
    <col min="13802" max="13802" width="20.453125" style="1185" customWidth="1"/>
    <col min="13803" max="13803" width="23.08984375" style="1185" customWidth="1"/>
    <col min="13804" max="13809" width="4.6328125" style="1185" customWidth="1"/>
    <col min="13810" max="13811" width="3.6328125" style="1185" customWidth="1"/>
    <col min="13812" max="13819" width="4.453125" style="1185" customWidth="1"/>
    <col min="13820" max="14011" width="11.08984375" style="1185" customWidth="1"/>
    <col min="14012" max="14051" width="12.08984375" style="1185"/>
    <col min="14052" max="14052" width="1.6328125" style="1185" customWidth="1"/>
    <col min="14053" max="14053" width="9.453125" style="1185" customWidth="1"/>
    <col min="14054" max="14054" width="47.453125" style="1185" customWidth="1"/>
    <col min="14055" max="14055" width="23.6328125" style="1185" bestFit="1" customWidth="1"/>
    <col min="14056" max="14056" width="15.453125" style="1185" customWidth="1"/>
    <col min="14057" max="14057" width="22.08984375" style="1185" customWidth="1"/>
    <col min="14058" max="14058" width="20.453125" style="1185" customWidth="1"/>
    <col min="14059" max="14059" width="23.08984375" style="1185" customWidth="1"/>
    <col min="14060" max="14065" width="4.6328125" style="1185" customWidth="1"/>
    <col min="14066" max="14067" width="3.6328125" style="1185" customWidth="1"/>
    <col min="14068" max="14075" width="4.453125" style="1185" customWidth="1"/>
    <col min="14076" max="14267" width="11.08984375" style="1185" customWidth="1"/>
    <col min="14268" max="14307" width="12.08984375" style="1185"/>
    <col min="14308" max="14308" width="1.6328125" style="1185" customWidth="1"/>
    <col min="14309" max="14309" width="9.453125" style="1185" customWidth="1"/>
    <col min="14310" max="14310" width="47.453125" style="1185" customWidth="1"/>
    <col min="14311" max="14311" width="23.6328125" style="1185" bestFit="1" customWidth="1"/>
    <col min="14312" max="14312" width="15.453125" style="1185" customWidth="1"/>
    <col min="14313" max="14313" width="22.08984375" style="1185" customWidth="1"/>
    <col min="14314" max="14314" width="20.453125" style="1185" customWidth="1"/>
    <col min="14315" max="14315" width="23.08984375" style="1185" customWidth="1"/>
    <col min="14316" max="14321" width="4.6328125" style="1185" customWidth="1"/>
    <col min="14322" max="14323" width="3.6328125" style="1185" customWidth="1"/>
    <col min="14324" max="14331" width="4.453125" style="1185" customWidth="1"/>
    <col min="14332" max="14523" width="11.08984375" style="1185" customWidth="1"/>
    <col min="14524" max="14563" width="12.08984375" style="1185"/>
    <col min="14564" max="14564" width="1.6328125" style="1185" customWidth="1"/>
    <col min="14565" max="14565" width="9.453125" style="1185" customWidth="1"/>
    <col min="14566" max="14566" width="47.453125" style="1185" customWidth="1"/>
    <col min="14567" max="14567" width="23.6328125" style="1185" bestFit="1" customWidth="1"/>
    <col min="14568" max="14568" width="15.453125" style="1185" customWidth="1"/>
    <col min="14569" max="14569" width="22.08984375" style="1185" customWidth="1"/>
    <col min="14570" max="14570" width="20.453125" style="1185" customWidth="1"/>
    <col min="14571" max="14571" width="23.08984375" style="1185" customWidth="1"/>
    <col min="14572" max="14577" width="4.6328125" style="1185" customWidth="1"/>
    <col min="14578" max="14579" width="3.6328125" style="1185" customWidth="1"/>
    <col min="14580" max="14587" width="4.453125" style="1185" customWidth="1"/>
    <col min="14588" max="14779" width="11.08984375" style="1185" customWidth="1"/>
    <col min="14780" max="14819" width="12.08984375" style="1185"/>
    <col min="14820" max="14820" width="1.6328125" style="1185" customWidth="1"/>
    <col min="14821" max="14821" width="9.453125" style="1185" customWidth="1"/>
    <col min="14822" max="14822" width="47.453125" style="1185" customWidth="1"/>
    <col min="14823" max="14823" width="23.6328125" style="1185" bestFit="1" customWidth="1"/>
    <col min="14824" max="14824" width="15.453125" style="1185" customWidth="1"/>
    <col min="14825" max="14825" width="22.08984375" style="1185" customWidth="1"/>
    <col min="14826" max="14826" width="20.453125" style="1185" customWidth="1"/>
    <col min="14827" max="14827" width="23.08984375" style="1185" customWidth="1"/>
    <col min="14828" max="14833" width="4.6328125" style="1185" customWidth="1"/>
    <col min="14834" max="14835" width="3.6328125" style="1185" customWidth="1"/>
    <col min="14836" max="14843" width="4.453125" style="1185" customWidth="1"/>
    <col min="14844" max="15035" width="11.08984375" style="1185" customWidth="1"/>
    <col min="15036" max="15075" width="12.08984375" style="1185"/>
    <col min="15076" max="15076" width="1.6328125" style="1185" customWidth="1"/>
    <col min="15077" max="15077" width="9.453125" style="1185" customWidth="1"/>
    <col min="15078" max="15078" width="47.453125" style="1185" customWidth="1"/>
    <col min="15079" max="15079" width="23.6328125" style="1185" bestFit="1" customWidth="1"/>
    <col min="15080" max="15080" width="15.453125" style="1185" customWidth="1"/>
    <col min="15081" max="15081" width="22.08984375" style="1185" customWidth="1"/>
    <col min="15082" max="15082" width="20.453125" style="1185" customWidth="1"/>
    <col min="15083" max="15083" width="23.08984375" style="1185" customWidth="1"/>
    <col min="15084" max="15089" width="4.6328125" style="1185" customWidth="1"/>
    <col min="15090" max="15091" width="3.6328125" style="1185" customWidth="1"/>
    <col min="15092" max="15099" width="4.453125" style="1185" customWidth="1"/>
    <col min="15100" max="15291" width="11.08984375" style="1185" customWidth="1"/>
    <col min="15292" max="15331" width="12.08984375" style="1185"/>
    <col min="15332" max="15332" width="1.6328125" style="1185" customWidth="1"/>
    <col min="15333" max="15333" width="9.453125" style="1185" customWidth="1"/>
    <col min="15334" max="15334" width="47.453125" style="1185" customWidth="1"/>
    <col min="15335" max="15335" width="23.6328125" style="1185" bestFit="1" customWidth="1"/>
    <col min="15336" max="15336" width="15.453125" style="1185" customWidth="1"/>
    <col min="15337" max="15337" width="22.08984375" style="1185" customWidth="1"/>
    <col min="15338" max="15338" width="20.453125" style="1185" customWidth="1"/>
    <col min="15339" max="15339" width="23.08984375" style="1185" customWidth="1"/>
    <col min="15340" max="15345" width="4.6328125" style="1185" customWidth="1"/>
    <col min="15346" max="15347" width="3.6328125" style="1185" customWidth="1"/>
    <col min="15348" max="15355" width="4.453125" style="1185" customWidth="1"/>
    <col min="15356" max="15547" width="11.08984375" style="1185" customWidth="1"/>
    <col min="15548" max="15587" width="12.08984375" style="1185"/>
    <col min="15588" max="15588" width="1.6328125" style="1185" customWidth="1"/>
    <col min="15589" max="15589" width="9.453125" style="1185" customWidth="1"/>
    <col min="15590" max="15590" width="47.453125" style="1185" customWidth="1"/>
    <col min="15591" max="15591" width="23.6328125" style="1185" bestFit="1" customWidth="1"/>
    <col min="15592" max="15592" width="15.453125" style="1185" customWidth="1"/>
    <col min="15593" max="15593" width="22.08984375" style="1185" customWidth="1"/>
    <col min="15594" max="15594" width="20.453125" style="1185" customWidth="1"/>
    <col min="15595" max="15595" width="23.08984375" style="1185" customWidth="1"/>
    <col min="15596" max="15601" width="4.6328125" style="1185" customWidth="1"/>
    <col min="15602" max="15603" width="3.6328125" style="1185" customWidth="1"/>
    <col min="15604" max="15611" width="4.453125" style="1185" customWidth="1"/>
    <col min="15612" max="15803" width="11.08984375" style="1185" customWidth="1"/>
    <col min="15804" max="15843" width="12.08984375" style="1185"/>
    <col min="15844" max="15844" width="1.6328125" style="1185" customWidth="1"/>
    <col min="15845" max="15845" width="9.453125" style="1185" customWidth="1"/>
    <col min="15846" max="15846" width="47.453125" style="1185" customWidth="1"/>
    <col min="15847" max="15847" width="23.6328125" style="1185" bestFit="1" customWidth="1"/>
    <col min="15848" max="15848" width="15.453125" style="1185" customWidth="1"/>
    <col min="15849" max="15849" width="22.08984375" style="1185" customWidth="1"/>
    <col min="15850" max="15850" width="20.453125" style="1185" customWidth="1"/>
    <col min="15851" max="15851" width="23.08984375" style="1185" customWidth="1"/>
    <col min="15852" max="15857" width="4.6328125" style="1185" customWidth="1"/>
    <col min="15858" max="15859" width="3.6328125" style="1185" customWidth="1"/>
    <col min="15860" max="15867" width="4.453125" style="1185" customWidth="1"/>
    <col min="15868" max="16059" width="11.08984375" style="1185" customWidth="1"/>
    <col min="16060" max="16099" width="12.08984375" style="1185"/>
    <col min="16100" max="16100" width="1.6328125" style="1185" customWidth="1"/>
    <col min="16101" max="16101" width="9.453125" style="1185" customWidth="1"/>
    <col min="16102" max="16102" width="47.453125" style="1185" customWidth="1"/>
    <col min="16103" max="16103" width="23.6328125" style="1185" bestFit="1" customWidth="1"/>
    <col min="16104" max="16104" width="15.453125" style="1185" customWidth="1"/>
    <col min="16105" max="16105" width="22.08984375" style="1185" customWidth="1"/>
    <col min="16106" max="16106" width="20.453125" style="1185" customWidth="1"/>
    <col min="16107" max="16107" width="23.08984375" style="1185" customWidth="1"/>
    <col min="16108" max="16113" width="4.6328125" style="1185" customWidth="1"/>
    <col min="16114" max="16115" width="3.6328125" style="1185" customWidth="1"/>
    <col min="16116" max="16123" width="4.453125" style="1185" customWidth="1"/>
    <col min="16124" max="16315" width="11.08984375" style="1185" customWidth="1"/>
    <col min="16316" max="16384" width="12.08984375" style="1185"/>
  </cols>
  <sheetData>
    <row r="1" spans="1:187">
      <c r="A1" s="1034"/>
      <c r="B1" s="1036" t="s">
        <v>815</v>
      </c>
      <c r="C1" s="1185"/>
      <c r="E1" s="1037"/>
      <c r="F1" s="1035"/>
      <c r="G1" s="527"/>
      <c r="H1" s="1038"/>
      <c r="I1" s="1039"/>
    </row>
    <row r="2" spans="1:187" ht="8.5" customHeight="1">
      <c r="A2" s="1043"/>
      <c r="B2" s="1035"/>
      <c r="C2" s="1036"/>
      <c r="D2" s="1037"/>
      <c r="E2" s="1035"/>
      <c r="F2" s="527"/>
      <c r="G2" s="1038"/>
      <c r="H2" s="1039"/>
      <c r="I2" s="1040"/>
    </row>
    <row r="3" spans="1:187" ht="8.5" customHeight="1" thickBot="1">
      <c r="A3" s="1190"/>
      <c r="I3" s="1191"/>
    </row>
    <row r="4" spans="1:187" ht="15.75" customHeight="1">
      <c r="A4" s="1190"/>
      <c r="B4" s="2081" t="s">
        <v>1381</v>
      </c>
      <c r="C4" s="2082"/>
      <c r="D4" s="2082"/>
      <c r="E4" s="2082"/>
      <c r="F4" s="2082"/>
      <c r="G4" s="2082"/>
      <c r="H4" s="2083"/>
      <c r="I4" s="1191"/>
    </row>
    <row r="5" spans="1:187">
      <c r="A5" s="1190"/>
      <c r="B5" s="2084"/>
      <c r="C5" s="2085"/>
      <c r="D5" s="2085"/>
      <c r="E5" s="2085"/>
      <c r="F5" s="2085"/>
      <c r="G5" s="2085"/>
      <c r="H5" s="2086"/>
      <c r="I5" s="1195"/>
    </row>
    <row r="6" spans="1:187" ht="16" thickBot="1">
      <c r="A6" s="1190"/>
      <c r="B6" s="2087"/>
      <c r="C6" s="2088"/>
      <c r="D6" s="2088"/>
      <c r="E6" s="2088"/>
      <c r="F6" s="2088"/>
      <c r="G6" s="2088"/>
      <c r="H6" s="2089"/>
      <c r="I6" s="1195"/>
    </row>
    <row r="7" spans="1:187" ht="16.5" customHeight="1">
      <c r="A7" s="1190"/>
      <c r="B7" s="2081" t="s">
        <v>1382</v>
      </c>
      <c r="C7" s="2082"/>
      <c r="D7" s="2082"/>
      <c r="E7" s="2082"/>
      <c r="F7" s="2082"/>
      <c r="G7" s="2082"/>
      <c r="H7" s="2083"/>
      <c r="I7" s="1195"/>
    </row>
    <row r="8" spans="1:187">
      <c r="A8" s="1190"/>
      <c r="B8" s="2084"/>
      <c r="C8" s="2085"/>
      <c r="D8" s="2085"/>
      <c r="E8" s="2085"/>
      <c r="F8" s="2085"/>
      <c r="G8" s="2085"/>
      <c r="H8" s="2086"/>
      <c r="I8" s="1195"/>
      <c r="J8" s="1398"/>
    </row>
    <row r="9" spans="1:187" ht="16" thickBot="1">
      <c r="A9" s="1190"/>
      <c r="B9" s="2087"/>
      <c r="C9" s="2088"/>
      <c r="D9" s="2088"/>
      <c r="E9" s="2088"/>
      <c r="F9" s="2088"/>
      <c r="G9" s="2088"/>
      <c r="H9" s="2089"/>
      <c r="I9" s="1195"/>
    </row>
    <row r="10" spans="1:187" s="1197" customFormat="1" ht="15.75" customHeight="1">
      <c r="A10" s="1196"/>
      <c r="B10" s="2091" t="s">
        <v>1383</v>
      </c>
      <c r="C10" s="2093" t="s">
        <v>1384</v>
      </c>
      <c r="D10" s="2096" t="s">
        <v>1385</v>
      </c>
      <c r="E10" s="2096" t="s">
        <v>1386</v>
      </c>
      <c r="F10" s="2096" t="s">
        <v>1387</v>
      </c>
      <c r="G10" s="2096" t="s">
        <v>1388</v>
      </c>
      <c r="H10" s="2098" t="s">
        <v>488</v>
      </c>
      <c r="I10" s="1195"/>
      <c r="J10" s="1186"/>
      <c r="K10" s="1186"/>
      <c r="L10" s="1186"/>
      <c r="M10" s="1186"/>
      <c r="N10" s="1186"/>
      <c r="O10" s="1186"/>
      <c r="P10" s="1186"/>
      <c r="Q10" s="1186"/>
      <c r="R10" s="1186"/>
      <c r="S10" s="1186"/>
      <c r="T10" s="1186"/>
      <c r="U10" s="1186"/>
      <c r="V10" s="1186"/>
      <c r="W10" s="1186"/>
      <c r="X10" s="1186"/>
      <c r="Y10" s="1186"/>
      <c r="Z10" s="1186"/>
      <c r="AA10" s="1186"/>
      <c r="AB10" s="1186"/>
      <c r="AC10" s="1186"/>
      <c r="AD10" s="1186"/>
      <c r="AE10" s="1186"/>
      <c r="AF10" s="1186"/>
      <c r="AG10" s="1186"/>
      <c r="AH10" s="1186"/>
      <c r="AI10" s="1186"/>
      <c r="AJ10" s="1186"/>
      <c r="AK10" s="1186"/>
      <c r="AL10" s="1186"/>
      <c r="AM10" s="1186"/>
      <c r="AN10" s="1186"/>
      <c r="AO10" s="1186"/>
      <c r="AP10" s="1186"/>
      <c r="AQ10" s="1186"/>
      <c r="AR10" s="1186"/>
      <c r="AS10" s="1186"/>
      <c r="AT10" s="1186"/>
      <c r="AU10" s="1186"/>
      <c r="AV10" s="1186"/>
      <c r="AW10" s="1186"/>
      <c r="AX10" s="1186"/>
      <c r="AY10" s="1186"/>
      <c r="AZ10" s="1186"/>
      <c r="BA10" s="1186"/>
      <c r="BB10" s="1186"/>
      <c r="BC10" s="1186"/>
      <c r="BD10" s="1186"/>
      <c r="BE10" s="1186"/>
      <c r="BF10" s="1186"/>
      <c r="BG10" s="1186"/>
      <c r="BH10" s="1186"/>
      <c r="BI10" s="1186"/>
      <c r="BJ10" s="1186"/>
      <c r="BK10" s="1186"/>
      <c r="BL10" s="1186"/>
      <c r="BM10" s="1186"/>
      <c r="BN10" s="1186"/>
      <c r="BO10" s="1186"/>
      <c r="BP10" s="1186"/>
      <c r="BQ10" s="1186"/>
      <c r="BR10" s="1186"/>
      <c r="BS10" s="1186"/>
      <c r="BT10" s="1186"/>
      <c r="BU10" s="1186"/>
      <c r="BV10" s="1186"/>
      <c r="BW10" s="1186"/>
      <c r="BX10" s="1186"/>
      <c r="BY10" s="1186"/>
      <c r="BZ10" s="1186"/>
      <c r="CA10" s="1186"/>
      <c r="CB10" s="1186"/>
      <c r="CC10" s="1186"/>
      <c r="CD10" s="1186"/>
      <c r="CE10" s="1186"/>
      <c r="CF10" s="1186"/>
      <c r="CG10" s="1186"/>
      <c r="CH10" s="1186"/>
      <c r="CI10" s="1186"/>
      <c r="CJ10" s="1186"/>
      <c r="CK10" s="1186"/>
      <c r="CL10" s="1186"/>
      <c r="CM10" s="1186"/>
      <c r="CN10" s="1186"/>
      <c r="CO10" s="1186"/>
      <c r="CP10" s="1186"/>
      <c r="CQ10" s="1186"/>
      <c r="CR10" s="1186"/>
      <c r="CS10" s="1186"/>
      <c r="CT10" s="1186"/>
      <c r="CU10" s="1186"/>
      <c r="CV10" s="1186"/>
      <c r="CW10" s="1186"/>
      <c r="CX10" s="1186"/>
      <c r="CY10" s="1186"/>
      <c r="CZ10" s="1186"/>
      <c r="DA10" s="1186"/>
      <c r="DB10" s="1186"/>
      <c r="DC10" s="1186"/>
      <c r="DD10" s="1186"/>
      <c r="DE10" s="1186"/>
      <c r="DF10" s="1186"/>
      <c r="DG10" s="1186"/>
      <c r="DH10" s="1186"/>
      <c r="DI10" s="1186"/>
      <c r="DJ10" s="1186"/>
      <c r="DK10" s="1186"/>
      <c r="DL10" s="1186"/>
      <c r="DM10" s="1186"/>
      <c r="DN10" s="1186"/>
      <c r="DO10" s="1186"/>
      <c r="DP10" s="1186"/>
      <c r="DQ10" s="1186"/>
      <c r="DR10" s="1186"/>
      <c r="DS10" s="1186"/>
      <c r="DT10" s="1186"/>
      <c r="DU10" s="1186"/>
      <c r="DV10" s="1186"/>
      <c r="DW10" s="1186"/>
      <c r="DX10" s="1186"/>
      <c r="DY10" s="1186"/>
      <c r="DZ10" s="1186"/>
      <c r="EA10" s="1186"/>
      <c r="EB10" s="1186"/>
      <c r="EC10" s="1186"/>
      <c r="ED10" s="1186"/>
      <c r="EE10" s="1186"/>
      <c r="EF10" s="1186"/>
      <c r="EG10" s="1186"/>
      <c r="EH10" s="1186"/>
      <c r="EI10" s="1186"/>
      <c r="EJ10" s="1186"/>
      <c r="EK10" s="1186"/>
      <c r="EL10" s="1186"/>
      <c r="EM10" s="1186"/>
      <c r="EN10" s="1186"/>
      <c r="EO10" s="1186"/>
      <c r="EP10" s="1186"/>
      <c r="EQ10" s="1186"/>
      <c r="ER10" s="1186"/>
      <c r="ES10" s="1186"/>
      <c r="ET10" s="1186"/>
      <c r="EU10" s="1186"/>
      <c r="EV10" s="1186"/>
      <c r="EW10" s="1186"/>
      <c r="EX10" s="1186"/>
      <c r="EY10" s="1186"/>
      <c r="EZ10" s="1186"/>
      <c r="FA10" s="1186"/>
      <c r="FB10" s="1186"/>
      <c r="FC10" s="1186"/>
      <c r="FD10" s="1186"/>
      <c r="FE10" s="1186"/>
      <c r="FF10" s="1186"/>
      <c r="FG10" s="1186"/>
      <c r="FH10" s="1186"/>
      <c r="FI10" s="1186"/>
      <c r="FJ10" s="1186"/>
      <c r="FK10" s="1186"/>
      <c r="FL10" s="1186"/>
      <c r="FM10" s="1186"/>
      <c r="FN10" s="1186"/>
      <c r="FO10" s="1186"/>
      <c r="FP10" s="1186"/>
      <c r="FQ10" s="1186"/>
      <c r="FR10" s="1186"/>
      <c r="FS10" s="1186"/>
      <c r="FT10" s="1186"/>
      <c r="FU10" s="1186"/>
      <c r="FV10" s="1186"/>
      <c r="FW10" s="1186"/>
      <c r="FX10" s="1186"/>
      <c r="FY10" s="1186"/>
      <c r="FZ10" s="1186"/>
      <c r="GA10" s="1186"/>
      <c r="GB10" s="1186"/>
      <c r="GC10" s="1186"/>
      <c r="GD10" s="1186"/>
      <c r="GE10" s="1186"/>
    </row>
    <row r="11" spans="1:187" s="1197" customFormat="1" ht="14">
      <c r="A11" s="1196"/>
      <c r="B11" s="2092"/>
      <c r="C11" s="2094"/>
      <c r="D11" s="2097" t="s">
        <v>1389</v>
      </c>
      <c r="E11" s="2097" t="s">
        <v>1390</v>
      </c>
      <c r="F11" s="2097" t="s">
        <v>1391</v>
      </c>
      <c r="G11" s="2097" t="s">
        <v>1392</v>
      </c>
      <c r="H11" s="2099" t="s">
        <v>1393</v>
      </c>
      <c r="I11" s="1195"/>
      <c r="J11" s="1186"/>
      <c r="K11" s="1186"/>
      <c r="L11" s="1186"/>
      <c r="M11" s="1186"/>
      <c r="N11" s="1186"/>
      <c r="O11" s="1186"/>
      <c r="P11" s="1186"/>
      <c r="Q11" s="1186"/>
      <c r="R11" s="1186"/>
      <c r="S11" s="1186"/>
      <c r="T11" s="1186"/>
      <c r="U11" s="1186"/>
      <c r="V11" s="1186"/>
      <c r="W11" s="1186"/>
      <c r="X11" s="1186"/>
      <c r="Y11" s="1186"/>
      <c r="Z11" s="1186"/>
      <c r="AA11" s="1186"/>
      <c r="AB11" s="1186"/>
      <c r="AC11" s="1186"/>
      <c r="AD11" s="1186"/>
      <c r="AE11" s="1186"/>
      <c r="AF11" s="1186"/>
      <c r="AG11" s="1186"/>
      <c r="AH11" s="1186"/>
      <c r="AI11" s="1186"/>
      <c r="AJ11" s="1186"/>
      <c r="AK11" s="1186"/>
      <c r="AL11" s="1186"/>
      <c r="AM11" s="1186"/>
      <c r="AN11" s="1186"/>
      <c r="AO11" s="1186"/>
      <c r="AP11" s="1186"/>
      <c r="AQ11" s="1186"/>
      <c r="AR11" s="1186"/>
      <c r="AS11" s="1186"/>
      <c r="AT11" s="1186"/>
      <c r="AU11" s="1186"/>
      <c r="AV11" s="1186"/>
      <c r="AW11" s="1186"/>
      <c r="AX11" s="1186"/>
      <c r="AY11" s="1186"/>
      <c r="AZ11" s="1186"/>
      <c r="BA11" s="1186"/>
      <c r="BB11" s="1186"/>
      <c r="BC11" s="1186"/>
      <c r="BD11" s="1186"/>
      <c r="BE11" s="1186"/>
      <c r="BF11" s="1186"/>
      <c r="BG11" s="1186"/>
      <c r="BH11" s="1186"/>
      <c r="BI11" s="1186"/>
      <c r="BJ11" s="1186"/>
      <c r="BK11" s="1186"/>
      <c r="BL11" s="1186"/>
      <c r="BM11" s="1186"/>
      <c r="BN11" s="1186"/>
      <c r="BO11" s="1186"/>
      <c r="BP11" s="1186"/>
      <c r="BQ11" s="1186"/>
      <c r="BR11" s="1186"/>
      <c r="BS11" s="1186"/>
      <c r="BT11" s="1186"/>
      <c r="BU11" s="1186"/>
      <c r="BV11" s="1186"/>
      <c r="BW11" s="1186"/>
      <c r="BX11" s="1186"/>
      <c r="BY11" s="1186"/>
      <c r="BZ11" s="1186"/>
      <c r="CA11" s="1186"/>
      <c r="CB11" s="1186"/>
      <c r="CC11" s="1186"/>
      <c r="CD11" s="1186"/>
      <c r="CE11" s="1186"/>
      <c r="CF11" s="1186"/>
      <c r="CG11" s="1186"/>
      <c r="CH11" s="1186"/>
      <c r="CI11" s="1186"/>
      <c r="CJ11" s="1186"/>
      <c r="CK11" s="1186"/>
      <c r="CL11" s="1186"/>
      <c r="CM11" s="1186"/>
      <c r="CN11" s="1186"/>
      <c r="CO11" s="1186"/>
      <c r="CP11" s="1186"/>
      <c r="CQ11" s="1186"/>
      <c r="CR11" s="1186"/>
      <c r="CS11" s="1186"/>
      <c r="CT11" s="1186"/>
      <c r="CU11" s="1186"/>
      <c r="CV11" s="1186"/>
      <c r="CW11" s="1186"/>
      <c r="CX11" s="1186"/>
      <c r="CY11" s="1186"/>
      <c r="CZ11" s="1186"/>
      <c r="DA11" s="1186"/>
      <c r="DB11" s="1186"/>
      <c r="DC11" s="1186"/>
      <c r="DD11" s="1186"/>
      <c r="DE11" s="1186"/>
      <c r="DF11" s="1186"/>
      <c r="DG11" s="1186"/>
      <c r="DH11" s="1186"/>
      <c r="DI11" s="1186"/>
      <c r="DJ11" s="1186"/>
      <c r="DK11" s="1186"/>
      <c r="DL11" s="1186"/>
      <c r="DM11" s="1186"/>
      <c r="DN11" s="1186"/>
      <c r="DO11" s="1186"/>
      <c r="DP11" s="1186"/>
      <c r="DQ11" s="1186"/>
      <c r="DR11" s="1186"/>
      <c r="DS11" s="1186"/>
      <c r="DT11" s="1186"/>
      <c r="DU11" s="1186"/>
      <c r="DV11" s="1186"/>
      <c r="DW11" s="1186"/>
      <c r="DX11" s="1186"/>
      <c r="DY11" s="1186"/>
      <c r="DZ11" s="1186"/>
      <c r="EA11" s="1186"/>
      <c r="EB11" s="1186"/>
      <c r="EC11" s="1186"/>
      <c r="ED11" s="1186"/>
      <c r="EE11" s="1186"/>
      <c r="EF11" s="1186"/>
      <c r="EG11" s="1186"/>
      <c r="EH11" s="1186"/>
      <c r="EI11" s="1186"/>
      <c r="EJ11" s="1186"/>
      <c r="EK11" s="1186"/>
      <c r="EL11" s="1186"/>
      <c r="EM11" s="1186"/>
      <c r="EN11" s="1186"/>
      <c r="EO11" s="1186"/>
      <c r="EP11" s="1186"/>
      <c r="EQ11" s="1186"/>
      <c r="ER11" s="1186"/>
      <c r="ES11" s="1186"/>
      <c r="ET11" s="1186"/>
      <c r="EU11" s="1186"/>
      <c r="EV11" s="1186"/>
      <c r="EW11" s="1186"/>
      <c r="EX11" s="1186"/>
      <c r="EY11" s="1186"/>
      <c r="EZ11" s="1186"/>
      <c r="FA11" s="1186"/>
      <c r="FB11" s="1186"/>
      <c r="FC11" s="1186"/>
      <c r="FD11" s="1186"/>
      <c r="FE11" s="1186"/>
      <c r="FF11" s="1186"/>
      <c r="FG11" s="1186"/>
      <c r="FH11" s="1186"/>
      <c r="FI11" s="1186"/>
      <c r="FJ11" s="1186"/>
      <c r="FK11" s="1186"/>
      <c r="FL11" s="1186"/>
      <c r="FM11" s="1186"/>
      <c r="FN11" s="1186"/>
      <c r="FO11" s="1186"/>
      <c r="FP11" s="1186"/>
      <c r="FQ11" s="1186"/>
      <c r="FR11" s="1186"/>
      <c r="FS11" s="1186"/>
      <c r="FT11" s="1186"/>
      <c r="FU11" s="1186"/>
      <c r="FV11" s="1186"/>
      <c r="FW11" s="1186"/>
      <c r="FX11" s="1186"/>
      <c r="FY11" s="1186"/>
      <c r="FZ11" s="1186"/>
      <c r="GA11" s="1186"/>
      <c r="GB11" s="1186"/>
      <c r="GC11" s="1186"/>
      <c r="GD11" s="1186"/>
      <c r="GE11" s="1186"/>
    </row>
    <row r="12" spans="1:187" s="1197" customFormat="1" ht="14.5" thickBot="1">
      <c r="A12" s="1196"/>
      <c r="B12" s="1198" t="s">
        <v>1394</v>
      </c>
      <c r="C12" s="2095"/>
      <c r="D12" s="1199" t="s">
        <v>1395</v>
      </c>
      <c r="E12" s="1199" t="s">
        <v>1396</v>
      </c>
      <c r="F12" s="1199" t="s">
        <v>1397</v>
      </c>
      <c r="G12" s="1199" t="s">
        <v>1398</v>
      </c>
      <c r="H12" s="1200" t="s">
        <v>1399</v>
      </c>
      <c r="I12" s="1195"/>
      <c r="J12" s="1186"/>
      <c r="K12" s="1186"/>
      <c r="L12" s="1186"/>
      <c r="M12" s="1186"/>
      <c r="N12" s="1186"/>
      <c r="O12" s="1186"/>
      <c r="P12" s="1186"/>
      <c r="Q12" s="1186"/>
      <c r="R12" s="1186"/>
      <c r="S12" s="1186"/>
      <c r="T12" s="1186"/>
      <c r="U12" s="1186"/>
      <c r="V12" s="1186"/>
      <c r="W12" s="1186"/>
      <c r="X12" s="1186"/>
      <c r="Y12" s="1186"/>
      <c r="Z12" s="1186"/>
      <c r="AA12" s="1186"/>
      <c r="AB12" s="1186"/>
      <c r="AC12" s="1186"/>
      <c r="AD12" s="1186"/>
      <c r="AE12" s="1186"/>
      <c r="AF12" s="1186"/>
      <c r="AG12" s="1186"/>
      <c r="AH12" s="1186"/>
      <c r="AI12" s="1186"/>
      <c r="AJ12" s="1186"/>
      <c r="AK12" s="1186"/>
      <c r="AL12" s="1186"/>
      <c r="AM12" s="1186"/>
      <c r="AN12" s="1186"/>
      <c r="AO12" s="1186"/>
      <c r="AP12" s="1186"/>
      <c r="AQ12" s="1186"/>
      <c r="AR12" s="1186"/>
      <c r="AS12" s="1186"/>
      <c r="AT12" s="1186"/>
      <c r="AU12" s="1186"/>
      <c r="AV12" s="1186"/>
      <c r="AW12" s="1186"/>
      <c r="AX12" s="1186"/>
      <c r="AY12" s="1186"/>
      <c r="AZ12" s="1186"/>
      <c r="BA12" s="1186"/>
      <c r="BB12" s="1186"/>
      <c r="BC12" s="1186"/>
      <c r="BD12" s="1186"/>
      <c r="BE12" s="1186"/>
      <c r="BF12" s="1186"/>
      <c r="BG12" s="1186"/>
      <c r="BH12" s="1186"/>
      <c r="BI12" s="1186"/>
      <c r="BJ12" s="1186"/>
      <c r="BK12" s="1186"/>
      <c r="BL12" s="1186"/>
      <c r="BM12" s="1186"/>
      <c r="BN12" s="1186"/>
      <c r="BO12" s="1186"/>
      <c r="BP12" s="1186"/>
      <c r="BQ12" s="1186"/>
      <c r="BR12" s="1186"/>
      <c r="BS12" s="1186"/>
      <c r="BT12" s="1186"/>
      <c r="BU12" s="1186"/>
      <c r="BV12" s="1186"/>
      <c r="BW12" s="1186"/>
      <c r="BX12" s="1186"/>
      <c r="BY12" s="1186"/>
      <c r="BZ12" s="1186"/>
      <c r="CA12" s="1186"/>
      <c r="CB12" s="1186"/>
      <c r="CC12" s="1186"/>
      <c r="CD12" s="1186"/>
      <c r="CE12" s="1186"/>
      <c r="CF12" s="1186"/>
      <c r="CG12" s="1186"/>
      <c r="CH12" s="1186"/>
      <c r="CI12" s="1186"/>
      <c r="CJ12" s="1186"/>
      <c r="CK12" s="1186"/>
      <c r="CL12" s="1186"/>
      <c r="CM12" s="1186"/>
      <c r="CN12" s="1186"/>
      <c r="CO12" s="1186"/>
      <c r="CP12" s="1186"/>
      <c r="CQ12" s="1186"/>
      <c r="CR12" s="1186"/>
      <c r="CS12" s="1186"/>
      <c r="CT12" s="1186"/>
      <c r="CU12" s="1186"/>
      <c r="CV12" s="1186"/>
      <c r="CW12" s="1186"/>
      <c r="CX12" s="1186"/>
      <c r="CY12" s="1186"/>
      <c r="CZ12" s="1186"/>
      <c r="DA12" s="1186"/>
      <c r="DB12" s="1186"/>
      <c r="DC12" s="1186"/>
      <c r="DD12" s="1186"/>
      <c r="DE12" s="1186"/>
      <c r="DF12" s="1186"/>
      <c r="DG12" s="1186"/>
      <c r="DH12" s="1186"/>
      <c r="DI12" s="1186"/>
      <c r="DJ12" s="1186"/>
      <c r="DK12" s="1186"/>
      <c r="DL12" s="1186"/>
      <c r="DM12" s="1186"/>
      <c r="DN12" s="1186"/>
      <c r="DO12" s="1186"/>
      <c r="DP12" s="1186"/>
      <c r="DQ12" s="1186"/>
      <c r="DR12" s="1186"/>
      <c r="DS12" s="1186"/>
      <c r="DT12" s="1186"/>
      <c r="DU12" s="1186"/>
      <c r="DV12" s="1186"/>
      <c r="DW12" s="1186"/>
      <c r="DX12" s="1186"/>
      <c r="DY12" s="1186"/>
      <c r="DZ12" s="1186"/>
      <c r="EA12" s="1186"/>
      <c r="EB12" s="1186"/>
      <c r="EC12" s="1186"/>
      <c r="ED12" s="1186"/>
      <c r="EE12" s="1186"/>
      <c r="EF12" s="1186"/>
      <c r="EG12" s="1186"/>
      <c r="EH12" s="1186"/>
      <c r="EI12" s="1186"/>
      <c r="EJ12" s="1186"/>
      <c r="EK12" s="1186"/>
      <c r="EL12" s="1186"/>
      <c r="EM12" s="1186"/>
      <c r="EN12" s="1186"/>
      <c r="EO12" s="1186"/>
      <c r="EP12" s="1186"/>
      <c r="EQ12" s="1186"/>
      <c r="ER12" s="1186"/>
      <c r="ES12" s="1186"/>
      <c r="ET12" s="1186"/>
      <c r="EU12" s="1186"/>
      <c r="EV12" s="1186"/>
      <c r="EW12" s="1186"/>
      <c r="EX12" s="1186"/>
      <c r="EY12" s="1186"/>
      <c r="EZ12" s="1186"/>
      <c r="FA12" s="1186"/>
      <c r="FB12" s="1186"/>
      <c r="FC12" s="1186"/>
      <c r="FD12" s="1186"/>
      <c r="FE12" s="1186"/>
      <c r="FF12" s="1186"/>
      <c r="FG12" s="1186"/>
      <c r="FH12" s="1186"/>
      <c r="FI12" s="1186"/>
      <c r="FJ12" s="1186"/>
      <c r="FK12" s="1186"/>
      <c r="FL12" s="1186"/>
      <c r="FM12" s="1186"/>
      <c r="FN12" s="1186"/>
      <c r="FO12" s="1186"/>
      <c r="FP12" s="1186"/>
      <c r="FQ12" s="1186"/>
      <c r="FR12" s="1186"/>
      <c r="FS12" s="1186"/>
      <c r="FT12" s="1186"/>
      <c r="FU12" s="1186"/>
      <c r="FV12" s="1186"/>
      <c r="FW12" s="1186"/>
      <c r="FX12" s="1186"/>
      <c r="FY12" s="1186"/>
      <c r="FZ12" s="1186"/>
      <c r="GA12" s="1186"/>
      <c r="GB12" s="1186"/>
      <c r="GC12" s="1186"/>
      <c r="GD12" s="1186"/>
      <c r="GE12" s="1186"/>
    </row>
    <row r="13" spans="1:187" s="1197" customFormat="1" ht="20.5" customHeight="1">
      <c r="A13" s="1196"/>
      <c r="B13" s="2100" t="s">
        <v>1400</v>
      </c>
      <c r="C13" s="2101"/>
      <c r="D13" s="2101"/>
      <c r="E13" s="2101"/>
      <c r="F13" s="2101"/>
      <c r="G13" s="2101"/>
      <c r="H13" s="2102"/>
      <c r="I13" s="1195"/>
      <c r="J13" s="1186"/>
      <c r="K13" s="1186"/>
      <c r="L13" s="1186"/>
      <c r="M13" s="1186"/>
      <c r="N13" s="1186"/>
      <c r="O13" s="1186"/>
      <c r="P13" s="1186"/>
      <c r="Q13" s="1186"/>
      <c r="R13" s="1186"/>
      <c r="S13" s="1186"/>
      <c r="T13" s="1186"/>
      <c r="U13" s="1186"/>
      <c r="V13" s="1186"/>
      <c r="W13" s="1186"/>
      <c r="X13" s="1186"/>
      <c r="Y13" s="1186"/>
      <c r="Z13" s="1186"/>
      <c r="AA13" s="1186"/>
      <c r="AB13" s="1186"/>
      <c r="AC13" s="1186"/>
      <c r="AD13" s="1186"/>
      <c r="AE13" s="1186"/>
      <c r="AF13" s="1186"/>
      <c r="AG13" s="1186"/>
      <c r="AH13" s="1186"/>
      <c r="AI13" s="1186"/>
      <c r="AJ13" s="1186"/>
      <c r="AK13" s="1186"/>
      <c r="AL13" s="1186"/>
      <c r="AM13" s="1186"/>
      <c r="AN13" s="1186"/>
      <c r="AO13" s="1186"/>
      <c r="AP13" s="1186"/>
      <c r="AQ13" s="1186"/>
      <c r="AR13" s="1186"/>
      <c r="AS13" s="1186"/>
      <c r="AT13" s="1186"/>
      <c r="AU13" s="1186"/>
      <c r="AV13" s="1186"/>
      <c r="AW13" s="1186"/>
      <c r="AX13" s="1186"/>
      <c r="AY13" s="1186"/>
      <c r="AZ13" s="1186"/>
      <c r="BA13" s="1186"/>
      <c r="BB13" s="1186"/>
      <c r="BC13" s="1186"/>
      <c r="BD13" s="1186"/>
      <c r="BE13" s="1186"/>
      <c r="BF13" s="1186"/>
      <c r="BG13" s="1186"/>
      <c r="BH13" s="1186"/>
      <c r="BI13" s="1186"/>
      <c r="BJ13" s="1186"/>
      <c r="BK13" s="1186"/>
      <c r="BL13" s="1186"/>
      <c r="BM13" s="1186"/>
      <c r="BN13" s="1186"/>
      <c r="BO13" s="1186"/>
      <c r="BP13" s="1186"/>
      <c r="BQ13" s="1186"/>
      <c r="BR13" s="1186"/>
      <c r="BS13" s="1186"/>
      <c r="BT13" s="1186"/>
      <c r="BU13" s="1186"/>
      <c r="BV13" s="1186"/>
      <c r="BW13" s="1186"/>
      <c r="BX13" s="1186"/>
      <c r="BY13" s="1186"/>
      <c r="BZ13" s="1186"/>
      <c r="CA13" s="1186"/>
      <c r="CB13" s="1186"/>
      <c r="CC13" s="1186"/>
      <c r="CD13" s="1186"/>
      <c r="CE13" s="1186"/>
      <c r="CF13" s="1186"/>
      <c r="CG13" s="1186"/>
      <c r="CH13" s="1186"/>
      <c r="CI13" s="1186"/>
      <c r="CJ13" s="1186"/>
      <c r="CK13" s="1186"/>
      <c r="CL13" s="1186"/>
      <c r="CM13" s="1186"/>
      <c r="CN13" s="1186"/>
      <c r="CO13" s="1186"/>
      <c r="CP13" s="1186"/>
      <c r="CQ13" s="1186"/>
      <c r="CR13" s="1186"/>
      <c r="CS13" s="1186"/>
      <c r="CT13" s="1186"/>
      <c r="CU13" s="1186"/>
      <c r="CV13" s="1186"/>
      <c r="CW13" s="1186"/>
      <c r="CX13" s="1186"/>
      <c r="CY13" s="1186"/>
      <c r="CZ13" s="1186"/>
      <c r="DA13" s="1186"/>
      <c r="DB13" s="1186"/>
      <c r="DC13" s="1186"/>
      <c r="DD13" s="1186"/>
      <c r="DE13" s="1186"/>
      <c r="DF13" s="1186"/>
      <c r="DG13" s="1186"/>
      <c r="DH13" s="1186"/>
      <c r="DI13" s="1186"/>
      <c r="DJ13" s="1186"/>
      <c r="DK13" s="1186"/>
      <c r="DL13" s="1186"/>
      <c r="DM13" s="1186"/>
      <c r="DN13" s="1186"/>
      <c r="DO13" s="1186"/>
      <c r="DP13" s="1186"/>
      <c r="DQ13" s="1186"/>
      <c r="DR13" s="1186"/>
      <c r="DS13" s="1186"/>
      <c r="DT13" s="1186"/>
      <c r="DU13" s="1186"/>
      <c r="DV13" s="1186"/>
      <c r="DW13" s="1186"/>
      <c r="DX13" s="1186"/>
      <c r="DY13" s="1186"/>
      <c r="DZ13" s="1186"/>
      <c r="EA13" s="1186"/>
      <c r="EB13" s="1186"/>
      <c r="EC13" s="1186"/>
      <c r="ED13" s="1186"/>
      <c r="EE13" s="1186"/>
      <c r="EF13" s="1186"/>
      <c r="EG13" s="1186"/>
      <c r="EH13" s="1186"/>
      <c r="EI13" s="1186"/>
      <c r="EJ13" s="1186"/>
      <c r="EK13" s="1186"/>
      <c r="EL13" s="1186"/>
      <c r="EM13" s="1186"/>
      <c r="EN13" s="1186"/>
      <c r="EO13" s="1186"/>
      <c r="EP13" s="1186"/>
      <c r="EQ13" s="1186"/>
      <c r="ER13" s="1186"/>
      <c r="ES13" s="1186"/>
      <c r="ET13" s="1186"/>
      <c r="EU13" s="1186"/>
      <c r="EV13" s="1186"/>
      <c r="EW13" s="1186"/>
      <c r="EX13" s="1186"/>
      <c r="EY13" s="1186"/>
      <c r="EZ13" s="1186"/>
      <c r="FA13" s="1186"/>
      <c r="FB13" s="1186"/>
      <c r="FC13" s="1186"/>
      <c r="FD13" s="1186"/>
      <c r="FE13" s="1186"/>
      <c r="FF13" s="1186"/>
      <c r="FG13" s="1186"/>
      <c r="FH13" s="1186"/>
      <c r="FI13" s="1186"/>
      <c r="FJ13" s="1186"/>
      <c r="FK13" s="1186"/>
      <c r="FL13" s="1186"/>
      <c r="FM13" s="1186"/>
      <c r="FN13" s="1186"/>
      <c r="FO13" s="1186"/>
      <c r="FP13" s="1186"/>
      <c r="FQ13" s="1186"/>
      <c r="FR13" s="1186"/>
      <c r="FS13" s="1186"/>
      <c r="FT13" s="1186"/>
      <c r="FU13" s="1186"/>
      <c r="FV13" s="1186"/>
      <c r="FW13" s="1186"/>
      <c r="FX13" s="1186"/>
      <c r="FY13" s="1186"/>
      <c r="FZ13" s="1186"/>
      <c r="GA13" s="1186"/>
      <c r="GB13" s="1186"/>
      <c r="GC13" s="1186"/>
      <c r="GD13" s="1186"/>
      <c r="GE13" s="1186"/>
    </row>
    <row r="14" spans="1:187" s="1197" customFormat="1" ht="14">
      <c r="A14" s="1196"/>
      <c r="B14" s="1201" t="s">
        <v>1401</v>
      </c>
      <c r="C14" s="1202"/>
      <c r="D14" s="1202"/>
      <c r="E14" s="1202"/>
      <c r="F14" s="1202"/>
      <c r="G14" s="1202"/>
      <c r="H14" s="1203"/>
      <c r="I14" s="1195"/>
      <c r="J14" s="1186"/>
      <c r="K14" s="1186"/>
      <c r="L14" s="1186"/>
      <c r="M14" s="1186"/>
      <c r="N14" s="1186"/>
      <c r="O14" s="1186"/>
      <c r="P14" s="1186"/>
      <c r="Q14" s="1186"/>
      <c r="R14" s="1186"/>
      <c r="S14" s="1186"/>
      <c r="T14" s="1186"/>
      <c r="U14" s="1186"/>
      <c r="V14" s="1186"/>
      <c r="W14" s="1186"/>
      <c r="X14" s="1186"/>
      <c r="Y14" s="1186"/>
      <c r="Z14" s="1186"/>
      <c r="AA14" s="1186"/>
      <c r="AB14" s="1186"/>
      <c r="AC14" s="1186"/>
      <c r="AD14" s="1186"/>
      <c r="AE14" s="1186"/>
      <c r="AF14" s="1186"/>
      <c r="AG14" s="1186"/>
      <c r="AH14" s="1186"/>
      <c r="AI14" s="1186"/>
      <c r="AJ14" s="1186"/>
      <c r="AK14" s="1186"/>
      <c r="AL14" s="1186"/>
      <c r="AM14" s="1186"/>
      <c r="AN14" s="1186"/>
      <c r="AO14" s="1186"/>
      <c r="AP14" s="1186"/>
      <c r="AQ14" s="1186"/>
      <c r="AR14" s="1186"/>
      <c r="AS14" s="1186"/>
      <c r="AT14" s="1186"/>
      <c r="AU14" s="1186"/>
      <c r="AV14" s="1186"/>
      <c r="AW14" s="1186"/>
      <c r="AX14" s="1186"/>
      <c r="AY14" s="1186"/>
      <c r="AZ14" s="1186"/>
      <c r="BA14" s="1186"/>
      <c r="BB14" s="1186"/>
      <c r="BC14" s="1186"/>
      <c r="BD14" s="1186"/>
      <c r="BE14" s="1186"/>
      <c r="BF14" s="1186"/>
      <c r="BG14" s="1186"/>
      <c r="BH14" s="1186"/>
      <c r="BI14" s="1186"/>
      <c r="BJ14" s="1186"/>
      <c r="BK14" s="1186"/>
      <c r="BL14" s="1186"/>
      <c r="BM14" s="1186"/>
      <c r="BN14" s="1186"/>
      <c r="BO14" s="1186"/>
      <c r="BP14" s="1186"/>
      <c r="BQ14" s="1186"/>
      <c r="BR14" s="1186"/>
      <c r="BS14" s="1186"/>
      <c r="BT14" s="1186"/>
      <c r="BU14" s="1186"/>
      <c r="BV14" s="1186"/>
      <c r="BW14" s="1186"/>
      <c r="BX14" s="1186"/>
      <c r="BY14" s="1186"/>
      <c r="BZ14" s="1186"/>
      <c r="CA14" s="1186"/>
      <c r="CB14" s="1186"/>
      <c r="CC14" s="1186"/>
      <c r="CD14" s="1186"/>
      <c r="CE14" s="1186"/>
      <c r="CF14" s="1186"/>
      <c r="CG14" s="1186"/>
      <c r="CH14" s="1186"/>
      <c r="CI14" s="1186"/>
      <c r="CJ14" s="1186"/>
      <c r="CK14" s="1186"/>
      <c r="CL14" s="1186"/>
      <c r="CM14" s="1186"/>
      <c r="CN14" s="1186"/>
      <c r="CO14" s="1186"/>
      <c r="CP14" s="1186"/>
      <c r="CQ14" s="1186"/>
      <c r="CR14" s="1186"/>
      <c r="CS14" s="1186"/>
      <c r="CT14" s="1186"/>
      <c r="CU14" s="1186"/>
      <c r="CV14" s="1186"/>
      <c r="CW14" s="1186"/>
      <c r="CX14" s="1186"/>
      <c r="CY14" s="1186"/>
      <c r="CZ14" s="1186"/>
      <c r="DA14" s="1186"/>
      <c r="DB14" s="1186"/>
      <c r="DC14" s="1186"/>
      <c r="DD14" s="1186"/>
      <c r="DE14" s="1186"/>
      <c r="DF14" s="1186"/>
      <c r="DG14" s="1186"/>
      <c r="DH14" s="1186"/>
      <c r="DI14" s="1186"/>
      <c r="DJ14" s="1186"/>
      <c r="DK14" s="1186"/>
      <c r="DL14" s="1186"/>
      <c r="DM14" s="1186"/>
      <c r="DN14" s="1186"/>
      <c r="DO14" s="1186"/>
      <c r="DP14" s="1186"/>
      <c r="DQ14" s="1186"/>
      <c r="DR14" s="1186"/>
      <c r="DS14" s="1186"/>
      <c r="DT14" s="1186"/>
      <c r="DU14" s="1186"/>
      <c r="DV14" s="1186"/>
      <c r="DW14" s="1186"/>
      <c r="DX14" s="1186"/>
      <c r="DY14" s="1186"/>
      <c r="DZ14" s="1186"/>
      <c r="EA14" s="1186"/>
      <c r="EB14" s="1186"/>
      <c r="EC14" s="1186"/>
      <c r="ED14" s="1186"/>
      <c r="EE14" s="1186"/>
      <c r="EF14" s="1186"/>
      <c r="EG14" s="1186"/>
      <c r="EH14" s="1186"/>
      <c r="EI14" s="1186"/>
      <c r="EJ14" s="1186"/>
      <c r="EK14" s="1186"/>
      <c r="EL14" s="1186"/>
      <c r="EM14" s="1186"/>
      <c r="EN14" s="1186"/>
      <c r="EO14" s="1186"/>
      <c r="EP14" s="1186"/>
      <c r="EQ14" s="1186"/>
      <c r="ER14" s="1186"/>
      <c r="ES14" s="1186"/>
      <c r="ET14" s="1186"/>
      <c r="EU14" s="1186"/>
      <c r="EV14" s="1186"/>
      <c r="EW14" s="1186"/>
      <c r="EX14" s="1186"/>
      <c r="EY14" s="1186"/>
      <c r="EZ14" s="1186"/>
      <c r="FA14" s="1186"/>
      <c r="FB14" s="1186"/>
      <c r="FC14" s="1186"/>
      <c r="FD14" s="1186"/>
      <c r="FE14" s="1186"/>
      <c r="FF14" s="1186"/>
      <c r="FG14" s="1186"/>
      <c r="FH14" s="1186"/>
      <c r="FI14" s="1186"/>
      <c r="FJ14" s="1186"/>
      <c r="FK14" s="1186"/>
      <c r="FL14" s="1186"/>
      <c r="FM14" s="1186"/>
      <c r="FN14" s="1186"/>
      <c r="FO14" s="1186"/>
      <c r="FP14" s="1186"/>
      <c r="FQ14" s="1186"/>
      <c r="FR14" s="1186"/>
      <c r="FS14" s="1186"/>
      <c r="FT14" s="1186"/>
      <c r="FU14" s="1186"/>
      <c r="FV14" s="1186"/>
      <c r="FW14" s="1186"/>
      <c r="FX14" s="1186"/>
      <c r="FY14" s="1186"/>
      <c r="FZ14" s="1186"/>
      <c r="GA14" s="1186"/>
      <c r="GB14" s="1186"/>
      <c r="GC14" s="1186"/>
      <c r="GD14" s="1186"/>
      <c r="GE14" s="1186"/>
    </row>
    <row r="15" spans="1:187" s="1197" customFormat="1" ht="14">
      <c r="A15" s="1196"/>
      <c r="B15" s="535">
        <v>1</v>
      </c>
      <c r="C15" s="1205" t="s">
        <v>242</v>
      </c>
      <c r="D15" s="1206">
        <v>5000000</v>
      </c>
      <c r="E15" s="1206"/>
      <c r="F15" s="1207">
        <v>0.2</v>
      </c>
      <c r="G15" s="1204">
        <v>2.5</v>
      </c>
      <c r="H15" s="1208">
        <f>IF(B15="","",ROUND(B15*(D15+E15)*F15*G15,0))</f>
        <v>2500000</v>
      </c>
      <c r="I15" s="1195"/>
      <c r="J15" s="2090"/>
      <c r="K15" s="1186"/>
      <c r="L15" s="1186"/>
      <c r="M15" s="1186"/>
      <c r="N15" s="1186"/>
      <c r="O15" s="1186"/>
      <c r="P15" s="1186"/>
      <c r="Q15" s="1186"/>
      <c r="R15" s="1186"/>
      <c r="S15" s="1186"/>
      <c r="T15" s="1186"/>
      <c r="U15" s="1186"/>
      <c r="V15" s="1186"/>
      <c r="W15" s="1186"/>
      <c r="X15" s="1186"/>
      <c r="Y15" s="1186"/>
      <c r="Z15" s="1186"/>
      <c r="AA15" s="1186"/>
      <c r="AB15" s="1186"/>
      <c r="AC15" s="1186"/>
      <c r="AD15" s="1186"/>
      <c r="AE15" s="1186"/>
      <c r="AF15" s="1186"/>
      <c r="AG15" s="1186"/>
      <c r="AH15" s="1186"/>
      <c r="AI15" s="1186"/>
      <c r="AJ15" s="1186"/>
      <c r="AK15" s="1186"/>
      <c r="AL15" s="1186"/>
      <c r="AM15" s="1186"/>
      <c r="AN15" s="1186"/>
      <c r="AO15" s="1186"/>
      <c r="AP15" s="1186"/>
      <c r="AQ15" s="1186"/>
      <c r="AR15" s="1186"/>
      <c r="AS15" s="1186"/>
      <c r="AT15" s="1186"/>
      <c r="AU15" s="1186"/>
      <c r="AV15" s="1186"/>
      <c r="AW15" s="1186"/>
      <c r="AX15" s="1186"/>
      <c r="AY15" s="1186"/>
      <c r="AZ15" s="1186"/>
      <c r="BA15" s="1186"/>
      <c r="BB15" s="1186"/>
      <c r="BC15" s="1186"/>
      <c r="BD15" s="1186"/>
      <c r="BE15" s="1186"/>
      <c r="BF15" s="1186"/>
      <c r="BG15" s="1186"/>
      <c r="BH15" s="1186"/>
      <c r="BI15" s="1186"/>
      <c r="BJ15" s="1186"/>
      <c r="BK15" s="1186"/>
      <c r="BL15" s="1186"/>
      <c r="BM15" s="1186"/>
      <c r="BN15" s="1186"/>
      <c r="BO15" s="1186"/>
      <c r="BP15" s="1186"/>
      <c r="BQ15" s="1186"/>
      <c r="BR15" s="1186"/>
      <c r="BS15" s="1186"/>
      <c r="BT15" s="1186"/>
      <c r="BU15" s="1186"/>
      <c r="BV15" s="1186"/>
      <c r="BW15" s="1186"/>
      <c r="BX15" s="1186"/>
      <c r="BY15" s="1186"/>
      <c r="BZ15" s="1186"/>
      <c r="CA15" s="1186"/>
      <c r="CB15" s="1186"/>
      <c r="CC15" s="1186"/>
      <c r="CD15" s="1186"/>
      <c r="CE15" s="1186"/>
      <c r="CF15" s="1186"/>
      <c r="CG15" s="1186"/>
      <c r="CH15" s="1186"/>
      <c r="CI15" s="1186"/>
      <c r="CJ15" s="1186"/>
      <c r="CK15" s="1186"/>
      <c r="CL15" s="1186"/>
      <c r="CM15" s="1186"/>
      <c r="CN15" s="1186"/>
      <c r="CO15" s="1186"/>
      <c r="CP15" s="1186"/>
      <c r="CQ15" s="1186"/>
      <c r="CR15" s="1186"/>
      <c r="CS15" s="1186"/>
      <c r="CT15" s="1186"/>
      <c r="CU15" s="1186"/>
      <c r="CV15" s="1186"/>
      <c r="CW15" s="1186"/>
      <c r="CX15" s="1186"/>
      <c r="CY15" s="1186"/>
      <c r="CZ15" s="1186"/>
      <c r="DA15" s="1186"/>
      <c r="DB15" s="1186"/>
      <c r="DC15" s="1186"/>
      <c r="DD15" s="1186"/>
      <c r="DE15" s="1186"/>
      <c r="DF15" s="1186"/>
      <c r="DG15" s="1186"/>
      <c r="DH15" s="1186"/>
      <c r="DI15" s="1186"/>
      <c r="DJ15" s="1186"/>
      <c r="DK15" s="1186"/>
      <c r="DL15" s="1186"/>
      <c r="DM15" s="1186"/>
      <c r="DN15" s="1186"/>
      <c r="DO15" s="1186"/>
      <c r="DP15" s="1186"/>
      <c r="DQ15" s="1186"/>
      <c r="DR15" s="1186"/>
      <c r="DS15" s="1186"/>
      <c r="DT15" s="1186"/>
      <c r="DU15" s="1186"/>
      <c r="DV15" s="1186"/>
      <c r="DW15" s="1186"/>
      <c r="DX15" s="1186"/>
      <c r="DY15" s="1186"/>
      <c r="DZ15" s="1186"/>
      <c r="EA15" s="1186"/>
      <c r="EB15" s="1186"/>
      <c r="EC15" s="1186"/>
      <c r="ED15" s="1186"/>
      <c r="EE15" s="1186"/>
      <c r="EF15" s="1186"/>
      <c r="EG15" s="1186"/>
      <c r="EH15" s="1186"/>
      <c r="EI15" s="1186"/>
      <c r="EJ15" s="1186"/>
      <c r="EK15" s="1186"/>
      <c r="EL15" s="1186"/>
      <c r="EM15" s="1186"/>
      <c r="EN15" s="1186"/>
      <c r="EO15" s="1186"/>
      <c r="EP15" s="1186"/>
      <c r="EQ15" s="1186"/>
      <c r="ER15" s="1186"/>
      <c r="ES15" s="1186"/>
      <c r="ET15" s="1186"/>
      <c r="EU15" s="1186"/>
      <c r="EV15" s="1186"/>
      <c r="EW15" s="1186"/>
      <c r="EX15" s="1186"/>
      <c r="EY15" s="1186"/>
      <c r="EZ15" s="1186"/>
      <c r="FA15" s="1186"/>
      <c r="FB15" s="1186"/>
      <c r="FC15" s="1186"/>
      <c r="FD15" s="1186"/>
      <c r="FE15" s="1186"/>
      <c r="FF15" s="1186"/>
      <c r="FG15" s="1186"/>
      <c r="FH15" s="1186"/>
      <c r="FI15" s="1186"/>
      <c r="FJ15" s="1186"/>
      <c r="FK15" s="1186"/>
      <c r="FL15" s="1186"/>
      <c r="FM15" s="1186"/>
      <c r="FN15" s="1186"/>
      <c r="FO15" s="1186"/>
      <c r="FP15" s="1186"/>
      <c r="FQ15" s="1186"/>
      <c r="FR15" s="1186"/>
      <c r="FS15" s="1186"/>
      <c r="FT15" s="1186"/>
      <c r="FU15" s="1186"/>
      <c r="FV15" s="1186"/>
      <c r="FW15" s="1186"/>
      <c r="FX15" s="1186"/>
      <c r="FY15" s="1186"/>
      <c r="FZ15" s="1186"/>
      <c r="GA15" s="1186"/>
      <c r="GB15" s="1186"/>
      <c r="GC15" s="1186"/>
      <c r="GD15" s="1186"/>
      <c r="GE15" s="1186"/>
    </row>
    <row r="16" spans="1:187" s="1197" customFormat="1" ht="14">
      <c r="A16" s="1196"/>
      <c r="B16" s="535">
        <v>1</v>
      </c>
      <c r="C16" s="1205" t="s">
        <v>1750</v>
      </c>
      <c r="D16" s="1206">
        <v>3800000</v>
      </c>
      <c r="E16" s="1206"/>
      <c r="F16" s="1207">
        <v>1</v>
      </c>
      <c r="G16" s="1204">
        <v>2.5</v>
      </c>
      <c r="H16" s="1208">
        <f t="shared" ref="H16:H22" si="0">IF(B16="","",ROUND(B16*(D16+E16)*F16*G16,0))</f>
        <v>9500000</v>
      </c>
      <c r="I16" s="1195"/>
      <c r="J16" s="2090"/>
      <c r="K16" s="1186"/>
      <c r="L16" s="1186"/>
      <c r="M16" s="1186"/>
      <c r="N16" s="1186"/>
      <c r="O16" s="1186"/>
      <c r="P16" s="1186"/>
      <c r="Q16" s="1186"/>
      <c r="R16" s="1186"/>
      <c r="S16" s="1186"/>
      <c r="T16" s="1186"/>
      <c r="U16" s="1186"/>
      <c r="V16" s="1186"/>
      <c r="W16" s="1186"/>
      <c r="X16" s="1186"/>
      <c r="Y16" s="1186"/>
      <c r="Z16" s="1186"/>
      <c r="AA16" s="1186"/>
      <c r="AB16" s="1186"/>
      <c r="AC16" s="1186"/>
      <c r="AD16" s="1186"/>
      <c r="AE16" s="1186"/>
      <c r="AF16" s="1186"/>
      <c r="AG16" s="1186"/>
      <c r="AH16" s="1186"/>
      <c r="AI16" s="1186"/>
      <c r="AJ16" s="1186"/>
      <c r="AK16" s="1186"/>
      <c r="AL16" s="1186"/>
      <c r="AM16" s="1186"/>
      <c r="AN16" s="1186"/>
      <c r="AO16" s="1186"/>
      <c r="AP16" s="1186"/>
      <c r="AQ16" s="1186"/>
      <c r="AR16" s="1186"/>
      <c r="AS16" s="1186"/>
      <c r="AT16" s="1186"/>
      <c r="AU16" s="1186"/>
      <c r="AV16" s="1186"/>
      <c r="AW16" s="1186"/>
      <c r="AX16" s="1186"/>
      <c r="AY16" s="1186"/>
      <c r="AZ16" s="1186"/>
      <c r="BA16" s="1186"/>
      <c r="BB16" s="1186"/>
      <c r="BC16" s="1186"/>
      <c r="BD16" s="1186"/>
      <c r="BE16" s="1186"/>
      <c r="BF16" s="1186"/>
      <c r="BG16" s="1186"/>
      <c r="BH16" s="1186"/>
      <c r="BI16" s="1186"/>
      <c r="BJ16" s="1186"/>
      <c r="BK16" s="1186"/>
      <c r="BL16" s="1186"/>
      <c r="BM16" s="1186"/>
      <c r="BN16" s="1186"/>
      <c r="BO16" s="1186"/>
      <c r="BP16" s="1186"/>
      <c r="BQ16" s="1186"/>
      <c r="BR16" s="1186"/>
      <c r="BS16" s="1186"/>
      <c r="BT16" s="1186"/>
      <c r="BU16" s="1186"/>
      <c r="BV16" s="1186"/>
      <c r="BW16" s="1186"/>
      <c r="BX16" s="1186"/>
      <c r="BY16" s="1186"/>
      <c r="BZ16" s="1186"/>
      <c r="CA16" s="1186"/>
      <c r="CB16" s="1186"/>
      <c r="CC16" s="1186"/>
      <c r="CD16" s="1186"/>
      <c r="CE16" s="1186"/>
      <c r="CF16" s="1186"/>
      <c r="CG16" s="1186"/>
      <c r="CH16" s="1186"/>
      <c r="CI16" s="1186"/>
      <c r="CJ16" s="1186"/>
      <c r="CK16" s="1186"/>
      <c r="CL16" s="1186"/>
      <c r="CM16" s="1186"/>
      <c r="CN16" s="1186"/>
      <c r="CO16" s="1186"/>
      <c r="CP16" s="1186"/>
      <c r="CQ16" s="1186"/>
      <c r="CR16" s="1186"/>
      <c r="CS16" s="1186"/>
      <c r="CT16" s="1186"/>
      <c r="CU16" s="1186"/>
      <c r="CV16" s="1186"/>
      <c r="CW16" s="1186"/>
      <c r="CX16" s="1186"/>
      <c r="CY16" s="1186"/>
      <c r="CZ16" s="1186"/>
      <c r="DA16" s="1186"/>
      <c r="DB16" s="1186"/>
      <c r="DC16" s="1186"/>
      <c r="DD16" s="1186"/>
      <c r="DE16" s="1186"/>
      <c r="DF16" s="1186"/>
      <c r="DG16" s="1186"/>
      <c r="DH16" s="1186"/>
      <c r="DI16" s="1186"/>
      <c r="DJ16" s="1186"/>
      <c r="DK16" s="1186"/>
      <c r="DL16" s="1186"/>
      <c r="DM16" s="1186"/>
      <c r="DN16" s="1186"/>
      <c r="DO16" s="1186"/>
      <c r="DP16" s="1186"/>
      <c r="DQ16" s="1186"/>
      <c r="DR16" s="1186"/>
      <c r="DS16" s="1186"/>
      <c r="DT16" s="1186"/>
      <c r="DU16" s="1186"/>
      <c r="DV16" s="1186"/>
      <c r="DW16" s="1186"/>
      <c r="DX16" s="1186"/>
      <c r="DY16" s="1186"/>
      <c r="DZ16" s="1186"/>
      <c r="EA16" s="1186"/>
      <c r="EB16" s="1186"/>
      <c r="EC16" s="1186"/>
      <c r="ED16" s="1186"/>
      <c r="EE16" s="1186"/>
      <c r="EF16" s="1186"/>
      <c r="EG16" s="1186"/>
      <c r="EH16" s="1186"/>
      <c r="EI16" s="1186"/>
      <c r="EJ16" s="1186"/>
      <c r="EK16" s="1186"/>
      <c r="EL16" s="1186"/>
      <c r="EM16" s="1186"/>
      <c r="EN16" s="1186"/>
      <c r="EO16" s="1186"/>
      <c r="EP16" s="1186"/>
      <c r="EQ16" s="1186"/>
      <c r="ER16" s="1186"/>
      <c r="ES16" s="1186"/>
      <c r="ET16" s="1186"/>
      <c r="EU16" s="1186"/>
      <c r="EV16" s="1186"/>
      <c r="EW16" s="1186"/>
      <c r="EX16" s="1186"/>
      <c r="EY16" s="1186"/>
      <c r="EZ16" s="1186"/>
      <c r="FA16" s="1186"/>
      <c r="FB16" s="1186"/>
      <c r="FC16" s="1186"/>
      <c r="FD16" s="1186"/>
      <c r="FE16" s="1186"/>
      <c r="FF16" s="1186"/>
      <c r="FG16" s="1186"/>
      <c r="FH16" s="1186"/>
      <c r="FI16" s="1186"/>
      <c r="FJ16" s="1186"/>
      <c r="FK16" s="1186"/>
      <c r="FL16" s="1186"/>
      <c r="FM16" s="1186"/>
      <c r="FN16" s="1186"/>
      <c r="FO16" s="1186"/>
      <c r="FP16" s="1186"/>
      <c r="FQ16" s="1186"/>
      <c r="FR16" s="1186"/>
      <c r="FS16" s="1186"/>
      <c r="FT16" s="1186"/>
      <c r="FU16" s="1186"/>
      <c r="FV16" s="1186"/>
      <c r="FW16" s="1186"/>
      <c r="FX16" s="1186"/>
      <c r="FY16" s="1186"/>
      <c r="FZ16" s="1186"/>
      <c r="GA16" s="1186"/>
      <c r="GB16" s="1186"/>
      <c r="GC16" s="1186"/>
      <c r="GD16" s="1186"/>
      <c r="GE16" s="1186"/>
    </row>
    <row r="17" spans="1:187" s="1197" customFormat="1" ht="14">
      <c r="A17" s="1196"/>
      <c r="B17" s="535"/>
      <c r="C17" s="1205"/>
      <c r="D17" s="1206"/>
      <c r="E17" s="1206"/>
      <c r="F17" s="1207"/>
      <c r="G17" s="1204"/>
      <c r="H17" s="1208"/>
      <c r="I17" s="1195"/>
      <c r="J17" s="2090"/>
      <c r="K17" s="1186"/>
      <c r="L17" s="1186"/>
      <c r="M17" s="1186"/>
      <c r="N17" s="1186"/>
      <c r="O17" s="1186"/>
      <c r="P17" s="1186"/>
      <c r="Q17" s="1186"/>
      <c r="R17" s="1186"/>
      <c r="S17" s="1186"/>
      <c r="T17" s="1186"/>
      <c r="U17" s="1186"/>
      <c r="V17" s="1186"/>
      <c r="W17" s="1186"/>
      <c r="X17" s="1186"/>
      <c r="Y17" s="1186"/>
      <c r="Z17" s="1186"/>
      <c r="AA17" s="1186"/>
      <c r="AB17" s="1186"/>
      <c r="AC17" s="1186"/>
      <c r="AD17" s="1186"/>
      <c r="AE17" s="1186"/>
      <c r="AF17" s="1186"/>
      <c r="AG17" s="1186"/>
      <c r="AH17" s="1186"/>
      <c r="AI17" s="1186"/>
      <c r="AJ17" s="1186"/>
      <c r="AK17" s="1186"/>
      <c r="AL17" s="1186"/>
      <c r="AM17" s="1186"/>
      <c r="AN17" s="1186"/>
      <c r="AO17" s="1186"/>
      <c r="AP17" s="1186"/>
      <c r="AQ17" s="1186"/>
      <c r="AR17" s="1186"/>
      <c r="AS17" s="1186"/>
      <c r="AT17" s="1186"/>
      <c r="AU17" s="1186"/>
      <c r="AV17" s="1186"/>
      <c r="AW17" s="1186"/>
      <c r="AX17" s="1186"/>
      <c r="AY17" s="1186"/>
      <c r="AZ17" s="1186"/>
      <c r="BA17" s="1186"/>
      <c r="BB17" s="1186"/>
      <c r="BC17" s="1186"/>
      <c r="BD17" s="1186"/>
      <c r="BE17" s="1186"/>
      <c r="BF17" s="1186"/>
      <c r="BG17" s="1186"/>
      <c r="BH17" s="1186"/>
      <c r="BI17" s="1186"/>
      <c r="BJ17" s="1186"/>
      <c r="BK17" s="1186"/>
      <c r="BL17" s="1186"/>
      <c r="BM17" s="1186"/>
      <c r="BN17" s="1186"/>
      <c r="BO17" s="1186"/>
      <c r="BP17" s="1186"/>
      <c r="BQ17" s="1186"/>
      <c r="BR17" s="1186"/>
      <c r="BS17" s="1186"/>
      <c r="BT17" s="1186"/>
      <c r="BU17" s="1186"/>
      <c r="BV17" s="1186"/>
      <c r="BW17" s="1186"/>
      <c r="BX17" s="1186"/>
      <c r="BY17" s="1186"/>
      <c r="BZ17" s="1186"/>
      <c r="CA17" s="1186"/>
      <c r="CB17" s="1186"/>
      <c r="CC17" s="1186"/>
      <c r="CD17" s="1186"/>
      <c r="CE17" s="1186"/>
      <c r="CF17" s="1186"/>
      <c r="CG17" s="1186"/>
      <c r="CH17" s="1186"/>
      <c r="CI17" s="1186"/>
      <c r="CJ17" s="1186"/>
      <c r="CK17" s="1186"/>
      <c r="CL17" s="1186"/>
      <c r="CM17" s="1186"/>
      <c r="CN17" s="1186"/>
      <c r="CO17" s="1186"/>
      <c r="CP17" s="1186"/>
      <c r="CQ17" s="1186"/>
      <c r="CR17" s="1186"/>
      <c r="CS17" s="1186"/>
      <c r="CT17" s="1186"/>
      <c r="CU17" s="1186"/>
      <c r="CV17" s="1186"/>
      <c r="CW17" s="1186"/>
      <c r="CX17" s="1186"/>
      <c r="CY17" s="1186"/>
      <c r="CZ17" s="1186"/>
      <c r="DA17" s="1186"/>
      <c r="DB17" s="1186"/>
      <c r="DC17" s="1186"/>
      <c r="DD17" s="1186"/>
      <c r="DE17" s="1186"/>
      <c r="DF17" s="1186"/>
      <c r="DG17" s="1186"/>
      <c r="DH17" s="1186"/>
      <c r="DI17" s="1186"/>
      <c r="DJ17" s="1186"/>
      <c r="DK17" s="1186"/>
      <c r="DL17" s="1186"/>
      <c r="DM17" s="1186"/>
      <c r="DN17" s="1186"/>
      <c r="DO17" s="1186"/>
      <c r="DP17" s="1186"/>
      <c r="DQ17" s="1186"/>
      <c r="DR17" s="1186"/>
      <c r="DS17" s="1186"/>
      <c r="DT17" s="1186"/>
      <c r="DU17" s="1186"/>
      <c r="DV17" s="1186"/>
      <c r="DW17" s="1186"/>
      <c r="DX17" s="1186"/>
      <c r="DY17" s="1186"/>
      <c r="DZ17" s="1186"/>
      <c r="EA17" s="1186"/>
      <c r="EB17" s="1186"/>
      <c r="EC17" s="1186"/>
      <c r="ED17" s="1186"/>
      <c r="EE17" s="1186"/>
      <c r="EF17" s="1186"/>
      <c r="EG17" s="1186"/>
      <c r="EH17" s="1186"/>
      <c r="EI17" s="1186"/>
      <c r="EJ17" s="1186"/>
      <c r="EK17" s="1186"/>
      <c r="EL17" s="1186"/>
      <c r="EM17" s="1186"/>
      <c r="EN17" s="1186"/>
      <c r="EO17" s="1186"/>
      <c r="EP17" s="1186"/>
      <c r="EQ17" s="1186"/>
      <c r="ER17" s="1186"/>
      <c r="ES17" s="1186"/>
      <c r="ET17" s="1186"/>
      <c r="EU17" s="1186"/>
      <c r="EV17" s="1186"/>
      <c r="EW17" s="1186"/>
      <c r="EX17" s="1186"/>
      <c r="EY17" s="1186"/>
      <c r="EZ17" s="1186"/>
      <c r="FA17" s="1186"/>
      <c r="FB17" s="1186"/>
      <c r="FC17" s="1186"/>
      <c r="FD17" s="1186"/>
      <c r="FE17" s="1186"/>
      <c r="FF17" s="1186"/>
      <c r="FG17" s="1186"/>
      <c r="FH17" s="1186"/>
      <c r="FI17" s="1186"/>
      <c r="FJ17" s="1186"/>
      <c r="FK17" s="1186"/>
      <c r="FL17" s="1186"/>
      <c r="FM17" s="1186"/>
      <c r="FN17" s="1186"/>
      <c r="FO17" s="1186"/>
      <c r="FP17" s="1186"/>
      <c r="FQ17" s="1186"/>
      <c r="FR17" s="1186"/>
      <c r="FS17" s="1186"/>
      <c r="FT17" s="1186"/>
      <c r="FU17" s="1186"/>
      <c r="FV17" s="1186"/>
      <c r="FW17" s="1186"/>
      <c r="FX17" s="1186"/>
      <c r="FY17" s="1186"/>
      <c r="FZ17" s="1186"/>
      <c r="GA17" s="1186"/>
      <c r="GB17" s="1186"/>
      <c r="GC17" s="1186"/>
      <c r="GD17" s="1186"/>
      <c r="GE17" s="1186"/>
    </row>
    <row r="18" spans="1:187" s="1197" customFormat="1" ht="14">
      <c r="A18" s="1196"/>
      <c r="B18" s="535">
        <v>1</v>
      </c>
      <c r="C18" s="1205" t="s">
        <v>1759</v>
      </c>
      <c r="D18" s="1206">
        <v>2800000</v>
      </c>
      <c r="E18" s="1206"/>
      <c r="F18" s="1207">
        <v>0.2</v>
      </c>
      <c r="G18" s="1204">
        <f>+G15</f>
        <v>2.5</v>
      </c>
      <c r="H18" s="1208">
        <f t="shared" si="0"/>
        <v>1400000</v>
      </c>
      <c r="I18" s="1195"/>
      <c r="J18" s="2090"/>
      <c r="K18" s="1186"/>
      <c r="L18" s="1186"/>
      <c r="M18" s="1186"/>
      <c r="N18" s="1186"/>
      <c r="O18" s="1186"/>
      <c r="P18" s="1186"/>
      <c r="Q18" s="1186"/>
      <c r="R18" s="1186"/>
      <c r="S18" s="1186"/>
      <c r="T18" s="1186"/>
      <c r="U18" s="1186"/>
      <c r="V18" s="1186"/>
      <c r="W18" s="1186"/>
      <c r="X18" s="1186"/>
      <c r="Y18" s="1186"/>
      <c r="Z18" s="1186"/>
      <c r="AA18" s="1186"/>
      <c r="AB18" s="1186"/>
      <c r="AC18" s="1186"/>
      <c r="AD18" s="1186"/>
      <c r="AE18" s="1186"/>
      <c r="AF18" s="1186"/>
      <c r="AG18" s="1186"/>
      <c r="AH18" s="1186"/>
      <c r="AI18" s="1186"/>
      <c r="AJ18" s="1186"/>
      <c r="AK18" s="1186"/>
      <c r="AL18" s="1186"/>
      <c r="AM18" s="1186"/>
      <c r="AN18" s="1186"/>
      <c r="AO18" s="1186"/>
      <c r="AP18" s="1186"/>
      <c r="AQ18" s="1186"/>
      <c r="AR18" s="1186"/>
      <c r="AS18" s="1186"/>
      <c r="AT18" s="1186"/>
      <c r="AU18" s="1186"/>
      <c r="AV18" s="1186"/>
      <c r="AW18" s="1186"/>
      <c r="AX18" s="1186"/>
      <c r="AY18" s="1186"/>
      <c r="AZ18" s="1186"/>
      <c r="BA18" s="1186"/>
      <c r="BB18" s="1186"/>
      <c r="BC18" s="1186"/>
      <c r="BD18" s="1186"/>
      <c r="BE18" s="1186"/>
      <c r="BF18" s="1186"/>
      <c r="BG18" s="1186"/>
      <c r="BH18" s="1186"/>
      <c r="BI18" s="1186"/>
      <c r="BJ18" s="1186"/>
      <c r="BK18" s="1186"/>
      <c r="BL18" s="1186"/>
      <c r="BM18" s="1186"/>
      <c r="BN18" s="1186"/>
      <c r="BO18" s="1186"/>
      <c r="BP18" s="1186"/>
      <c r="BQ18" s="1186"/>
      <c r="BR18" s="1186"/>
      <c r="BS18" s="1186"/>
      <c r="BT18" s="1186"/>
      <c r="BU18" s="1186"/>
      <c r="BV18" s="1186"/>
      <c r="BW18" s="1186"/>
      <c r="BX18" s="1186"/>
      <c r="BY18" s="1186"/>
      <c r="BZ18" s="1186"/>
      <c r="CA18" s="1186"/>
      <c r="CB18" s="1186"/>
      <c r="CC18" s="1186"/>
      <c r="CD18" s="1186"/>
      <c r="CE18" s="1186"/>
      <c r="CF18" s="1186"/>
      <c r="CG18" s="1186"/>
      <c r="CH18" s="1186"/>
      <c r="CI18" s="1186"/>
      <c r="CJ18" s="1186"/>
      <c r="CK18" s="1186"/>
      <c r="CL18" s="1186"/>
      <c r="CM18" s="1186"/>
      <c r="CN18" s="1186"/>
      <c r="CO18" s="1186"/>
      <c r="CP18" s="1186"/>
      <c r="CQ18" s="1186"/>
      <c r="CR18" s="1186"/>
      <c r="CS18" s="1186"/>
      <c r="CT18" s="1186"/>
      <c r="CU18" s="1186"/>
      <c r="CV18" s="1186"/>
      <c r="CW18" s="1186"/>
      <c r="CX18" s="1186"/>
      <c r="CY18" s="1186"/>
      <c r="CZ18" s="1186"/>
      <c r="DA18" s="1186"/>
      <c r="DB18" s="1186"/>
      <c r="DC18" s="1186"/>
      <c r="DD18" s="1186"/>
      <c r="DE18" s="1186"/>
      <c r="DF18" s="1186"/>
      <c r="DG18" s="1186"/>
      <c r="DH18" s="1186"/>
      <c r="DI18" s="1186"/>
      <c r="DJ18" s="1186"/>
      <c r="DK18" s="1186"/>
      <c r="DL18" s="1186"/>
      <c r="DM18" s="1186"/>
      <c r="DN18" s="1186"/>
      <c r="DO18" s="1186"/>
      <c r="DP18" s="1186"/>
      <c r="DQ18" s="1186"/>
      <c r="DR18" s="1186"/>
      <c r="DS18" s="1186"/>
      <c r="DT18" s="1186"/>
      <c r="DU18" s="1186"/>
      <c r="DV18" s="1186"/>
      <c r="DW18" s="1186"/>
      <c r="DX18" s="1186"/>
      <c r="DY18" s="1186"/>
      <c r="DZ18" s="1186"/>
      <c r="EA18" s="1186"/>
      <c r="EB18" s="1186"/>
      <c r="EC18" s="1186"/>
      <c r="ED18" s="1186"/>
      <c r="EE18" s="1186"/>
      <c r="EF18" s="1186"/>
      <c r="EG18" s="1186"/>
      <c r="EH18" s="1186"/>
      <c r="EI18" s="1186"/>
      <c r="EJ18" s="1186"/>
      <c r="EK18" s="1186"/>
      <c r="EL18" s="1186"/>
      <c r="EM18" s="1186"/>
      <c r="EN18" s="1186"/>
      <c r="EO18" s="1186"/>
      <c r="EP18" s="1186"/>
      <c r="EQ18" s="1186"/>
      <c r="ER18" s="1186"/>
      <c r="ES18" s="1186"/>
      <c r="ET18" s="1186"/>
      <c r="EU18" s="1186"/>
      <c r="EV18" s="1186"/>
      <c r="EW18" s="1186"/>
      <c r="EX18" s="1186"/>
      <c r="EY18" s="1186"/>
      <c r="EZ18" s="1186"/>
      <c r="FA18" s="1186"/>
      <c r="FB18" s="1186"/>
      <c r="FC18" s="1186"/>
      <c r="FD18" s="1186"/>
      <c r="FE18" s="1186"/>
      <c r="FF18" s="1186"/>
      <c r="FG18" s="1186"/>
      <c r="FH18" s="1186"/>
      <c r="FI18" s="1186"/>
      <c r="FJ18" s="1186"/>
      <c r="FK18" s="1186"/>
      <c r="FL18" s="1186"/>
      <c r="FM18" s="1186"/>
      <c r="FN18" s="1186"/>
      <c r="FO18" s="1186"/>
      <c r="FP18" s="1186"/>
      <c r="FQ18" s="1186"/>
      <c r="FR18" s="1186"/>
      <c r="FS18" s="1186"/>
      <c r="FT18" s="1186"/>
      <c r="FU18" s="1186"/>
      <c r="FV18" s="1186"/>
      <c r="FW18" s="1186"/>
      <c r="FX18" s="1186"/>
      <c r="FY18" s="1186"/>
      <c r="FZ18" s="1186"/>
      <c r="GA18" s="1186"/>
      <c r="GB18" s="1186"/>
      <c r="GC18" s="1186"/>
      <c r="GD18" s="1186"/>
      <c r="GE18" s="1186"/>
    </row>
    <row r="19" spans="1:187" s="1197" customFormat="1" ht="14">
      <c r="A19" s="1196"/>
      <c r="B19" s="535">
        <v>1</v>
      </c>
      <c r="C19" s="1205" t="s">
        <v>1751</v>
      </c>
      <c r="D19" s="1206">
        <f>+D16</f>
        <v>3800000</v>
      </c>
      <c r="E19" s="1206"/>
      <c r="F19" s="1207">
        <v>0.3</v>
      </c>
      <c r="G19" s="1204">
        <v>0</v>
      </c>
      <c r="H19" s="1208">
        <f t="shared" si="0"/>
        <v>0</v>
      </c>
      <c r="I19" s="1195"/>
      <c r="J19" s="2090"/>
      <c r="K19" s="1186"/>
      <c r="L19" s="1186"/>
      <c r="M19" s="1186"/>
      <c r="N19" s="1186"/>
      <c r="O19" s="1186"/>
      <c r="P19" s="1186"/>
      <c r="Q19" s="1186"/>
      <c r="R19" s="1186"/>
      <c r="S19" s="1186"/>
      <c r="T19" s="1186"/>
      <c r="U19" s="1186"/>
      <c r="V19" s="1186"/>
      <c r="W19" s="1186"/>
      <c r="X19" s="1186"/>
      <c r="Y19" s="1186"/>
      <c r="Z19" s="1186"/>
      <c r="AA19" s="1186"/>
      <c r="AB19" s="1186"/>
      <c r="AC19" s="1186"/>
      <c r="AD19" s="1186"/>
      <c r="AE19" s="1186"/>
      <c r="AF19" s="1186"/>
      <c r="AG19" s="1186"/>
      <c r="AH19" s="1186"/>
      <c r="AI19" s="1186"/>
      <c r="AJ19" s="1186"/>
      <c r="AK19" s="1186"/>
      <c r="AL19" s="1186"/>
      <c r="AM19" s="1186"/>
      <c r="AN19" s="1186"/>
      <c r="AO19" s="1186"/>
      <c r="AP19" s="1186"/>
      <c r="AQ19" s="1186"/>
      <c r="AR19" s="1186"/>
      <c r="AS19" s="1186"/>
      <c r="AT19" s="1186"/>
      <c r="AU19" s="1186"/>
      <c r="AV19" s="1186"/>
      <c r="AW19" s="1186"/>
      <c r="AX19" s="1186"/>
      <c r="AY19" s="1186"/>
      <c r="AZ19" s="1186"/>
      <c r="BA19" s="1186"/>
      <c r="BB19" s="1186"/>
      <c r="BC19" s="1186"/>
      <c r="BD19" s="1186"/>
      <c r="BE19" s="1186"/>
      <c r="BF19" s="1186"/>
      <c r="BG19" s="1186"/>
      <c r="BH19" s="1186"/>
      <c r="BI19" s="1186"/>
      <c r="BJ19" s="1186"/>
      <c r="BK19" s="1186"/>
      <c r="BL19" s="1186"/>
      <c r="BM19" s="1186"/>
      <c r="BN19" s="1186"/>
      <c r="BO19" s="1186"/>
      <c r="BP19" s="1186"/>
      <c r="BQ19" s="1186"/>
      <c r="BR19" s="1186"/>
      <c r="BS19" s="1186"/>
      <c r="BT19" s="1186"/>
      <c r="BU19" s="1186"/>
      <c r="BV19" s="1186"/>
      <c r="BW19" s="1186"/>
      <c r="BX19" s="1186"/>
      <c r="BY19" s="1186"/>
      <c r="BZ19" s="1186"/>
      <c r="CA19" s="1186"/>
      <c r="CB19" s="1186"/>
      <c r="CC19" s="1186"/>
      <c r="CD19" s="1186"/>
      <c r="CE19" s="1186"/>
      <c r="CF19" s="1186"/>
      <c r="CG19" s="1186"/>
      <c r="CH19" s="1186"/>
      <c r="CI19" s="1186"/>
      <c r="CJ19" s="1186"/>
      <c r="CK19" s="1186"/>
      <c r="CL19" s="1186"/>
      <c r="CM19" s="1186"/>
      <c r="CN19" s="1186"/>
      <c r="CO19" s="1186"/>
      <c r="CP19" s="1186"/>
      <c r="CQ19" s="1186"/>
      <c r="CR19" s="1186"/>
      <c r="CS19" s="1186"/>
      <c r="CT19" s="1186"/>
      <c r="CU19" s="1186"/>
      <c r="CV19" s="1186"/>
      <c r="CW19" s="1186"/>
      <c r="CX19" s="1186"/>
      <c r="CY19" s="1186"/>
      <c r="CZ19" s="1186"/>
      <c r="DA19" s="1186"/>
      <c r="DB19" s="1186"/>
      <c r="DC19" s="1186"/>
      <c r="DD19" s="1186"/>
      <c r="DE19" s="1186"/>
      <c r="DF19" s="1186"/>
      <c r="DG19" s="1186"/>
      <c r="DH19" s="1186"/>
      <c r="DI19" s="1186"/>
      <c r="DJ19" s="1186"/>
      <c r="DK19" s="1186"/>
      <c r="DL19" s="1186"/>
      <c r="DM19" s="1186"/>
      <c r="DN19" s="1186"/>
      <c r="DO19" s="1186"/>
      <c r="DP19" s="1186"/>
      <c r="DQ19" s="1186"/>
      <c r="DR19" s="1186"/>
      <c r="DS19" s="1186"/>
      <c r="DT19" s="1186"/>
      <c r="DU19" s="1186"/>
      <c r="DV19" s="1186"/>
      <c r="DW19" s="1186"/>
      <c r="DX19" s="1186"/>
      <c r="DY19" s="1186"/>
      <c r="DZ19" s="1186"/>
      <c r="EA19" s="1186"/>
      <c r="EB19" s="1186"/>
      <c r="EC19" s="1186"/>
      <c r="ED19" s="1186"/>
      <c r="EE19" s="1186"/>
      <c r="EF19" s="1186"/>
      <c r="EG19" s="1186"/>
      <c r="EH19" s="1186"/>
      <c r="EI19" s="1186"/>
      <c r="EJ19" s="1186"/>
      <c r="EK19" s="1186"/>
      <c r="EL19" s="1186"/>
      <c r="EM19" s="1186"/>
      <c r="EN19" s="1186"/>
      <c r="EO19" s="1186"/>
      <c r="EP19" s="1186"/>
      <c r="EQ19" s="1186"/>
      <c r="ER19" s="1186"/>
      <c r="ES19" s="1186"/>
      <c r="ET19" s="1186"/>
      <c r="EU19" s="1186"/>
      <c r="EV19" s="1186"/>
      <c r="EW19" s="1186"/>
      <c r="EX19" s="1186"/>
      <c r="EY19" s="1186"/>
      <c r="EZ19" s="1186"/>
      <c r="FA19" s="1186"/>
      <c r="FB19" s="1186"/>
      <c r="FC19" s="1186"/>
      <c r="FD19" s="1186"/>
      <c r="FE19" s="1186"/>
      <c r="FF19" s="1186"/>
      <c r="FG19" s="1186"/>
      <c r="FH19" s="1186"/>
      <c r="FI19" s="1186"/>
      <c r="FJ19" s="1186"/>
      <c r="FK19" s="1186"/>
      <c r="FL19" s="1186"/>
      <c r="FM19" s="1186"/>
      <c r="FN19" s="1186"/>
      <c r="FO19" s="1186"/>
      <c r="FP19" s="1186"/>
      <c r="FQ19" s="1186"/>
      <c r="FR19" s="1186"/>
      <c r="FS19" s="1186"/>
      <c r="FT19" s="1186"/>
      <c r="FU19" s="1186"/>
      <c r="FV19" s="1186"/>
      <c r="FW19" s="1186"/>
      <c r="FX19" s="1186"/>
      <c r="FY19" s="1186"/>
      <c r="FZ19" s="1186"/>
      <c r="GA19" s="1186"/>
      <c r="GB19" s="1186"/>
      <c r="GC19" s="1186"/>
      <c r="GD19" s="1186"/>
      <c r="GE19" s="1186"/>
    </row>
    <row r="20" spans="1:187" s="1197" customFormat="1" ht="14">
      <c r="A20" s="1196"/>
      <c r="B20" s="535">
        <v>1</v>
      </c>
      <c r="C20" s="1205" t="s">
        <v>1752</v>
      </c>
      <c r="D20" s="1206">
        <f>+D16</f>
        <v>3800000</v>
      </c>
      <c r="E20" s="1206"/>
      <c r="F20" s="1207">
        <v>0.4</v>
      </c>
      <c r="G20" s="1204">
        <v>0</v>
      </c>
      <c r="H20" s="1208">
        <f t="shared" si="0"/>
        <v>0</v>
      </c>
      <c r="I20" s="1195"/>
      <c r="J20" s="2090"/>
      <c r="K20" s="1186"/>
      <c r="L20" s="1186"/>
      <c r="M20" s="1186"/>
      <c r="N20" s="1186"/>
      <c r="O20" s="1186"/>
      <c r="P20" s="1186"/>
      <c r="Q20" s="1186"/>
      <c r="R20" s="1186"/>
      <c r="S20" s="1186"/>
      <c r="T20" s="1186"/>
      <c r="U20" s="1186"/>
      <c r="V20" s="1186"/>
      <c r="W20" s="1186"/>
      <c r="X20" s="1186"/>
      <c r="Y20" s="1186"/>
      <c r="Z20" s="1186"/>
      <c r="AA20" s="1186"/>
      <c r="AB20" s="1186"/>
      <c r="AC20" s="1186"/>
      <c r="AD20" s="1186"/>
      <c r="AE20" s="1186"/>
      <c r="AF20" s="1186"/>
      <c r="AG20" s="1186"/>
      <c r="AH20" s="1186"/>
      <c r="AI20" s="1186"/>
      <c r="AJ20" s="1186"/>
      <c r="AK20" s="1186"/>
      <c r="AL20" s="1186"/>
      <c r="AM20" s="1186"/>
      <c r="AN20" s="1186"/>
      <c r="AO20" s="1186"/>
      <c r="AP20" s="1186"/>
      <c r="AQ20" s="1186"/>
      <c r="AR20" s="1186"/>
      <c r="AS20" s="1186"/>
      <c r="AT20" s="1186"/>
      <c r="AU20" s="1186"/>
      <c r="AV20" s="1186"/>
      <c r="AW20" s="1186"/>
      <c r="AX20" s="1186"/>
      <c r="AY20" s="1186"/>
      <c r="AZ20" s="1186"/>
      <c r="BA20" s="1186"/>
      <c r="BB20" s="1186"/>
      <c r="BC20" s="1186"/>
      <c r="BD20" s="1186"/>
      <c r="BE20" s="1186"/>
      <c r="BF20" s="1186"/>
      <c r="BG20" s="1186"/>
      <c r="BH20" s="1186"/>
      <c r="BI20" s="1186"/>
      <c r="BJ20" s="1186"/>
      <c r="BK20" s="1186"/>
      <c r="BL20" s="1186"/>
      <c r="BM20" s="1186"/>
      <c r="BN20" s="1186"/>
      <c r="BO20" s="1186"/>
      <c r="BP20" s="1186"/>
      <c r="BQ20" s="1186"/>
      <c r="BR20" s="1186"/>
      <c r="BS20" s="1186"/>
      <c r="BT20" s="1186"/>
      <c r="BU20" s="1186"/>
      <c r="BV20" s="1186"/>
      <c r="BW20" s="1186"/>
      <c r="BX20" s="1186"/>
      <c r="BY20" s="1186"/>
      <c r="BZ20" s="1186"/>
      <c r="CA20" s="1186"/>
      <c r="CB20" s="1186"/>
      <c r="CC20" s="1186"/>
      <c r="CD20" s="1186"/>
      <c r="CE20" s="1186"/>
      <c r="CF20" s="1186"/>
      <c r="CG20" s="1186"/>
      <c r="CH20" s="1186"/>
      <c r="CI20" s="1186"/>
      <c r="CJ20" s="1186"/>
      <c r="CK20" s="1186"/>
      <c r="CL20" s="1186"/>
      <c r="CM20" s="1186"/>
      <c r="CN20" s="1186"/>
      <c r="CO20" s="1186"/>
      <c r="CP20" s="1186"/>
      <c r="CQ20" s="1186"/>
      <c r="CR20" s="1186"/>
      <c r="CS20" s="1186"/>
      <c r="CT20" s="1186"/>
      <c r="CU20" s="1186"/>
      <c r="CV20" s="1186"/>
      <c r="CW20" s="1186"/>
      <c r="CX20" s="1186"/>
      <c r="CY20" s="1186"/>
      <c r="CZ20" s="1186"/>
      <c r="DA20" s="1186"/>
      <c r="DB20" s="1186"/>
      <c r="DC20" s="1186"/>
      <c r="DD20" s="1186"/>
      <c r="DE20" s="1186"/>
      <c r="DF20" s="1186"/>
      <c r="DG20" s="1186"/>
      <c r="DH20" s="1186"/>
      <c r="DI20" s="1186"/>
      <c r="DJ20" s="1186"/>
      <c r="DK20" s="1186"/>
      <c r="DL20" s="1186"/>
      <c r="DM20" s="1186"/>
      <c r="DN20" s="1186"/>
      <c r="DO20" s="1186"/>
      <c r="DP20" s="1186"/>
      <c r="DQ20" s="1186"/>
      <c r="DR20" s="1186"/>
      <c r="DS20" s="1186"/>
      <c r="DT20" s="1186"/>
      <c r="DU20" s="1186"/>
      <c r="DV20" s="1186"/>
      <c r="DW20" s="1186"/>
      <c r="DX20" s="1186"/>
      <c r="DY20" s="1186"/>
      <c r="DZ20" s="1186"/>
      <c r="EA20" s="1186"/>
      <c r="EB20" s="1186"/>
      <c r="EC20" s="1186"/>
      <c r="ED20" s="1186"/>
      <c r="EE20" s="1186"/>
      <c r="EF20" s="1186"/>
      <c r="EG20" s="1186"/>
      <c r="EH20" s="1186"/>
      <c r="EI20" s="1186"/>
      <c r="EJ20" s="1186"/>
      <c r="EK20" s="1186"/>
      <c r="EL20" s="1186"/>
      <c r="EM20" s="1186"/>
      <c r="EN20" s="1186"/>
      <c r="EO20" s="1186"/>
      <c r="EP20" s="1186"/>
      <c r="EQ20" s="1186"/>
      <c r="ER20" s="1186"/>
      <c r="ES20" s="1186"/>
      <c r="ET20" s="1186"/>
      <c r="EU20" s="1186"/>
      <c r="EV20" s="1186"/>
      <c r="EW20" s="1186"/>
      <c r="EX20" s="1186"/>
      <c r="EY20" s="1186"/>
      <c r="EZ20" s="1186"/>
      <c r="FA20" s="1186"/>
      <c r="FB20" s="1186"/>
      <c r="FC20" s="1186"/>
      <c r="FD20" s="1186"/>
      <c r="FE20" s="1186"/>
      <c r="FF20" s="1186"/>
      <c r="FG20" s="1186"/>
      <c r="FH20" s="1186"/>
      <c r="FI20" s="1186"/>
      <c r="FJ20" s="1186"/>
      <c r="FK20" s="1186"/>
      <c r="FL20" s="1186"/>
      <c r="FM20" s="1186"/>
      <c r="FN20" s="1186"/>
      <c r="FO20" s="1186"/>
      <c r="FP20" s="1186"/>
      <c r="FQ20" s="1186"/>
      <c r="FR20" s="1186"/>
      <c r="FS20" s="1186"/>
      <c r="FT20" s="1186"/>
      <c r="FU20" s="1186"/>
      <c r="FV20" s="1186"/>
      <c r="FW20" s="1186"/>
      <c r="FX20" s="1186"/>
      <c r="FY20" s="1186"/>
      <c r="FZ20" s="1186"/>
      <c r="GA20" s="1186"/>
      <c r="GB20" s="1186"/>
      <c r="GC20" s="1186"/>
      <c r="GD20" s="1186"/>
      <c r="GE20" s="1186"/>
    </row>
    <row r="21" spans="1:187" s="1197" customFormat="1" ht="14">
      <c r="A21" s="1196"/>
      <c r="B21" s="535"/>
      <c r="C21" s="1205"/>
      <c r="D21" s="1206"/>
      <c r="E21" s="1206"/>
      <c r="F21" s="1207"/>
      <c r="G21" s="1204"/>
      <c r="H21" s="1208" t="str">
        <f t="shared" si="0"/>
        <v/>
      </c>
      <c r="I21" s="1195"/>
      <c r="J21" s="2090"/>
      <c r="K21" s="1186"/>
      <c r="L21" s="1186"/>
      <c r="M21" s="1186"/>
      <c r="N21" s="1186"/>
      <c r="O21" s="1186"/>
      <c r="P21" s="1186"/>
      <c r="Q21" s="1186"/>
      <c r="R21" s="1186"/>
      <c r="S21" s="1186"/>
      <c r="T21" s="1186"/>
      <c r="U21" s="1186"/>
      <c r="V21" s="1186"/>
      <c r="W21" s="1186"/>
      <c r="X21" s="1186"/>
      <c r="Y21" s="1186"/>
      <c r="Z21" s="1186"/>
      <c r="AA21" s="1186"/>
      <c r="AB21" s="1186"/>
      <c r="AC21" s="1186"/>
      <c r="AD21" s="1186"/>
      <c r="AE21" s="1186"/>
      <c r="AF21" s="1186"/>
      <c r="AG21" s="1186"/>
      <c r="AH21" s="1186"/>
      <c r="AI21" s="1186"/>
      <c r="AJ21" s="1186"/>
      <c r="AK21" s="1186"/>
      <c r="AL21" s="1186"/>
      <c r="AM21" s="1186"/>
      <c r="AN21" s="1186"/>
      <c r="AO21" s="1186"/>
      <c r="AP21" s="1186"/>
      <c r="AQ21" s="1186"/>
      <c r="AR21" s="1186"/>
      <c r="AS21" s="1186"/>
      <c r="AT21" s="1186"/>
      <c r="AU21" s="1186"/>
      <c r="AV21" s="1186"/>
      <c r="AW21" s="1186"/>
      <c r="AX21" s="1186"/>
      <c r="AY21" s="1186"/>
      <c r="AZ21" s="1186"/>
      <c r="BA21" s="1186"/>
      <c r="BB21" s="1186"/>
      <c r="BC21" s="1186"/>
      <c r="BD21" s="1186"/>
      <c r="BE21" s="1186"/>
      <c r="BF21" s="1186"/>
      <c r="BG21" s="1186"/>
      <c r="BH21" s="1186"/>
      <c r="BI21" s="1186"/>
      <c r="BJ21" s="1186"/>
      <c r="BK21" s="1186"/>
      <c r="BL21" s="1186"/>
      <c r="BM21" s="1186"/>
      <c r="BN21" s="1186"/>
      <c r="BO21" s="1186"/>
      <c r="BP21" s="1186"/>
      <c r="BQ21" s="1186"/>
      <c r="BR21" s="1186"/>
      <c r="BS21" s="1186"/>
      <c r="BT21" s="1186"/>
      <c r="BU21" s="1186"/>
      <c r="BV21" s="1186"/>
      <c r="BW21" s="1186"/>
      <c r="BX21" s="1186"/>
      <c r="BY21" s="1186"/>
      <c r="BZ21" s="1186"/>
      <c r="CA21" s="1186"/>
      <c r="CB21" s="1186"/>
      <c r="CC21" s="1186"/>
      <c r="CD21" s="1186"/>
      <c r="CE21" s="1186"/>
      <c r="CF21" s="1186"/>
      <c r="CG21" s="1186"/>
      <c r="CH21" s="1186"/>
      <c r="CI21" s="1186"/>
      <c r="CJ21" s="1186"/>
      <c r="CK21" s="1186"/>
      <c r="CL21" s="1186"/>
      <c r="CM21" s="1186"/>
      <c r="CN21" s="1186"/>
      <c r="CO21" s="1186"/>
      <c r="CP21" s="1186"/>
      <c r="CQ21" s="1186"/>
      <c r="CR21" s="1186"/>
      <c r="CS21" s="1186"/>
      <c r="CT21" s="1186"/>
      <c r="CU21" s="1186"/>
      <c r="CV21" s="1186"/>
      <c r="CW21" s="1186"/>
      <c r="CX21" s="1186"/>
      <c r="CY21" s="1186"/>
      <c r="CZ21" s="1186"/>
      <c r="DA21" s="1186"/>
      <c r="DB21" s="1186"/>
      <c r="DC21" s="1186"/>
      <c r="DD21" s="1186"/>
      <c r="DE21" s="1186"/>
      <c r="DF21" s="1186"/>
      <c r="DG21" s="1186"/>
      <c r="DH21" s="1186"/>
      <c r="DI21" s="1186"/>
      <c r="DJ21" s="1186"/>
      <c r="DK21" s="1186"/>
      <c r="DL21" s="1186"/>
      <c r="DM21" s="1186"/>
      <c r="DN21" s="1186"/>
      <c r="DO21" s="1186"/>
      <c r="DP21" s="1186"/>
      <c r="DQ21" s="1186"/>
      <c r="DR21" s="1186"/>
      <c r="DS21" s="1186"/>
      <c r="DT21" s="1186"/>
      <c r="DU21" s="1186"/>
      <c r="DV21" s="1186"/>
      <c r="DW21" s="1186"/>
      <c r="DX21" s="1186"/>
      <c r="DY21" s="1186"/>
      <c r="DZ21" s="1186"/>
      <c r="EA21" s="1186"/>
      <c r="EB21" s="1186"/>
      <c r="EC21" s="1186"/>
      <c r="ED21" s="1186"/>
      <c r="EE21" s="1186"/>
      <c r="EF21" s="1186"/>
      <c r="EG21" s="1186"/>
      <c r="EH21" s="1186"/>
      <c r="EI21" s="1186"/>
      <c r="EJ21" s="1186"/>
      <c r="EK21" s="1186"/>
      <c r="EL21" s="1186"/>
      <c r="EM21" s="1186"/>
      <c r="EN21" s="1186"/>
      <c r="EO21" s="1186"/>
      <c r="EP21" s="1186"/>
      <c r="EQ21" s="1186"/>
      <c r="ER21" s="1186"/>
      <c r="ES21" s="1186"/>
      <c r="ET21" s="1186"/>
      <c r="EU21" s="1186"/>
      <c r="EV21" s="1186"/>
      <c r="EW21" s="1186"/>
      <c r="EX21" s="1186"/>
      <c r="EY21" s="1186"/>
      <c r="EZ21" s="1186"/>
      <c r="FA21" s="1186"/>
      <c r="FB21" s="1186"/>
      <c r="FC21" s="1186"/>
      <c r="FD21" s="1186"/>
      <c r="FE21" s="1186"/>
      <c r="FF21" s="1186"/>
      <c r="FG21" s="1186"/>
      <c r="FH21" s="1186"/>
      <c r="FI21" s="1186"/>
      <c r="FJ21" s="1186"/>
      <c r="FK21" s="1186"/>
      <c r="FL21" s="1186"/>
      <c r="FM21" s="1186"/>
      <c r="FN21" s="1186"/>
      <c r="FO21" s="1186"/>
      <c r="FP21" s="1186"/>
      <c r="FQ21" s="1186"/>
      <c r="FR21" s="1186"/>
      <c r="FS21" s="1186"/>
      <c r="FT21" s="1186"/>
      <c r="FU21" s="1186"/>
      <c r="FV21" s="1186"/>
      <c r="FW21" s="1186"/>
      <c r="FX21" s="1186"/>
      <c r="FY21" s="1186"/>
      <c r="FZ21" s="1186"/>
      <c r="GA21" s="1186"/>
      <c r="GB21" s="1186"/>
      <c r="GC21" s="1186"/>
      <c r="GD21" s="1186"/>
      <c r="GE21" s="1186"/>
    </row>
    <row r="22" spans="1:187" s="1197" customFormat="1" ht="14">
      <c r="A22" s="1196"/>
      <c r="B22" s="535"/>
      <c r="C22" s="1205"/>
      <c r="D22" s="1206"/>
      <c r="E22" s="1206"/>
      <c r="F22" s="1207"/>
      <c r="G22" s="1204"/>
      <c r="H22" s="1208" t="str">
        <f t="shared" si="0"/>
        <v/>
      </c>
      <c r="I22" s="1195"/>
      <c r="J22" s="2090"/>
      <c r="K22" s="1186"/>
      <c r="L22" s="1186"/>
      <c r="M22" s="1186"/>
      <c r="N22" s="1186"/>
      <c r="O22" s="1186"/>
      <c r="P22" s="1186"/>
      <c r="Q22" s="1186"/>
      <c r="R22" s="1186"/>
      <c r="S22" s="1186"/>
      <c r="T22" s="1186"/>
      <c r="U22" s="1186"/>
      <c r="V22" s="1186"/>
      <c r="W22" s="1186"/>
      <c r="X22" s="1186"/>
      <c r="Y22" s="1186"/>
      <c r="Z22" s="1186"/>
      <c r="AA22" s="1186"/>
      <c r="AB22" s="1186"/>
      <c r="AC22" s="1186"/>
      <c r="AD22" s="1186"/>
      <c r="AE22" s="1186"/>
      <c r="AF22" s="1186"/>
      <c r="AG22" s="1186"/>
      <c r="AH22" s="1186"/>
      <c r="AI22" s="1186"/>
      <c r="AJ22" s="1186"/>
      <c r="AK22" s="1186"/>
      <c r="AL22" s="1186"/>
      <c r="AM22" s="1186"/>
      <c r="AN22" s="1186"/>
      <c r="AO22" s="1186"/>
      <c r="AP22" s="1186"/>
      <c r="AQ22" s="1186"/>
      <c r="AR22" s="1186"/>
      <c r="AS22" s="1186"/>
      <c r="AT22" s="1186"/>
      <c r="AU22" s="1186"/>
      <c r="AV22" s="1186"/>
      <c r="AW22" s="1186"/>
      <c r="AX22" s="1186"/>
      <c r="AY22" s="1186"/>
      <c r="AZ22" s="1186"/>
      <c r="BA22" s="1186"/>
      <c r="BB22" s="1186"/>
      <c r="BC22" s="1186"/>
      <c r="BD22" s="1186"/>
      <c r="BE22" s="1186"/>
      <c r="BF22" s="1186"/>
      <c r="BG22" s="1186"/>
      <c r="BH22" s="1186"/>
      <c r="BI22" s="1186"/>
      <c r="BJ22" s="1186"/>
      <c r="BK22" s="1186"/>
      <c r="BL22" s="1186"/>
      <c r="BM22" s="1186"/>
      <c r="BN22" s="1186"/>
      <c r="BO22" s="1186"/>
      <c r="BP22" s="1186"/>
      <c r="BQ22" s="1186"/>
      <c r="BR22" s="1186"/>
      <c r="BS22" s="1186"/>
      <c r="BT22" s="1186"/>
      <c r="BU22" s="1186"/>
      <c r="BV22" s="1186"/>
      <c r="BW22" s="1186"/>
      <c r="BX22" s="1186"/>
      <c r="BY22" s="1186"/>
      <c r="BZ22" s="1186"/>
      <c r="CA22" s="1186"/>
      <c r="CB22" s="1186"/>
      <c r="CC22" s="1186"/>
      <c r="CD22" s="1186"/>
      <c r="CE22" s="1186"/>
      <c r="CF22" s="1186"/>
      <c r="CG22" s="1186"/>
      <c r="CH22" s="1186"/>
      <c r="CI22" s="1186"/>
      <c r="CJ22" s="1186"/>
      <c r="CK22" s="1186"/>
      <c r="CL22" s="1186"/>
      <c r="CM22" s="1186"/>
      <c r="CN22" s="1186"/>
      <c r="CO22" s="1186"/>
      <c r="CP22" s="1186"/>
      <c r="CQ22" s="1186"/>
      <c r="CR22" s="1186"/>
      <c r="CS22" s="1186"/>
      <c r="CT22" s="1186"/>
      <c r="CU22" s="1186"/>
      <c r="CV22" s="1186"/>
      <c r="CW22" s="1186"/>
      <c r="CX22" s="1186"/>
      <c r="CY22" s="1186"/>
      <c r="CZ22" s="1186"/>
      <c r="DA22" s="1186"/>
      <c r="DB22" s="1186"/>
      <c r="DC22" s="1186"/>
      <c r="DD22" s="1186"/>
      <c r="DE22" s="1186"/>
      <c r="DF22" s="1186"/>
      <c r="DG22" s="1186"/>
      <c r="DH22" s="1186"/>
      <c r="DI22" s="1186"/>
      <c r="DJ22" s="1186"/>
      <c r="DK22" s="1186"/>
      <c r="DL22" s="1186"/>
      <c r="DM22" s="1186"/>
      <c r="DN22" s="1186"/>
      <c r="DO22" s="1186"/>
      <c r="DP22" s="1186"/>
      <c r="DQ22" s="1186"/>
      <c r="DR22" s="1186"/>
      <c r="DS22" s="1186"/>
      <c r="DT22" s="1186"/>
      <c r="DU22" s="1186"/>
      <c r="DV22" s="1186"/>
      <c r="DW22" s="1186"/>
      <c r="DX22" s="1186"/>
      <c r="DY22" s="1186"/>
      <c r="DZ22" s="1186"/>
      <c r="EA22" s="1186"/>
      <c r="EB22" s="1186"/>
      <c r="EC22" s="1186"/>
      <c r="ED22" s="1186"/>
      <c r="EE22" s="1186"/>
      <c r="EF22" s="1186"/>
      <c r="EG22" s="1186"/>
      <c r="EH22" s="1186"/>
      <c r="EI22" s="1186"/>
      <c r="EJ22" s="1186"/>
      <c r="EK22" s="1186"/>
      <c r="EL22" s="1186"/>
      <c r="EM22" s="1186"/>
      <c r="EN22" s="1186"/>
      <c r="EO22" s="1186"/>
      <c r="EP22" s="1186"/>
      <c r="EQ22" s="1186"/>
      <c r="ER22" s="1186"/>
      <c r="ES22" s="1186"/>
      <c r="ET22" s="1186"/>
      <c r="EU22" s="1186"/>
      <c r="EV22" s="1186"/>
      <c r="EW22" s="1186"/>
      <c r="EX22" s="1186"/>
      <c r="EY22" s="1186"/>
      <c r="EZ22" s="1186"/>
      <c r="FA22" s="1186"/>
      <c r="FB22" s="1186"/>
      <c r="FC22" s="1186"/>
      <c r="FD22" s="1186"/>
      <c r="FE22" s="1186"/>
      <c r="FF22" s="1186"/>
      <c r="FG22" s="1186"/>
      <c r="FH22" s="1186"/>
      <c r="FI22" s="1186"/>
      <c r="FJ22" s="1186"/>
      <c r="FK22" s="1186"/>
      <c r="FL22" s="1186"/>
      <c r="FM22" s="1186"/>
      <c r="FN22" s="1186"/>
      <c r="FO22" s="1186"/>
      <c r="FP22" s="1186"/>
      <c r="FQ22" s="1186"/>
      <c r="FR22" s="1186"/>
      <c r="FS22" s="1186"/>
      <c r="FT22" s="1186"/>
      <c r="FU22" s="1186"/>
      <c r="FV22" s="1186"/>
      <c r="FW22" s="1186"/>
      <c r="FX22" s="1186"/>
      <c r="FY22" s="1186"/>
      <c r="FZ22" s="1186"/>
      <c r="GA22" s="1186"/>
      <c r="GB22" s="1186"/>
      <c r="GC22" s="1186"/>
      <c r="GD22" s="1186"/>
      <c r="GE22" s="1186"/>
    </row>
    <row r="23" spans="1:187" s="1197" customFormat="1" ht="16.5" customHeight="1">
      <c r="A23" s="1196"/>
      <c r="B23" s="1201" t="s">
        <v>1402</v>
      </c>
      <c r="C23" s="1202"/>
      <c r="D23" s="1202"/>
      <c r="E23" s="1202"/>
      <c r="F23" s="1202"/>
      <c r="G23" s="1202"/>
      <c r="H23" s="1203"/>
      <c r="I23" s="1195"/>
      <c r="J23" s="1186"/>
      <c r="K23" s="1186"/>
      <c r="L23" s="1186"/>
      <c r="M23" s="1186"/>
      <c r="N23" s="1186"/>
      <c r="O23" s="1186"/>
      <c r="P23" s="1186"/>
      <c r="Q23" s="1186"/>
      <c r="R23" s="1186"/>
      <c r="S23" s="1186"/>
      <c r="T23" s="1186"/>
      <c r="U23" s="1186"/>
      <c r="V23" s="1186"/>
      <c r="W23" s="1186"/>
      <c r="X23" s="1186"/>
      <c r="Y23" s="1186"/>
      <c r="Z23" s="1186"/>
      <c r="AA23" s="1186"/>
      <c r="AB23" s="1186"/>
      <c r="AC23" s="1186"/>
      <c r="AD23" s="1186"/>
      <c r="AE23" s="1186"/>
      <c r="AF23" s="1186"/>
      <c r="AG23" s="1186"/>
      <c r="AH23" s="1186"/>
      <c r="AI23" s="1186"/>
      <c r="AJ23" s="1186"/>
      <c r="AK23" s="1186"/>
      <c r="AL23" s="1186"/>
      <c r="AM23" s="1186"/>
      <c r="AN23" s="1186"/>
      <c r="AO23" s="1186"/>
      <c r="AP23" s="1186"/>
      <c r="AQ23" s="1186"/>
      <c r="AR23" s="1186"/>
      <c r="AS23" s="1186"/>
      <c r="AT23" s="1186"/>
      <c r="AU23" s="1186"/>
      <c r="AV23" s="1186"/>
      <c r="AW23" s="1186"/>
      <c r="AX23" s="1186"/>
      <c r="AY23" s="1186"/>
      <c r="AZ23" s="1186"/>
      <c r="BA23" s="1186"/>
      <c r="BB23" s="1186"/>
      <c r="BC23" s="1186"/>
      <c r="BD23" s="1186"/>
      <c r="BE23" s="1186"/>
      <c r="BF23" s="1186"/>
      <c r="BG23" s="1186"/>
      <c r="BH23" s="1186"/>
      <c r="BI23" s="1186"/>
      <c r="BJ23" s="1186"/>
      <c r="BK23" s="1186"/>
      <c r="BL23" s="1186"/>
      <c r="BM23" s="1186"/>
      <c r="BN23" s="1186"/>
      <c r="BO23" s="1186"/>
      <c r="BP23" s="1186"/>
      <c r="BQ23" s="1186"/>
      <c r="BR23" s="1186"/>
      <c r="BS23" s="1186"/>
      <c r="BT23" s="1186"/>
      <c r="BU23" s="1186"/>
      <c r="BV23" s="1186"/>
      <c r="BW23" s="1186"/>
      <c r="BX23" s="1186"/>
      <c r="BY23" s="1186"/>
      <c r="BZ23" s="1186"/>
      <c r="CA23" s="1186"/>
      <c r="CB23" s="1186"/>
      <c r="CC23" s="1186"/>
      <c r="CD23" s="1186"/>
      <c r="CE23" s="1186"/>
      <c r="CF23" s="1186"/>
      <c r="CG23" s="1186"/>
      <c r="CH23" s="1186"/>
      <c r="CI23" s="1186"/>
      <c r="CJ23" s="1186"/>
      <c r="CK23" s="1186"/>
      <c r="CL23" s="1186"/>
      <c r="CM23" s="1186"/>
      <c r="CN23" s="1186"/>
      <c r="CO23" s="1186"/>
      <c r="CP23" s="1186"/>
      <c r="CQ23" s="1186"/>
      <c r="CR23" s="1186"/>
      <c r="CS23" s="1186"/>
      <c r="CT23" s="1186"/>
      <c r="CU23" s="1186"/>
      <c r="CV23" s="1186"/>
      <c r="CW23" s="1186"/>
      <c r="CX23" s="1186"/>
      <c r="CY23" s="1186"/>
      <c r="CZ23" s="1186"/>
      <c r="DA23" s="1186"/>
      <c r="DB23" s="1186"/>
      <c r="DC23" s="1186"/>
      <c r="DD23" s="1186"/>
      <c r="DE23" s="1186"/>
      <c r="DF23" s="1186"/>
      <c r="DG23" s="1186"/>
      <c r="DH23" s="1186"/>
      <c r="DI23" s="1186"/>
      <c r="DJ23" s="1186"/>
      <c r="DK23" s="1186"/>
      <c r="DL23" s="1186"/>
      <c r="DM23" s="1186"/>
      <c r="DN23" s="1186"/>
      <c r="DO23" s="1186"/>
      <c r="DP23" s="1186"/>
      <c r="DQ23" s="1186"/>
      <c r="DR23" s="1186"/>
      <c r="DS23" s="1186"/>
      <c r="DT23" s="1186"/>
      <c r="DU23" s="1186"/>
      <c r="DV23" s="1186"/>
      <c r="DW23" s="1186"/>
      <c r="DX23" s="1186"/>
      <c r="DY23" s="1186"/>
      <c r="DZ23" s="1186"/>
      <c r="EA23" s="1186"/>
      <c r="EB23" s="1186"/>
      <c r="EC23" s="1186"/>
      <c r="ED23" s="1186"/>
      <c r="EE23" s="1186"/>
      <c r="EF23" s="1186"/>
      <c r="EG23" s="1186"/>
      <c r="EH23" s="1186"/>
      <c r="EI23" s="1186"/>
      <c r="EJ23" s="1186"/>
      <c r="EK23" s="1186"/>
      <c r="EL23" s="1186"/>
      <c r="EM23" s="1186"/>
      <c r="EN23" s="1186"/>
      <c r="EO23" s="1186"/>
      <c r="EP23" s="1186"/>
      <c r="EQ23" s="1186"/>
      <c r="ER23" s="1186"/>
      <c r="ES23" s="1186"/>
      <c r="ET23" s="1186"/>
      <c r="EU23" s="1186"/>
      <c r="EV23" s="1186"/>
      <c r="EW23" s="1186"/>
      <c r="EX23" s="1186"/>
      <c r="EY23" s="1186"/>
      <c r="EZ23" s="1186"/>
      <c r="FA23" s="1186"/>
      <c r="FB23" s="1186"/>
      <c r="FC23" s="1186"/>
      <c r="FD23" s="1186"/>
      <c r="FE23" s="1186"/>
      <c r="FF23" s="1186"/>
      <c r="FG23" s="1186"/>
      <c r="FH23" s="1186"/>
      <c r="FI23" s="1186"/>
      <c r="FJ23" s="1186"/>
      <c r="FK23" s="1186"/>
      <c r="FL23" s="1186"/>
      <c r="FM23" s="1186"/>
      <c r="FN23" s="1186"/>
      <c r="FO23" s="1186"/>
      <c r="FP23" s="1186"/>
      <c r="FQ23" s="1186"/>
      <c r="FR23" s="1186"/>
      <c r="FS23" s="1186"/>
      <c r="FT23" s="1186"/>
      <c r="FU23" s="1186"/>
      <c r="FV23" s="1186"/>
      <c r="FW23" s="1186"/>
      <c r="FX23" s="1186"/>
      <c r="FY23" s="1186"/>
      <c r="FZ23" s="1186"/>
      <c r="GA23" s="1186"/>
      <c r="GB23" s="1186"/>
      <c r="GC23" s="1186"/>
      <c r="GD23" s="1186"/>
      <c r="GE23" s="1186"/>
    </row>
    <row r="24" spans="1:187" s="1197" customFormat="1" ht="14" customHeight="1">
      <c r="A24" s="1196"/>
      <c r="B24" s="535"/>
      <c r="C24" s="1205"/>
      <c r="D24" s="1206"/>
      <c r="E24" s="1206"/>
      <c r="F24" s="1207"/>
      <c r="G24" s="1204"/>
      <c r="H24" s="1208" t="str">
        <f t="shared" ref="H24" si="1">IF(B24="","",ROUND(B24*(D24+E24)*F24*G24,0))</f>
        <v/>
      </c>
      <c r="I24" s="1195"/>
      <c r="J24" s="2090"/>
      <c r="K24" s="1186"/>
      <c r="L24" s="1186"/>
      <c r="M24" s="1186"/>
      <c r="N24" s="1186"/>
      <c r="O24" s="1186"/>
      <c r="P24" s="1186"/>
      <c r="Q24" s="1186"/>
      <c r="R24" s="1186"/>
      <c r="S24" s="1186"/>
      <c r="T24" s="1186"/>
      <c r="U24" s="1186"/>
      <c r="V24" s="1186"/>
      <c r="W24" s="1186"/>
      <c r="X24" s="1186"/>
      <c r="Y24" s="1186"/>
      <c r="Z24" s="1186"/>
      <c r="AA24" s="1186"/>
      <c r="AB24" s="1186"/>
      <c r="AC24" s="1186"/>
      <c r="AD24" s="1186"/>
      <c r="AE24" s="1186"/>
      <c r="AF24" s="1186"/>
      <c r="AG24" s="1186"/>
      <c r="AH24" s="1186"/>
      <c r="AI24" s="1186"/>
      <c r="AJ24" s="1186"/>
      <c r="AK24" s="1186"/>
      <c r="AL24" s="1186"/>
      <c r="AM24" s="1186"/>
      <c r="AN24" s="1186"/>
      <c r="AO24" s="1186"/>
      <c r="AP24" s="1186"/>
      <c r="AQ24" s="1186"/>
      <c r="AR24" s="1186"/>
      <c r="AS24" s="1186"/>
      <c r="AT24" s="1186"/>
      <c r="AU24" s="1186"/>
      <c r="AV24" s="1186"/>
      <c r="AW24" s="1186"/>
      <c r="AX24" s="1186"/>
      <c r="AY24" s="1186"/>
      <c r="AZ24" s="1186"/>
      <c r="BA24" s="1186"/>
      <c r="BB24" s="1186"/>
      <c r="BC24" s="1186"/>
      <c r="BD24" s="1186"/>
      <c r="BE24" s="1186"/>
      <c r="BF24" s="1186"/>
      <c r="BG24" s="1186"/>
      <c r="BH24" s="1186"/>
      <c r="BI24" s="1186"/>
      <c r="BJ24" s="1186"/>
      <c r="BK24" s="1186"/>
      <c r="BL24" s="1186"/>
      <c r="BM24" s="1186"/>
      <c r="BN24" s="1186"/>
      <c r="BO24" s="1186"/>
      <c r="BP24" s="1186"/>
      <c r="BQ24" s="1186"/>
      <c r="BR24" s="1186"/>
      <c r="BS24" s="1186"/>
      <c r="BT24" s="1186"/>
      <c r="BU24" s="1186"/>
      <c r="BV24" s="1186"/>
      <c r="BW24" s="1186"/>
      <c r="BX24" s="1186"/>
      <c r="BY24" s="1186"/>
      <c r="BZ24" s="1186"/>
      <c r="CA24" s="1186"/>
      <c r="CB24" s="1186"/>
      <c r="CC24" s="1186"/>
      <c r="CD24" s="1186"/>
      <c r="CE24" s="1186"/>
      <c r="CF24" s="1186"/>
      <c r="CG24" s="1186"/>
      <c r="CH24" s="1186"/>
      <c r="CI24" s="1186"/>
      <c r="CJ24" s="1186"/>
      <c r="CK24" s="1186"/>
      <c r="CL24" s="1186"/>
      <c r="CM24" s="1186"/>
      <c r="CN24" s="1186"/>
      <c r="CO24" s="1186"/>
      <c r="CP24" s="1186"/>
      <c r="CQ24" s="1186"/>
      <c r="CR24" s="1186"/>
      <c r="CS24" s="1186"/>
      <c r="CT24" s="1186"/>
      <c r="CU24" s="1186"/>
      <c r="CV24" s="1186"/>
      <c r="CW24" s="1186"/>
      <c r="CX24" s="1186"/>
      <c r="CY24" s="1186"/>
      <c r="CZ24" s="1186"/>
      <c r="DA24" s="1186"/>
      <c r="DB24" s="1186"/>
      <c r="DC24" s="1186"/>
      <c r="DD24" s="1186"/>
      <c r="DE24" s="1186"/>
      <c r="DF24" s="1186"/>
      <c r="DG24" s="1186"/>
      <c r="DH24" s="1186"/>
      <c r="DI24" s="1186"/>
      <c r="DJ24" s="1186"/>
      <c r="DK24" s="1186"/>
      <c r="DL24" s="1186"/>
      <c r="DM24" s="1186"/>
      <c r="DN24" s="1186"/>
      <c r="DO24" s="1186"/>
      <c r="DP24" s="1186"/>
      <c r="DQ24" s="1186"/>
      <c r="DR24" s="1186"/>
      <c r="DS24" s="1186"/>
      <c r="DT24" s="1186"/>
      <c r="DU24" s="1186"/>
      <c r="DV24" s="1186"/>
      <c r="DW24" s="1186"/>
      <c r="DX24" s="1186"/>
      <c r="DY24" s="1186"/>
      <c r="DZ24" s="1186"/>
      <c r="EA24" s="1186"/>
      <c r="EB24" s="1186"/>
      <c r="EC24" s="1186"/>
      <c r="ED24" s="1186"/>
      <c r="EE24" s="1186"/>
      <c r="EF24" s="1186"/>
      <c r="EG24" s="1186"/>
      <c r="EH24" s="1186"/>
      <c r="EI24" s="1186"/>
      <c r="EJ24" s="1186"/>
      <c r="EK24" s="1186"/>
      <c r="EL24" s="1186"/>
      <c r="EM24" s="1186"/>
      <c r="EN24" s="1186"/>
      <c r="EO24" s="1186"/>
      <c r="EP24" s="1186"/>
      <c r="EQ24" s="1186"/>
      <c r="ER24" s="1186"/>
      <c r="ES24" s="1186"/>
      <c r="ET24" s="1186"/>
      <c r="EU24" s="1186"/>
      <c r="EV24" s="1186"/>
      <c r="EW24" s="1186"/>
      <c r="EX24" s="1186"/>
      <c r="EY24" s="1186"/>
      <c r="EZ24" s="1186"/>
      <c r="FA24" s="1186"/>
      <c r="FB24" s="1186"/>
      <c r="FC24" s="1186"/>
      <c r="FD24" s="1186"/>
      <c r="FE24" s="1186"/>
      <c r="FF24" s="1186"/>
      <c r="FG24" s="1186"/>
      <c r="FH24" s="1186"/>
      <c r="FI24" s="1186"/>
      <c r="FJ24" s="1186"/>
      <c r="FK24" s="1186"/>
      <c r="FL24" s="1186"/>
      <c r="FM24" s="1186"/>
      <c r="FN24" s="1186"/>
      <c r="FO24" s="1186"/>
      <c r="FP24" s="1186"/>
      <c r="FQ24" s="1186"/>
      <c r="FR24" s="1186"/>
      <c r="FS24" s="1186"/>
      <c r="FT24" s="1186"/>
      <c r="FU24" s="1186"/>
      <c r="FV24" s="1186"/>
      <c r="FW24" s="1186"/>
      <c r="FX24" s="1186"/>
      <c r="FY24" s="1186"/>
      <c r="FZ24" s="1186"/>
      <c r="GA24" s="1186"/>
      <c r="GB24" s="1186"/>
      <c r="GC24" s="1186"/>
      <c r="GD24" s="1186"/>
      <c r="GE24" s="1186"/>
    </row>
    <row r="25" spans="1:187" s="1197" customFormat="1" ht="14">
      <c r="A25" s="1196"/>
      <c r="B25" s="535">
        <v>1</v>
      </c>
      <c r="C25" s="1205" t="s">
        <v>1403</v>
      </c>
      <c r="D25" s="1206">
        <v>3377000</v>
      </c>
      <c r="E25" s="1206"/>
      <c r="F25" s="1207">
        <v>1</v>
      </c>
      <c r="G25" s="1204">
        <v>0</v>
      </c>
      <c r="H25" s="1208">
        <f>IF(B25="","",ROUND(B25*(D25+E25)*F25*G25,0))</f>
        <v>0</v>
      </c>
      <c r="I25" s="1195"/>
      <c r="J25" s="2090"/>
      <c r="K25" s="1186"/>
      <c r="L25" s="1186"/>
      <c r="M25" s="1186"/>
      <c r="N25" s="1186"/>
      <c r="O25" s="1186"/>
      <c r="P25" s="1186"/>
      <c r="Q25" s="1186"/>
      <c r="R25" s="1186"/>
      <c r="S25" s="1186"/>
      <c r="T25" s="1186"/>
      <c r="U25" s="1186"/>
      <c r="V25" s="1186"/>
      <c r="W25" s="1186"/>
      <c r="X25" s="1186"/>
      <c r="Y25" s="1186"/>
      <c r="Z25" s="1186"/>
      <c r="AA25" s="1186"/>
      <c r="AB25" s="1186"/>
      <c r="AC25" s="1186"/>
      <c r="AD25" s="1186"/>
      <c r="AE25" s="1186"/>
      <c r="AF25" s="1186"/>
      <c r="AG25" s="1186"/>
      <c r="AH25" s="1186"/>
      <c r="AI25" s="1186"/>
      <c r="AJ25" s="1186"/>
      <c r="AK25" s="1186"/>
      <c r="AL25" s="1186"/>
      <c r="AM25" s="1186"/>
      <c r="AN25" s="1186"/>
      <c r="AO25" s="1186"/>
      <c r="AP25" s="1186"/>
      <c r="AQ25" s="1186"/>
      <c r="AR25" s="1186"/>
      <c r="AS25" s="1186"/>
      <c r="AT25" s="1186"/>
      <c r="AU25" s="1186"/>
      <c r="AV25" s="1186"/>
      <c r="AW25" s="1186"/>
      <c r="AX25" s="1186"/>
      <c r="AY25" s="1186"/>
      <c r="AZ25" s="1186"/>
      <c r="BA25" s="1186"/>
      <c r="BB25" s="1186"/>
      <c r="BC25" s="1186"/>
      <c r="BD25" s="1186"/>
      <c r="BE25" s="1186"/>
      <c r="BF25" s="1186"/>
      <c r="BG25" s="1186"/>
      <c r="BH25" s="1186"/>
      <c r="BI25" s="1186"/>
      <c r="BJ25" s="1186"/>
      <c r="BK25" s="1186"/>
      <c r="BL25" s="1186"/>
      <c r="BM25" s="1186"/>
      <c r="BN25" s="1186"/>
      <c r="BO25" s="1186"/>
      <c r="BP25" s="1186"/>
      <c r="BQ25" s="1186"/>
      <c r="BR25" s="1186"/>
      <c r="BS25" s="1186"/>
      <c r="BT25" s="1186"/>
      <c r="BU25" s="1186"/>
      <c r="BV25" s="1186"/>
      <c r="BW25" s="1186"/>
      <c r="BX25" s="1186"/>
      <c r="BY25" s="1186"/>
      <c r="BZ25" s="1186"/>
      <c r="CA25" s="1186"/>
      <c r="CB25" s="1186"/>
      <c r="CC25" s="1186"/>
      <c r="CD25" s="1186"/>
      <c r="CE25" s="1186"/>
      <c r="CF25" s="1186"/>
      <c r="CG25" s="1186"/>
      <c r="CH25" s="1186"/>
      <c r="CI25" s="1186"/>
      <c r="CJ25" s="1186"/>
      <c r="CK25" s="1186"/>
      <c r="CL25" s="1186"/>
      <c r="CM25" s="1186"/>
      <c r="CN25" s="1186"/>
      <c r="CO25" s="1186"/>
      <c r="CP25" s="1186"/>
      <c r="CQ25" s="1186"/>
      <c r="CR25" s="1186"/>
      <c r="CS25" s="1186"/>
      <c r="CT25" s="1186"/>
      <c r="CU25" s="1186"/>
      <c r="CV25" s="1186"/>
      <c r="CW25" s="1186"/>
      <c r="CX25" s="1186"/>
      <c r="CY25" s="1186"/>
      <c r="CZ25" s="1186"/>
      <c r="DA25" s="1186"/>
      <c r="DB25" s="1186"/>
      <c r="DC25" s="1186"/>
      <c r="DD25" s="1186"/>
      <c r="DE25" s="1186"/>
      <c r="DF25" s="1186"/>
      <c r="DG25" s="1186"/>
      <c r="DH25" s="1186"/>
      <c r="DI25" s="1186"/>
      <c r="DJ25" s="1186"/>
      <c r="DK25" s="1186"/>
      <c r="DL25" s="1186"/>
      <c r="DM25" s="1186"/>
      <c r="DN25" s="1186"/>
      <c r="DO25" s="1186"/>
      <c r="DP25" s="1186"/>
      <c r="DQ25" s="1186"/>
      <c r="DR25" s="1186"/>
      <c r="DS25" s="1186"/>
      <c r="DT25" s="1186"/>
      <c r="DU25" s="1186"/>
      <c r="DV25" s="1186"/>
      <c r="DW25" s="1186"/>
      <c r="DX25" s="1186"/>
      <c r="DY25" s="1186"/>
      <c r="DZ25" s="1186"/>
      <c r="EA25" s="1186"/>
      <c r="EB25" s="1186"/>
      <c r="EC25" s="1186"/>
      <c r="ED25" s="1186"/>
      <c r="EE25" s="1186"/>
      <c r="EF25" s="1186"/>
      <c r="EG25" s="1186"/>
      <c r="EH25" s="1186"/>
      <c r="EI25" s="1186"/>
      <c r="EJ25" s="1186"/>
      <c r="EK25" s="1186"/>
      <c r="EL25" s="1186"/>
      <c r="EM25" s="1186"/>
      <c r="EN25" s="1186"/>
      <c r="EO25" s="1186"/>
      <c r="EP25" s="1186"/>
      <c r="EQ25" s="1186"/>
      <c r="ER25" s="1186"/>
      <c r="ES25" s="1186"/>
      <c r="ET25" s="1186"/>
      <c r="EU25" s="1186"/>
      <c r="EV25" s="1186"/>
      <c r="EW25" s="1186"/>
      <c r="EX25" s="1186"/>
      <c r="EY25" s="1186"/>
      <c r="EZ25" s="1186"/>
      <c r="FA25" s="1186"/>
      <c r="FB25" s="1186"/>
      <c r="FC25" s="1186"/>
      <c r="FD25" s="1186"/>
      <c r="FE25" s="1186"/>
      <c r="FF25" s="1186"/>
      <c r="FG25" s="1186"/>
      <c r="FH25" s="1186"/>
      <c r="FI25" s="1186"/>
      <c r="FJ25" s="1186"/>
      <c r="FK25" s="1186"/>
      <c r="FL25" s="1186"/>
      <c r="FM25" s="1186"/>
      <c r="FN25" s="1186"/>
      <c r="FO25" s="1186"/>
      <c r="FP25" s="1186"/>
      <c r="FQ25" s="1186"/>
      <c r="FR25" s="1186"/>
      <c r="FS25" s="1186"/>
      <c r="FT25" s="1186"/>
      <c r="FU25" s="1186"/>
      <c r="FV25" s="1186"/>
      <c r="FW25" s="1186"/>
      <c r="FX25" s="1186"/>
      <c r="FY25" s="1186"/>
      <c r="FZ25" s="1186"/>
      <c r="GA25" s="1186"/>
      <c r="GB25" s="1186"/>
      <c r="GC25" s="1186"/>
      <c r="GD25" s="1186"/>
      <c r="GE25" s="1186"/>
    </row>
    <row r="26" spans="1:187" s="1197" customFormat="1" ht="16.5" customHeight="1">
      <c r="A26" s="1196"/>
      <c r="B26" s="1201" t="s">
        <v>1404</v>
      </c>
      <c r="C26" s="1202"/>
      <c r="D26" s="1202"/>
      <c r="E26" s="1202"/>
      <c r="F26" s="1202"/>
      <c r="G26" s="1202"/>
      <c r="H26" s="1203"/>
      <c r="I26" s="1195"/>
      <c r="J26" s="1209"/>
      <c r="K26" s="1186"/>
      <c r="L26" s="1186"/>
      <c r="M26" s="1186"/>
      <c r="N26" s="1186"/>
      <c r="O26" s="1186"/>
      <c r="P26" s="1186"/>
      <c r="Q26" s="1186"/>
      <c r="R26" s="1186"/>
      <c r="S26" s="1186"/>
      <c r="T26" s="1186"/>
      <c r="U26" s="1186"/>
      <c r="V26" s="1186"/>
      <c r="W26" s="1186"/>
      <c r="X26" s="1186"/>
      <c r="Y26" s="1186"/>
      <c r="Z26" s="1186"/>
      <c r="AA26" s="1186"/>
      <c r="AB26" s="1186"/>
      <c r="AC26" s="1186"/>
      <c r="AD26" s="1186"/>
      <c r="AE26" s="1186"/>
      <c r="AF26" s="1186"/>
      <c r="AG26" s="1186"/>
      <c r="AH26" s="1186"/>
      <c r="AI26" s="1186"/>
      <c r="AJ26" s="1186"/>
      <c r="AK26" s="1186"/>
      <c r="AL26" s="1186"/>
      <c r="AM26" s="1186"/>
      <c r="AN26" s="1186"/>
      <c r="AO26" s="1186"/>
      <c r="AP26" s="1186"/>
      <c r="AQ26" s="1186"/>
      <c r="AR26" s="1186"/>
      <c r="AS26" s="1186"/>
      <c r="AT26" s="1186"/>
      <c r="AU26" s="1186"/>
      <c r="AV26" s="1186"/>
      <c r="AW26" s="1186"/>
      <c r="AX26" s="1186"/>
      <c r="AY26" s="1186"/>
      <c r="AZ26" s="1186"/>
      <c r="BA26" s="1186"/>
      <c r="BB26" s="1186"/>
      <c r="BC26" s="1186"/>
      <c r="BD26" s="1186"/>
      <c r="BE26" s="1186"/>
      <c r="BF26" s="1186"/>
      <c r="BG26" s="1186"/>
      <c r="BH26" s="1186"/>
      <c r="BI26" s="1186"/>
      <c r="BJ26" s="1186"/>
      <c r="BK26" s="1186"/>
      <c r="BL26" s="1186"/>
      <c r="BM26" s="1186"/>
      <c r="BN26" s="1186"/>
      <c r="BO26" s="1186"/>
      <c r="BP26" s="1186"/>
      <c r="BQ26" s="1186"/>
      <c r="BR26" s="1186"/>
      <c r="BS26" s="1186"/>
      <c r="BT26" s="1186"/>
      <c r="BU26" s="1186"/>
      <c r="BV26" s="1186"/>
      <c r="BW26" s="1186"/>
      <c r="BX26" s="1186"/>
      <c r="BY26" s="1186"/>
      <c r="BZ26" s="1186"/>
      <c r="CA26" s="1186"/>
      <c r="CB26" s="1186"/>
      <c r="CC26" s="1186"/>
      <c r="CD26" s="1186"/>
      <c r="CE26" s="1186"/>
      <c r="CF26" s="1186"/>
      <c r="CG26" s="1186"/>
      <c r="CH26" s="1186"/>
      <c r="CI26" s="1186"/>
      <c r="CJ26" s="1186"/>
      <c r="CK26" s="1186"/>
      <c r="CL26" s="1186"/>
      <c r="CM26" s="1186"/>
      <c r="CN26" s="1186"/>
      <c r="CO26" s="1186"/>
      <c r="CP26" s="1186"/>
      <c r="CQ26" s="1186"/>
      <c r="CR26" s="1186"/>
      <c r="CS26" s="1186"/>
      <c r="CT26" s="1186"/>
      <c r="CU26" s="1186"/>
      <c r="CV26" s="1186"/>
      <c r="CW26" s="1186"/>
      <c r="CX26" s="1186"/>
      <c r="CY26" s="1186"/>
      <c r="CZ26" s="1186"/>
      <c r="DA26" s="1186"/>
      <c r="DB26" s="1186"/>
      <c r="DC26" s="1186"/>
      <c r="DD26" s="1186"/>
      <c r="DE26" s="1186"/>
      <c r="DF26" s="1186"/>
      <c r="DG26" s="1186"/>
      <c r="DH26" s="1186"/>
      <c r="DI26" s="1186"/>
      <c r="DJ26" s="1186"/>
      <c r="DK26" s="1186"/>
      <c r="DL26" s="1186"/>
      <c r="DM26" s="1186"/>
      <c r="DN26" s="1186"/>
      <c r="DO26" s="1186"/>
      <c r="DP26" s="1186"/>
      <c r="DQ26" s="1186"/>
      <c r="DR26" s="1186"/>
      <c r="DS26" s="1186"/>
      <c r="DT26" s="1186"/>
      <c r="DU26" s="1186"/>
      <c r="DV26" s="1186"/>
      <c r="DW26" s="1186"/>
      <c r="DX26" s="1186"/>
      <c r="DY26" s="1186"/>
      <c r="DZ26" s="1186"/>
      <c r="EA26" s="1186"/>
      <c r="EB26" s="1186"/>
      <c r="EC26" s="1186"/>
      <c r="ED26" s="1186"/>
      <c r="EE26" s="1186"/>
      <c r="EF26" s="1186"/>
      <c r="EG26" s="1186"/>
      <c r="EH26" s="1186"/>
      <c r="EI26" s="1186"/>
      <c r="EJ26" s="1186"/>
      <c r="EK26" s="1186"/>
      <c r="EL26" s="1186"/>
      <c r="EM26" s="1186"/>
      <c r="EN26" s="1186"/>
      <c r="EO26" s="1186"/>
      <c r="EP26" s="1186"/>
      <c r="EQ26" s="1186"/>
      <c r="ER26" s="1186"/>
      <c r="ES26" s="1186"/>
      <c r="ET26" s="1186"/>
      <c r="EU26" s="1186"/>
      <c r="EV26" s="1186"/>
      <c r="EW26" s="1186"/>
      <c r="EX26" s="1186"/>
      <c r="EY26" s="1186"/>
      <c r="EZ26" s="1186"/>
      <c r="FA26" s="1186"/>
      <c r="FB26" s="1186"/>
      <c r="FC26" s="1186"/>
      <c r="FD26" s="1186"/>
      <c r="FE26" s="1186"/>
      <c r="FF26" s="1186"/>
      <c r="FG26" s="1186"/>
      <c r="FH26" s="1186"/>
      <c r="FI26" s="1186"/>
      <c r="FJ26" s="1186"/>
      <c r="FK26" s="1186"/>
      <c r="FL26" s="1186"/>
      <c r="FM26" s="1186"/>
      <c r="FN26" s="1186"/>
      <c r="FO26" s="1186"/>
      <c r="FP26" s="1186"/>
      <c r="FQ26" s="1186"/>
      <c r="FR26" s="1186"/>
      <c r="FS26" s="1186"/>
      <c r="FT26" s="1186"/>
      <c r="FU26" s="1186"/>
      <c r="FV26" s="1186"/>
      <c r="FW26" s="1186"/>
      <c r="FX26" s="1186"/>
      <c r="FY26" s="1186"/>
      <c r="FZ26" s="1186"/>
      <c r="GA26" s="1186"/>
      <c r="GB26" s="1186"/>
      <c r="GC26" s="1186"/>
      <c r="GD26" s="1186"/>
      <c r="GE26" s="1186"/>
    </row>
    <row r="27" spans="1:187" s="1197" customFormat="1" ht="14">
      <c r="A27" s="1196"/>
      <c r="B27" s="535">
        <v>1</v>
      </c>
      <c r="C27" s="1205" t="s">
        <v>1405</v>
      </c>
      <c r="D27" s="1206">
        <v>1482000</v>
      </c>
      <c r="E27" s="1206"/>
      <c r="F27" s="1207">
        <v>0</v>
      </c>
      <c r="G27" s="1204">
        <f>+G18</f>
        <v>2.5</v>
      </c>
      <c r="H27" s="1208">
        <f t="shared" ref="H27" si="2">IF(B27="","",ROUND(B27*(D27+E27)*F27*G27,0))</f>
        <v>0</v>
      </c>
      <c r="I27" s="1195"/>
      <c r="J27" s="1399"/>
      <c r="K27" s="1186"/>
      <c r="L27" s="1186"/>
      <c r="M27" s="1186"/>
      <c r="N27" s="1186"/>
      <c r="O27" s="1186"/>
      <c r="P27" s="1186"/>
      <c r="Q27" s="1186"/>
      <c r="R27" s="1186"/>
      <c r="S27" s="1186"/>
      <c r="T27" s="1186"/>
      <c r="U27" s="1186"/>
      <c r="V27" s="1186"/>
      <c r="W27" s="1186"/>
      <c r="X27" s="1186"/>
      <c r="Y27" s="1186"/>
      <c r="Z27" s="1186"/>
      <c r="AA27" s="1186"/>
      <c r="AB27" s="1186"/>
      <c r="AC27" s="1186"/>
      <c r="AD27" s="1186"/>
      <c r="AE27" s="1186"/>
      <c r="AF27" s="1186"/>
      <c r="AG27" s="1186"/>
      <c r="AH27" s="1186"/>
      <c r="AI27" s="1186"/>
      <c r="AJ27" s="1186"/>
      <c r="AK27" s="1186"/>
      <c r="AL27" s="1186"/>
      <c r="AM27" s="1186"/>
      <c r="AN27" s="1186"/>
      <c r="AO27" s="1186"/>
      <c r="AP27" s="1186"/>
      <c r="AQ27" s="1186"/>
      <c r="AR27" s="1186"/>
      <c r="AS27" s="1186"/>
      <c r="AT27" s="1186"/>
      <c r="AU27" s="1186"/>
      <c r="AV27" s="1186"/>
      <c r="AW27" s="1186"/>
      <c r="AX27" s="1186"/>
      <c r="AY27" s="1186"/>
      <c r="AZ27" s="1186"/>
      <c r="BA27" s="1186"/>
      <c r="BB27" s="1186"/>
      <c r="BC27" s="1186"/>
      <c r="BD27" s="1186"/>
      <c r="BE27" s="1186"/>
      <c r="BF27" s="1186"/>
      <c r="BG27" s="1186"/>
      <c r="BH27" s="1186"/>
      <c r="BI27" s="1186"/>
      <c r="BJ27" s="1186"/>
      <c r="BK27" s="1186"/>
      <c r="BL27" s="1186"/>
      <c r="BM27" s="1186"/>
      <c r="BN27" s="1186"/>
      <c r="BO27" s="1186"/>
      <c r="BP27" s="1186"/>
      <c r="BQ27" s="1186"/>
      <c r="BR27" s="1186"/>
      <c r="BS27" s="1186"/>
      <c r="BT27" s="1186"/>
      <c r="BU27" s="1186"/>
      <c r="BV27" s="1186"/>
      <c r="BW27" s="1186"/>
      <c r="BX27" s="1186"/>
      <c r="BY27" s="1186"/>
      <c r="BZ27" s="1186"/>
      <c r="CA27" s="1186"/>
      <c r="CB27" s="1186"/>
      <c r="CC27" s="1186"/>
      <c r="CD27" s="1186"/>
      <c r="CE27" s="1186"/>
      <c r="CF27" s="1186"/>
      <c r="CG27" s="1186"/>
      <c r="CH27" s="1186"/>
      <c r="CI27" s="1186"/>
      <c r="CJ27" s="1186"/>
      <c r="CK27" s="1186"/>
      <c r="CL27" s="1186"/>
      <c r="CM27" s="1186"/>
      <c r="CN27" s="1186"/>
      <c r="CO27" s="1186"/>
      <c r="CP27" s="1186"/>
      <c r="CQ27" s="1186"/>
      <c r="CR27" s="1186"/>
      <c r="CS27" s="1186"/>
      <c r="CT27" s="1186"/>
      <c r="CU27" s="1186"/>
      <c r="CV27" s="1186"/>
      <c r="CW27" s="1186"/>
      <c r="CX27" s="1186"/>
      <c r="CY27" s="1186"/>
      <c r="CZ27" s="1186"/>
      <c r="DA27" s="1186"/>
      <c r="DB27" s="1186"/>
      <c r="DC27" s="1186"/>
      <c r="DD27" s="1186"/>
      <c r="DE27" s="1186"/>
      <c r="DF27" s="1186"/>
      <c r="DG27" s="1186"/>
      <c r="DH27" s="1186"/>
      <c r="DI27" s="1186"/>
      <c r="DJ27" s="1186"/>
      <c r="DK27" s="1186"/>
      <c r="DL27" s="1186"/>
      <c r="DM27" s="1186"/>
      <c r="DN27" s="1186"/>
      <c r="DO27" s="1186"/>
      <c r="DP27" s="1186"/>
      <c r="DQ27" s="1186"/>
      <c r="DR27" s="1186"/>
      <c r="DS27" s="1186"/>
      <c r="DT27" s="1186"/>
      <c r="DU27" s="1186"/>
      <c r="DV27" s="1186"/>
      <c r="DW27" s="1186"/>
      <c r="DX27" s="1186"/>
      <c r="DY27" s="1186"/>
      <c r="DZ27" s="1186"/>
      <c r="EA27" s="1186"/>
      <c r="EB27" s="1186"/>
      <c r="EC27" s="1186"/>
      <c r="ED27" s="1186"/>
      <c r="EE27" s="1186"/>
      <c r="EF27" s="1186"/>
      <c r="EG27" s="1186"/>
      <c r="EH27" s="1186"/>
      <c r="EI27" s="1186"/>
      <c r="EJ27" s="1186"/>
      <c r="EK27" s="1186"/>
      <c r="EL27" s="1186"/>
      <c r="EM27" s="1186"/>
      <c r="EN27" s="1186"/>
      <c r="EO27" s="1186"/>
      <c r="EP27" s="1186"/>
      <c r="EQ27" s="1186"/>
      <c r="ER27" s="1186"/>
      <c r="ES27" s="1186"/>
      <c r="ET27" s="1186"/>
      <c r="EU27" s="1186"/>
      <c r="EV27" s="1186"/>
      <c r="EW27" s="1186"/>
      <c r="EX27" s="1186"/>
      <c r="EY27" s="1186"/>
      <c r="EZ27" s="1186"/>
      <c r="FA27" s="1186"/>
      <c r="FB27" s="1186"/>
      <c r="FC27" s="1186"/>
      <c r="FD27" s="1186"/>
      <c r="FE27" s="1186"/>
      <c r="FF27" s="1186"/>
      <c r="FG27" s="1186"/>
      <c r="FH27" s="1186"/>
      <c r="FI27" s="1186"/>
      <c r="FJ27" s="1186"/>
      <c r="FK27" s="1186"/>
      <c r="FL27" s="1186"/>
      <c r="FM27" s="1186"/>
      <c r="FN27" s="1186"/>
      <c r="FO27" s="1186"/>
      <c r="FP27" s="1186"/>
      <c r="FQ27" s="1186"/>
      <c r="FR27" s="1186"/>
      <c r="FS27" s="1186"/>
      <c r="FT27" s="1186"/>
      <c r="FU27" s="1186"/>
      <c r="FV27" s="1186"/>
      <c r="FW27" s="1186"/>
      <c r="FX27" s="1186"/>
      <c r="FY27" s="1186"/>
      <c r="FZ27" s="1186"/>
      <c r="GA27" s="1186"/>
      <c r="GB27" s="1186"/>
      <c r="GC27" s="1186"/>
      <c r="GD27" s="1186"/>
      <c r="GE27" s="1186"/>
    </row>
    <row r="28" spans="1:187" s="1197" customFormat="1" ht="16.5" customHeight="1">
      <c r="A28" s="1196"/>
      <c r="B28" s="1201" t="s">
        <v>1406</v>
      </c>
      <c r="C28" s="1202"/>
      <c r="D28" s="1202"/>
      <c r="E28" s="1202"/>
      <c r="F28" s="1202"/>
      <c r="G28" s="1202"/>
      <c r="H28" s="1203"/>
      <c r="I28" s="1195"/>
      <c r="J28" s="1186"/>
      <c r="K28" s="1186"/>
      <c r="L28" s="1186"/>
      <c r="M28" s="1186"/>
      <c r="N28" s="1186"/>
      <c r="O28" s="1186"/>
      <c r="P28" s="1186"/>
      <c r="Q28" s="1186"/>
      <c r="R28" s="1186"/>
      <c r="S28" s="1186"/>
      <c r="T28" s="1186"/>
      <c r="U28" s="1186"/>
      <c r="V28" s="1186"/>
      <c r="W28" s="1186"/>
      <c r="X28" s="1186"/>
      <c r="Y28" s="1186"/>
      <c r="Z28" s="1186"/>
      <c r="AA28" s="1186"/>
      <c r="AB28" s="1186"/>
      <c r="AC28" s="1186"/>
      <c r="AD28" s="1186"/>
      <c r="AE28" s="1186"/>
      <c r="AF28" s="1186"/>
      <c r="AG28" s="1186"/>
      <c r="AH28" s="1186"/>
      <c r="AI28" s="1186"/>
      <c r="AJ28" s="1186"/>
      <c r="AK28" s="1186"/>
      <c r="AL28" s="1186"/>
      <c r="AM28" s="1186"/>
      <c r="AN28" s="1186"/>
      <c r="AO28" s="1186"/>
      <c r="AP28" s="1186"/>
      <c r="AQ28" s="1186"/>
      <c r="AR28" s="1186"/>
      <c r="AS28" s="1186"/>
      <c r="AT28" s="1186"/>
      <c r="AU28" s="1186"/>
      <c r="AV28" s="1186"/>
      <c r="AW28" s="1186"/>
      <c r="AX28" s="1186"/>
      <c r="AY28" s="1186"/>
      <c r="AZ28" s="1186"/>
      <c r="BA28" s="1186"/>
      <c r="BB28" s="1186"/>
      <c r="BC28" s="1186"/>
      <c r="BD28" s="1186"/>
      <c r="BE28" s="1186"/>
      <c r="BF28" s="1186"/>
      <c r="BG28" s="1186"/>
      <c r="BH28" s="1186"/>
      <c r="BI28" s="1186"/>
      <c r="BJ28" s="1186"/>
      <c r="BK28" s="1186"/>
      <c r="BL28" s="1186"/>
      <c r="BM28" s="1186"/>
      <c r="BN28" s="1186"/>
      <c r="BO28" s="1186"/>
      <c r="BP28" s="1186"/>
      <c r="BQ28" s="1186"/>
      <c r="BR28" s="1186"/>
      <c r="BS28" s="1186"/>
      <c r="BT28" s="1186"/>
      <c r="BU28" s="1186"/>
      <c r="BV28" s="1186"/>
      <c r="BW28" s="1186"/>
      <c r="BX28" s="1186"/>
      <c r="BY28" s="1186"/>
      <c r="BZ28" s="1186"/>
      <c r="CA28" s="1186"/>
      <c r="CB28" s="1186"/>
      <c r="CC28" s="1186"/>
      <c r="CD28" s="1186"/>
      <c r="CE28" s="1186"/>
      <c r="CF28" s="1186"/>
      <c r="CG28" s="1186"/>
      <c r="CH28" s="1186"/>
      <c r="CI28" s="1186"/>
      <c r="CJ28" s="1186"/>
      <c r="CK28" s="1186"/>
      <c r="CL28" s="1186"/>
      <c r="CM28" s="1186"/>
      <c r="CN28" s="1186"/>
      <c r="CO28" s="1186"/>
      <c r="CP28" s="1186"/>
      <c r="CQ28" s="1186"/>
      <c r="CR28" s="1186"/>
      <c r="CS28" s="1186"/>
      <c r="CT28" s="1186"/>
      <c r="CU28" s="1186"/>
      <c r="CV28" s="1186"/>
      <c r="CW28" s="1186"/>
      <c r="CX28" s="1186"/>
      <c r="CY28" s="1186"/>
      <c r="CZ28" s="1186"/>
      <c r="DA28" s="1186"/>
      <c r="DB28" s="1186"/>
      <c r="DC28" s="1186"/>
      <c r="DD28" s="1186"/>
      <c r="DE28" s="1186"/>
      <c r="DF28" s="1186"/>
      <c r="DG28" s="1186"/>
      <c r="DH28" s="1186"/>
      <c r="DI28" s="1186"/>
      <c r="DJ28" s="1186"/>
      <c r="DK28" s="1186"/>
      <c r="DL28" s="1186"/>
      <c r="DM28" s="1186"/>
      <c r="DN28" s="1186"/>
      <c r="DO28" s="1186"/>
      <c r="DP28" s="1186"/>
      <c r="DQ28" s="1186"/>
      <c r="DR28" s="1186"/>
      <c r="DS28" s="1186"/>
      <c r="DT28" s="1186"/>
      <c r="DU28" s="1186"/>
      <c r="DV28" s="1186"/>
      <c r="DW28" s="1186"/>
      <c r="DX28" s="1186"/>
      <c r="DY28" s="1186"/>
      <c r="DZ28" s="1186"/>
      <c r="EA28" s="1186"/>
      <c r="EB28" s="1186"/>
      <c r="EC28" s="1186"/>
      <c r="ED28" s="1186"/>
      <c r="EE28" s="1186"/>
      <c r="EF28" s="1186"/>
      <c r="EG28" s="1186"/>
      <c r="EH28" s="1186"/>
      <c r="EI28" s="1186"/>
      <c r="EJ28" s="1186"/>
      <c r="EK28" s="1186"/>
      <c r="EL28" s="1186"/>
      <c r="EM28" s="1186"/>
      <c r="EN28" s="1186"/>
      <c r="EO28" s="1186"/>
      <c r="EP28" s="1186"/>
      <c r="EQ28" s="1186"/>
      <c r="ER28" s="1186"/>
      <c r="ES28" s="1186"/>
      <c r="ET28" s="1186"/>
      <c r="EU28" s="1186"/>
      <c r="EV28" s="1186"/>
      <c r="EW28" s="1186"/>
      <c r="EX28" s="1186"/>
      <c r="EY28" s="1186"/>
      <c r="EZ28" s="1186"/>
      <c r="FA28" s="1186"/>
      <c r="FB28" s="1186"/>
      <c r="FC28" s="1186"/>
      <c r="FD28" s="1186"/>
      <c r="FE28" s="1186"/>
      <c r="FF28" s="1186"/>
      <c r="FG28" s="1186"/>
      <c r="FH28" s="1186"/>
      <c r="FI28" s="1186"/>
      <c r="FJ28" s="1186"/>
      <c r="FK28" s="1186"/>
      <c r="FL28" s="1186"/>
      <c r="FM28" s="1186"/>
      <c r="FN28" s="1186"/>
      <c r="FO28" s="1186"/>
      <c r="FP28" s="1186"/>
      <c r="FQ28" s="1186"/>
      <c r="FR28" s="1186"/>
      <c r="FS28" s="1186"/>
      <c r="FT28" s="1186"/>
      <c r="FU28" s="1186"/>
      <c r="FV28" s="1186"/>
      <c r="FW28" s="1186"/>
      <c r="FX28" s="1186"/>
      <c r="FY28" s="1186"/>
      <c r="FZ28" s="1186"/>
      <c r="GA28" s="1186"/>
      <c r="GB28" s="1186"/>
      <c r="GC28" s="1186"/>
      <c r="GD28" s="1186"/>
      <c r="GE28" s="1186"/>
    </row>
    <row r="29" spans="1:187" s="1197" customFormat="1" ht="14">
      <c r="A29" s="1196"/>
      <c r="B29" s="535">
        <v>1</v>
      </c>
      <c r="C29" s="1205" t="str">
        <f>+C15</f>
        <v>Profesional Especialista Director 1</v>
      </c>
      <c r="D29" s="1206">
        <f>+D15</f>
        <v>5000000</v>
      </c>
      <c r="E29" s="1206"/>
      <c r="F29" s="1207">
        <v>0</v>
      </c>
      <c r="G29" s="1204">
        <v>4</v>
      </c>
      <c r="H29" s="1208">
        <f t="shared" ref="H29:H31" si="3">IF(B29="","",ROUND(B29*(D29+E29)*F29*G29,0))</f>
        <v>0</v>
      </c>
      <c r="I29" s="1195"/>
      <c r="J29" s="2090"/>
      <c r="K29" s="1186"/>
      <c r="L29" s="1186"/>
      <c r="M29" s="1186"/>
      <c r="N29" s="1186"/>
      <c r="O29" s="1186"/>
      <c r="P29" s="1186"/>
      <c r="Q29" s="1186"/>
      <c r="R29" s="1186"/>
      <c r="S29" s="1186"/>
      <c r="T29" s="1186"/>
      <c r="U29" s="1186"/>
      <c r="V29" s="1186"/>
      <c r="W29" s="1186"/>
      <c r="X29" s="1186"/>
      <c r="Y29" s="1186"/>
      <c r="Z29" s="1186"/>
      <c r="AA29" s="1186"/>
      <c r="AB29" s="1186"/>
      <c r="AC29" s="1186"/>
      <c r="AD29" s="1186"/>
      <c r="AE29" s="1186"/>
      <c r="AF29" s="1186"/>
      <c r="AG29" s="1186"/>
      <c r="AH29" s="1186"/>
      <c r="AI29" s="1186"/>
      <c r="AJ29" s="1186"/>
      <c r="AK29" s="1186"/>
      <c r="AL29" s="1186"/>
      <c r="AM29" s="1186"/>
      <c r="AN29" s="1186"/>
      <c r="AO29" s="1186"/>
      <c r="AP29" s="1186"/>
      <c r="AQ29" s="1186"/>
      <c r="AR29" s="1186"/>
      <c r="AS29" s="1186"/>
      <c r="AT29" s="1186"/>
      <c r="AU29" s="1186"/>
      <c r="AV29" s="1186"/>
      <c r="AW29" s="1186"/>
      <c r="AX29" s="1186"/>
      <c r="AY29" s="1186"/>
      <c r="AZ29" s="1186"/>
      <c r="BA29" s="1186"/>
      <c r="BB29" s="1186"/>
      <c r="BC29" s="1186"/>
      <c r="BD29" s="1186"/>
      <c r="BE29" s="1186"/>
      <c r="BF29" s="1186"/>
      <c r="BG29" s="1186"/>
      <c r="BH29" s="1186"/>
      <c r="BI29" s="1186"/>
      <c r="BJ29" s="1186"/>
      <c r="BK29" s="1186"/>
      <c r="BL29" s="1186"/>
      <c r="BM29" s="1186"/>
      <c r="BN29" s="1186"/>
      <c r="BO29" s="1186"/>
      <c r="BP29" s="1186"/>
      <c r="BQ29" s="1186"/>
      <c r="BR29" s="1186"/>
      <c r="BS29" s="1186"/>
      <c r="BT29" s="1186"/>
      <c r="BU29" s="1186"/>
      <c r="BV29" s="1186"/>
      <c r="BW29" s="1186"/>
      <c r="BX29" s="1186"/>
      <c r="BY29" s="1186"/>
      <c r="BZ29" s="1186"/>
      <c r="CA29" s="1186"/>
      <c r="CB29" s="1186"/>
      <c r="CC29" s="1186"/>
      <c r="CD29" s="1186"/>
      <c r="CE29" s="1186"/>
      <c r="CF29" s="1186"/>
      <c r="CG29" s="1186"/>
      <c r="CH29" s="1186"/>
      <c r="CI29" s="1186"/>
      <c r="CJ29" s="1186"/>
      <c r="CK29" s="1186"/>
      <c r="CL29" s="1186"/>
      <c r="CM29" s="1186"/>
      <c r="CN29" s="1186"/>
      <c r="CO29" s="1186"/>
      <c r="CP29" s="1186"/>
      <c r="CQ29" s="1186"/>
      <c r="CR29" s="1186"/>
      <c r="CS29" s="1186"/>
      <c r="CT29" s="1186"/>
      <c r="CU29" s="1186"/>
      <c r="CV29" s="1186"/>
      <c r="CW29" s="1186"/>
      <c r="CX29" s="1186"/>
      <c r="CY29" s="1186"/>
      <c r="CZ29" s="1186"/>
      <c r="DA29" s="1186"/>
      <c r="DB29" s="1186"/>
      <c r="DC29" s="1186"/>
      <c r="DD29" s="1186"/>
      <c r="DE29" s="1186"/>
      <c r="DF29" s="1186"/>
      <c r="DG29" s="1186"/>
      <c r="DH29" s="1186"/>
      <c r="DI29" s="1186"/>
      <c r="DJ29" s="1186"/>
      <c r="DK29" s="1186"/>
      <c r="DL29" s="1186"/>
      <c r="DM29" s="1186"/>
      <c r="DN29" s="1186"/>
      <c r="DO29" s="1186"/>
      <c r="DP29" s="1186"/>
      <c r="DQ29" s="1186"/>
      <c r="DR29" s="1186"/>
      <c r="DS29" s="1186"/>
      <c r="DT29" s="1186"/>
      <c r="DU29" s="1186"/>
      <c r="DV29" s="1186"/>
      <c r="DW29" s="1186"/>
      <c r="DX29" s="1186"/>
      <c r="DY29" s="1186"/>
      <c r="DZ29" s="1186"/>
      <c r="EA29" s="1186"/>
      <c r="EB29" s="1186"/>
      <c r="EC29" s="1186"/>
      <c r="ED29" s="1186"/>
      <c r="EE29" s="1186"/>
      <c r="EF29" s="1186"/>
      <c r="EG29" s="1186"/>
      <c r="EH29" s="1186"/>
      <c r="EI29" s="1186"/>
      <c r="EJ29" s="1186"/>
      <c r="EK29" s="1186"/>
      <c r="EL29" s="1186"/>
      <c r="EM29" s="1186"/>
      <c r="EN29" s="1186"/>
      <c r="EO29" s="1186"/>
      <c r="EP29" s="1186"/>
      <c r="EQ29" s="1186"/>
      <c r="ER29" s="1186"/>
      <c r="ES29" s="1186"/>
      <c r="ET29" s="1186"/>
      <c r="EU29" s="1186"/>
      <c r="EV29" s="1186"/>
      <c r="EW29" s="1186"/>
      <c r="EX29" s="1186"/>
      <c r="EY29" s="1186"/>
      <c r="EZ29" s="1186"/>
      <c r="FA29" s="1186"/>
      <c r="FB29" s="1186"/>
      <c r="FC29" s="1186"/>
      <c r="FD29" s="1186"/>
      <c r="FE29" s="1186"/>
      <c r="FF29" s="1186"/>
      <c r="FG29" s="1186"/>
      <c r="FH29" s="1186"/>
      <c r="FI29" s="1186"/>
      <c r="FJ29" s="1186"/>
      <c r="FK29" s="1186"/>
      <c r="FL29" s="1186"/>
      <c r="FM29" s="1186"/>
      <c r="FN29" s="1186"/>
      <c r="FO29" s="1186"/>
      <c r="FP29" s="1186"/>
      <c r="FQ29" s="1186"/>
      <c r="FR29" s="1186"/>
      <c r="FS29" s="1186"/>
      <c r="FT29" s="1186"/>
      <c r="FU29" s="1186"/>
      <c r="FV29" s="1186"/>
      <c r="FW29" s="1186"/>
      <c r="FX29" s="1186"/>
      <c r="FY29" s="1186"/>
      <c r="FZ29" s="1186"/>
      <c r="GA29" s="1186"/>
      <c r="GB29" s="1186"/>
      <c r="GC29" s="1186"/>
      <c r="GD29" s="1186"/>
      <c r="GE29" s="1186"/>
    </row>
    <row r="30" spans="1:187" s="1197" customFormat="1" ht="14">
      <c r="A30" s="1196"/>
      <c r="B30" s="535">
        <v>1</v>
      </c>
      <c r="C30" s="1205" t="str">
        <f>+C18</f>
        <v>Tecnologo SISOMA</v>
      </c>
      <c r="D30" s="1206">
        <f>+D18</f>
        <v>2800000</v>
      </c>
      <c r="E30" s="1206"/>
      <c r="F30" s="1207">
        <v>0</v>
      </c>
      <c r="G30" s="1204">
        <v>4</v>
      </c>
      <c r="H30" s="1208">
        <f t="shared" si="3"/>
        <v>0</v>
      </c>
      <c r="I30" s="1195"/>
      <c r="J30" s="2090"/>
      <c r="K30" s="1186"/>
      <c r="L30" s="1186"/>
      <c r="M30" s="1186"/>
      <c r="N30" s="1186"/>
      <c r="O30" s="1186"/>
      <c r="P30" s="1186"/>
      <c r="Q30" s="1186"/>
      <c r="R30" s="1186"/>
      <c r="S30" s="1186"/>
      <c r="T30" s="1186"/>
      <c r="U30" s="1186"/>
      <c r="V30" s="1186"/>
      <c r="W30" s="1186"/>
      <c r="X30" s="1186"/>
      <c r="Y30" s="1186"/>
      <c r="Z30" s="1186"/>
      <c r="AA30" s="1186"/>
      <c r="AB30" s="1186"/>
      <c r="AC30" s="1186"/>
      <c r="AD30" s="1186"/>
      <c r="AE30" s="1186"/>
      <c r="AF30" s="1186"/>
      <c r="AG30" s="1186"/>
      <c r="AH30" s="1186"/>
      <c r="AI30" s="1186"/>
      <c r="AJ30" s="1186"/>
      <c r="AK30" s="1186"/>
      <c r="AL30" s="1186"/>
      <c r="AM30" s="1186"/>
      <c r="AN30" s="1186"/>
      <c r="AO30" s="1186"/>
      <c r="AP30" s="1186"/>
      <c r="AQ30" s="1186"/>
      <c r="AR30" s="1186"/>
      <c r="AS30" s="1186"/>
      <c r="AT30" s="1186"/>
      <c r="AU30" s="1186"/>
      <c r="AV30" s="1186"/>
      <c r="AW30" s="1186"/>
      <c r="AX30" s="1186"/>
      <c r="AY30" s="1186"/>
      <c r="AZ30" s="1186"/>
      <c r="BA30" s="1186"/>
      <c r="BB30" s="1186"/>
      <c r="BC30" s="1186"/>
      <c r="BD30" s="1186"/>
      <c r="BE30" s="1186"/>
      <c r="BF30" s="1186"/>
      <c r="BG30" s="1186"/>
      <c r="BH30" s="1186"/>
      <c r="BI30" s="1186"/>
      <c r="BJ30" s="1186"/>
      <c r="BK30" s="1186"/>
      <c r="BL30" s="1186"/>
      <c r="BM30" s="1186"/>
      <c r="BN30" s="1186"/>
      <c r="BO30" s="1186"/>
      <c r="BP30" s="1186"/>
      <c r="BQ30" s="1186"/>
      <c r="BR30" s="1186"/>
      <c r="BS30" s="1186"/>
      <c r="BT30" s="1186"/>
      <c r="BU30" s="1186"/>
      <c r="BV30" s="1186"/>
      <c r="BW30" s="1186"/>
      <c r="BX30" s="1186"/>
      <c r="BY30" s="1186"/>
      <c r="BZ30" s="1186"/>
      <c r="CA30" s="1186"/>
      <c r="CB30" s="1186"/>
      <c r="CC30" s="1186"/>
      <c r="CD30" s="1186"/>
      <c r="CE30" s="1186"/>
      <c r="CF30" s="1186"/>
      <c r="CG30" s="1186"/>
      <c r="CH30" s="1186"/>
      <c r="CI30" s="1186"/>
      <c r="CJ30" s="1186"/>
      <c r="CK30" s="1186"/>
      <c r="CL30" s="1186"/>
      <c r="CM30" s="1186"/>
      <c r="CN30" s="1186"/>
      <c r="CO30" s="1186"/>
      <c r="CP30" s="1186"/>
      <c r="CQ30" s="1186"/>
      <c r="CR30" s="1186"/>
      <c r="CS30" s="1186"/>
      <c r="CT30" s="1186"/>
      <c r="CU30" s="1186"/>
      <c r="CV30" s="1186"/>
      <c r="CW30" s="1186"/>
      <c r="CX30" s="1186"/>
      <c r="CY30" s="1186"/>
      <c r="CZ30" s="1186"/>
      <c r="DA30" s="1186"/>
      <c r="DB30" s="1186"/>
      <c r="DC30" s="1186"/>
      <c r="DD30" s="1186"/>
      <c r="DE30" s="1186"/>
      <c r="DF30" s="1186"/>
      <c r="DG30" s="1186"/>
      <c r="DH30" s="1186"/>
      <c r="DI30" s="1186"/>
      <c r="DJ30" s="1186"/>
      <c r="DK30" s="1186"/>
      <c r="DL30" s="1186"/>
      <c r="DM30" s="1186"/>
      <c r="DN30" s="1186"/>
      <c r="DO30" s="1186"/>
      <c r="DP30" s="1186"/>
      <c r="DQ30" s="1186"/>
      <c r="DR30" s="1186"/>
      <c r="DS30" s="1186"/>
      <c r="DT30" s="1186"/>
      <c r="DU30" s="1186"/>
      <c r="DV30" s="1186"/>
      <c r="DW30" s="1186"/>
      <c r="DX30" s="1186"/>
      <c r="DY30" s="1186"/>
      <c r="DZ30" s="1186"/>
      <c r="EA30" s="1186"/>
      <c r="EB30" s="1186"/>
      <c r="EC30" s="1186"/>
      <c r="ED30" s="1186"/>
      <c r="EE30" s="1186"/>
      <c r="EF30" s="1186"/>
      <c r="EG30" s="1186"/>
      <c r="EH30" s="1186"/>
      <c r="EI30" s="1186"/>
      <c r="EJ30" s="1186"/>
      <c r="EK30" s="1186"/>
      <c r="EL30" s="1186"/>
      <c r="EM30" s="1186"/>
      <c r="EN30" s="1186"/>
      <c r="EO30" s="1186"/>
      <c r="EP30" s="1186"/>
      <c r="EQ30" s="1186"/>
      <c r="ER30" s="1186"/>
      <c r="ES30" s="1186"/>
      <c r="ET30" s="1186"/>
      <c r="EU30" s="1186"/>
      <c r="EV30" s="1186"/>
      <c r="EW30" s="1186"/>
      <c r="EX30" s="1186"/>
      <c r="EY30" s="1186"/>
      <c r="EZ30" s="1186"/>
      <c r="FA30" s="1186"/>
      <c r="FB30" s="1186"/>
      <c r="FC30" s="1186"/>
      <c r="FD30" s="1186"/>
      <c r="FE30" s="1186"/>
      <c r="FF30" s="1186"/>
      <c r="FG30" s="1186"/>
      <c r="FH30" s="1186"/>
      <c r="FI30" s="1186"/>
      <c r="FJ30" s="1186"/>
      <c r="FK30" s="1186"/>
      <c r="FL30" s="1186"/>
      <c r="FM30" s="1186"/>
      <c r="FN30" s="1186"/>
      <c r="FO30" s="1186"/>
      <c r="FP30" s="1186"/>
      <c r="FQ30" s="1186"/>
      <c r="FR30" s="1186"/>
      <c r="FS30" s="1186"/>
      <c r="FT30" s="1186"/>
      <c r="FU30" s="1186"/>
      <c r="FV30" s="1186"/>
      <c r="FW30" s="1186"/>
      <c r="FX30" s="1186"/>
      <c r="FY30" s="1186"/>
      <c r="FZ30" s="1186"/>
      <c r="GA30" s="1186"/>
      <c r="GB30" s="1186"/>
      <c r="GC30" s="1186"/>
      <c r="GD30" s="1186"/>
      <c r="GE30" s="1186"/>
    </row>
    <row r="31" spans="1:187" s="1197" customFormat="1" ht="14">
      <c r="A31" s="1196"/>
      <c r="B31" s="535"/>
      <c r="C31" s="1205"/>
      <c r="D31" s="1206"/>
      <c r="E31" s="1206"/>
      <c r="F31" s="1207"/>
      <c r="G31" s="1204"/>
      <c r="H31" s="1208" t="str">
        <f t="shared" si="3"/>
        <v/>
      </c>
      <c r="I31" s="1195"/>
      <c r="J31" s="2090"/>
      <c r="K31" s="1186"/>
      <c r="L31" s="1186"/>
      <c r="M31" s="1186"/>
      <c r="N31" s="1186"/>
      <c r="O31" s="1186"/>
      <c r="P31" s="1186"/>
      <c r="Q31" s="1186"/>
      <c r="R31" s="1186"/>
      <c r="S31" s="1186"/>
      <c r="T31" s="1186"/>
      <c r="U31" s="1186"/>
      <c r="V31" s="1186"/>
      <c r="W31" s="1186"/>
      <c r="X31" s="1186"/>
      <c r="Y31" s="1186"/>
      <c r="Z31" s="1186"/>
      <c r="AA31" s="1186"/>
      <c r="AB31" s="1186"/>
      <c r="AC31" s="1186"/>
      <c r="AD31" s="1186"/>
      <c r="AE31" s="1186"/>
      <c r="AF31" s="1186"/>
      <c r="AG31" s="1186"/>
      <c r="AH31" s="1186"/>
      <c r="AI31" s="1186"/>
      <c r="AJ31" s="1186"/>
      <c r="AK31" s="1186"/>
      <c r="AL31" s="1186"/>
      <c r="AM31" s="1186"/>
      <c r="AN31" s="1186"/>
      <c r="AO31" s="1186"/>
      <c r="AP31" s="1186"/>
      <c r="AQ31" s="1186"/>
      <c r="AR31" s="1186"/>
      <c r="AS31" s="1186"/>
      <c r="AT31" s="1186"/>
      <c r="AU31" s="1186"/>
      <c r="AV31" s="1186"/>
      <c r="AW31" s="1186"/>
      <c r="AX31" s="1186"/>
      <c r="AY31" s="1186"/>
      <c r="AZ31" s="1186"/>
      <c r="BA31" s="1186"/>
      <c r="BB31" s="1186"/>
      <c r="BC31" s="1186"/>
      <c r="BD31" s="1186"/>
      <c r="BE31" s="1186"/>
      <c r="BF31" s="1186"/>
      <c r="BG31" s="1186"/>
      <c r="BH31" s="1186"/>
      <c r="BI31" s="1186"/>
      <c r="BJ31" s="1186"/>
      <c r="BK31" s="1186"/>
      <c r="BL31" s="1186"/>
      <c r="BM31" s="1186"/>
      <c r="BN31" s="1186"/>
      <c r="BO31" s="1186"/>
      <c r="BP31" s="1186"/>
      <c r="BQ31" s="1186"/>
      <c r="BR31" s="1186"/>
      <c r="BS31" s="1186"/>
      <c r="BT31" s="1186"/>
      <c r="BU31" s="1186"/>
      <c r="BV31" s="1186"/>
      <c r="BW31" s="1186"/>
      <c r="BX31" s="1186"/>
      <c r="BY31" s="1186"/>
      <c r="BZ31" s="1186"/>
      <c r="CA31" s="1186"/>
      <c r="CB31" s="1186"/>
      <c r="CC31" s="1186"/>
      <c r="CD31" s="1186"/>
      <c r="CE31" s="1186"/>
      <c r="CF31" s="1186"/>
      <c r="CG31" s="1186"/>
      <c r="CH31" s="1186"/>
      <c r="CI31" s="1186"/>
      <c r="CJ31" s="1186"/>
      <c r="CK31" s="1186"/>
      <c r="CL31" s="1186"/>
      <c r="CM31" s="1186"/>
      <c r="CN31" s="1186"/>
      <c r="CO31" s="1186"/>
      <c r="CP31" s="1186"/>
      <c r="CQ31" s="1186"/>
      <c r="CR31" s="1186"/>
      <c r="CS31" s="1186"/>
      <c r="CT31" s="1186"/>
      <c r="CU31" s="1186"/>
      <c r="CV31" s="1186"/>
      <c r="CW31" s="1186"/>
      <c r="CX31" s="1186"/>
      <c r="CY31" s="1186"/>
      <c r="CZ31" s="1186"/>
      <c r="DA31" s="1186"/>
      <c r="DB31" s="1186"/>
      <c r="DC31" s="1186"/>
      <c r="DD31" s="1186"/>
      <c r="DE31" s="1186"/>
      <c r="DF31" s="1186"/>
      <c r="DG31" s="1186"/>
      <c r="DH31" s="1186"/>
      <c r="DI31" s="1186"/>
      <c r="DJ31" s="1186"/>
      <c r="DK31" s="1186"/>
      <c r="DL31" s="1186"/>
      <c r="DM31" s="1186"/>
      <c r="DN31" s="1186"/>
      <c r="DO31" s="1186"/>
      <c r="DP31" s="1186"/>
      <c r="DQ31" s="1186"/>
      <c r="DR31" s="1186"/>
      <c r="DS31" s="1186"/>
      <c r="DT31" s="1186"/>
      <c r="DU31" s="1186"/>
      <c r="DV31" s="1186"/>
      <c r="DW31" s="1186"/>
      <c r="DX31" s="1186"/>
      <c r="DY31" s="1186"/>
      <c r="DZ31" s="1186"/>
      <c r="EA31" s="1186"/>
      <c r="EB31" s="1186"/>
      <c r="EC31" s="1186"/>
      <c r="ED31" s="1186"/>
      <c r="EE31" s="1186"/>
      <c r="EF31" s="1186"/>
      <c r="EG31" s="1186"/>
      <c r="EH31" s="1186"/>
      <c r="EI31" s="1186"/>
      <c r="EJ31" s="1186"/>
      <c r="EK31" s="1186"/>
      <c r="EL31" s="1186"/>
      <c r="EM31" s="1186"/>
      <c r="EN31" s="1186"/>
      <c r="EO31" s="1186"/>
      <c r="EP31" s="1186"/>
      <c r="EQ31" s="1186"/>
      <c r="ER31" s="1186"/>
      <c r="ES31" s="1186"/>
      <c r="ET31" s="1186"/>
      <c r="EU31" s="1186"/>
      <c r="EV31" s="1186"/>
      <c r="EW31" s="1186"/>
      <c r="EX31" s="1186"/>
      <c r="EY31" s="1186"/>
      <c r="EZ31" s="1186"/>
      <c r="FA31" s="1186"/>
      <c r="FB31" s="1186"/>
      <c r="FC31" s="1186"/>
      <c r="FD31" s="1186"/>
      <c r="FE31" s="1186"/>
      <c r="FF31" s="1186"/>
      <c r="FG31" s="1186"/>
      <c r="FH31" s="1186"/>
      <c r="FI31" s="1186"/>
      <c r="FJ31" s="1186"/>
      <c r="FK31" s="1186"/>
      <c r="FL31" s="1186"/>
      <c r="FM31" s="1186"/>
      <c r="FN31" s="1186"/>
      <c r="FO31" s="1186"/>
      <c r="FP31" s="1186"/>
      <c r="FQ31" s="1186"/>
      <c r="FR31" s="1186"/>
      <c r="FS31" s="1186"/>
      <c r="FT31" s="1186"/>
      <c r="FU31" s="1186"/>
      <c r="FV31" s="1186"/>
      <c r="FW31" s="1186"/>
      <c r="FX31" s="1186"/>
      <c r="FY31" s="1186"/>
      <c r="FZ31" s="1186"/>
      <c r="GA31" s="1186"/>
      <c r="GB31" s="1186"/>
      <c r="GC31" s="1186"/>
      <c r="GD31" s="1186"/>
      <c r="GE31" s="1186"/>
    </row>
    <row r="32" spans="1:187" s="1197" customFormat="1" ht="14">
      <c r="A32" s="1196"/>
      <c r="B32" s="2103" t="s">
        <v>1407</v>
      </c>
      <c r="C32" s="2104"/>
      <c r="D32" s="2104"/>
      <c r="E32" s="2104"/>
      <c r="F32" s="2104"/>
      <c r="G32" s="2105"/>
      <c r="H32" s="1210">
        <f>+SUM(H15:H22)+SUM(H24:H25)+SUM(H27:H27)+SUM(H29:H31)</f>
        <v>13400000</v>
      </c>
      <c r="I32" s="1211"/>
      <c r="J32" s="1186"/>
      <c r="K32" s="1186"/>
      <c r="L32" s="1186"/>
      <c r="M32" s="1186"/>
      <c r="N32" s="1186"/>
      <c r="O32" s="1186"/>
      <c r="P32" s="1186"/>
      <c r="Q32" s="1186"/>
      <c r="R32" s="1186"/>
      <c r="S32" s="1186"/>
      <c r="T32" s="1186"/>
      <c r="U32" s="1186"/>
      <c r="V32" s="1186"/>
      <c r="W32" s="1186"/>
      <c r="X32" s="1186"/>
      <c r="Y32" s="1186"/>
      <c r="Z32" s="1186"/>
      <c r="AA32" s="1186"/>
      <c r="AB32" s="1186"/>
      <c r="AC32" s="1186"/>
      <c r="AD32" s="1186"/>
      <c r="AE32" s="1186"/>
      <c r="AF32" s="1186"/>
      <c r="AG32" s="1186"/>
      <c r="AH32" s="1186"/>
      <c r="AI32" s="1186"/>
      <c r="AJ32" s="1186"/>
      <c r="AK32" s="1186"/>
      <c r="AL32" s="1186"/>
      <c r="AM32" s="1186"/>
      <c r="AN32" s="1186"/>
      <c r="AO32" s="1186"/>
      <c r="AP32" s="1186"/>
      <c r="AQ32" s="1186"/>
      <c r="AR32" s="1186"/>
      <c r="AS32" s="1186"/>
      <c r="AT32" s="1186"/>
      <c r="AU32" s="1186"/>
      <c r="AV32" s="1186"/>
      <c r="AW32" s="1186"/>
      <c r="AX32" s="1186"/>
      <c r="AY32" s="1186"/>
      <c r="AZ32" s="1186"/>
      <c r="BA32" s="1186"/>
      <c r="BB32" s="1186"/>
      <c r="BC32" s="1186"/>
      <c r="BD32" s="1186"/>
      <c r="BE32" s="1186"/>
      <c r="BF32" s="1186"/>
      <c r="BG32" s="1186"/>
      <c r="BH32" s="1186"/>
      <c r="BI32" s="1186"/>
      <c r="BJ32" s="1186"/>
      <c r="BK32" s="1186"/>
      <c r="BL32" s="1186"/>
      <c r="BM32" s="1186"/>
      <c r="BN32" s="1186"/>
      <c r="BO32" s="1186"/>
      <c r="BP32" s="1186"/>
      <c r="BQ32" s="1186"/>
      <c r="BR32" s="1186"/>
      <c r="BS32" s="1186"/>
      <c r="BT32" s="1186"/>
      <c r="BU32" s="1186"/>
      <c r="BV32" s="1186"/>
      <c r="BW32" s="1186"/>
      <c r="BX32" s="1186"/>
      <c r="BY32" s="1186"/>
      <c r="BZ32" s="1186"/>
      <c r="CA32" s="1186"/>
      <c r="CB32" s="1186"/>
      <c r="CC32" s="1186"/>
      <c r="CD32" s="1186"/>
      <c r="CE32" s="1186"/>
      <c r="CF32" s="1186"/>
      <c r="CG32" s="1186"/>
      <c r="CH32" s="1186"/>
      <c r="CI32" s="1186"/>
      <c r="CJ32" s="1186"/>
      <c r="CK32" s="1186"/>
      <c r="CL32" s="1186"/>
      <c r="CM32" s="1186"/>
      <c r="CN32" s="1186"/>
      <c r="CO32" s="1186"/>
      <c r="CP32" s="1186"/>
      <c r="CQ32" s="1186"/>
      <c r="CR32" s="1186"/>
      <c r="CS32" s="1186"/>
      <c r="CT32" s="1186"/>
      <c r="CU32" s="1186"/>
      <c r="CV32" s="1186"/>
      <c r="CW32" s="1186"/>
      <c r="CX32" s="1186"/>
      <c r="CY32" s="1186"/>
      <c r="CZ32" s="1186"/>
      <c r="DA32" s="1186"/>
      <c r="DB32" s="1186"/>
      <c r="DC32" s="1186"/>
      <c r="DD32" s="1186"/>
      <c r="DE32" s="1186"/>
      <c r="DF32" s="1186"/>
      <c r="DG32" s="1186"/>
      <c r="DH32" s="1186"/>
      <c r="DI32" s="1186"/>
      <c r="DJ32" s="1186"/>
      <c r="DK32" s="1186"/>
      <c r="DL32" s="1186"/>
      <c r="DM32" s="1186"/>
      <c r="DN32" s="1186"/>
      <c r="DO32" s="1186"/>
      <c r="DP32" s="1186"/>
      <c r="DQ32" s="1186"/>
      <c r="DR32" s="1186"/>
      <c r="DS32" s="1186"/>
      <c r="DT32" s="1186"/>
      <c r="DU32" s="1186"/>
      <c r="DV32" s="1186"/>
      <c r="DW32" s="1186"/>
      <c r="DX32" s="1186"/>
      <c r="DY32" s="1186"/>
      <c r="DZ32" s="1186"/>
      <c r="EA32" s="1186"/>
      <c r="EB32" s="1186"/>
      <c r="EC32" s="1186"/>
      <c r="ED32" s="1186"/>
      <c r="EE32" s="1186"/>
      <c r="EF32" s="1186"/>
      <c r="EG32" s="1186"/>
      <c r="EH32" s="1186"/>
      <c r="EI32" s="1186"/>
      <c r="EJ32" s="1186"/>
      <c r="EK32" s="1186"/>
      <c r="EL32" s="1186"/>
      <c r="EM32" s="1186"/>
      <c r="EN32" s="1186"/>
      <c r="EO32" s="1186"/>
      <c r="EP32" s="1186"/>
      <c r="EQ32" s="1186"/>
      <c r="ER32" s="1186"/>
      <c r="ES32" s="1186"/>
      <c r="ET32" s="1186"/>
      <c r="EU32" s="1186"/>
      <c r="EV32" s="1186"/>
      <c r="EW32" s="1186"/>
      <c r="EX32" s="1186"/>
      <c r="EY32" s="1186"/>
      <c r="EZ32" s="1186"/>
      <c r="FA32" s="1186"/>
      <c r="FB32" s="1186"/>
      <c r="FC32" s="1186"/>
      <c r="FD32" s="1186"/>
      <c r="FE32" s="1186"/>
      <c r="FF32" s="1186"/>
      <c r="FG32" s="1186"/>
      <c r="FH32" s="1186"/>
      <c r="FI32" s="1186"/>
      <c r="FJ32" s="1186"/>
      <c r="FK32" s="1186"/>
      <c r="FL32" s="1186"/>
      <c r="FM32" s="1186"/>
      <c r="FN32" s="1186"/>
      <c r="FO32" s="1186"/>
      <c r="FP32" s="1186"/>
      <c r="FQ32" s="1186"/>
      <c r="FR32" s="1186"/>
      <c r="FS32" s="1186"/>
      <c r="FT32" s="1186"/>
      <c r="FU32" s="1186"/>
      <c r="FV32" s="1186"/>
      <c r="FW32" s="1186"/>
      <c r="FX32" s="1186"/>
      <c r="FY32" s="1186"/>
      <c r="FZ32" s="1186"/>
      <c r="GA32" s="1186"/>
      <c r="GB32" s="1186"/>
      <c r="GC32" s="1186"/>
      <c r="GD32" s="1186"/>
      <c r="GE32" s="1186"/>
    </row>
    <row r="33" spans="1:187" s="1197" customFormat="1">
      <c r="A33" s="1196"/>
      <c r="B33" s="2103" t="s">
        <v>1408</v>
      </c>
      <c r="C33" s="2104"/>
      <c r="D33" s="2104"/>
      <c r="E33" s="2104"/>
      <c r="F33" s="2104"/>
      <c r="G33" s="2105"/>
      <c r="H33" s="1212">
        <f ca="1">+FM!D44</f>
        <v>2.0699999999999998</v>
      </c>
      <c r="I33" s="1213" t="s">
        <v>66</v>
      </c>
      <c r="J33" s="1186"/>
      <c r="K33" s="1186"/>
      <c r="L33" s="1186"/>
      <c r="M33" s="1186"/>
      <c r="N33" s="1186"/>
      <c r="O33" s="1186"/>
      <c r="P33" s="1186"/>
      <c r="Q33" s="1186"/>
      <c r="R33" s="1186"/>
      <c r="S33" s="1186"/>
      <c r="T33" s="1186"/>
      <c r="U33" s="1186"/>
      <c r="V33" s="1186"/>
      <c r="W33" s="1186"/>
      <c r="X33" s="1186"/>
      <c r="Y33" s="1186"/>
      <c r="Z33" s="1186"/>
      <c r="AA33" s="1186"/>
      <c r="AB33" s="1186"/>
      <c r="AC33" s="1186"/>
      <c r="AD33" s="1186"/>
      <c r="AE33" s="1186"/>
      <c r="AF33" s="1186"/>
      <c r="AG33" s="1186"/>
      <c r="AH33" s="1186"/>
      <c r="AI33" s="1186"/>
      <c r="AJ33" s="1186"/>
      <c r="AK33" s="1186"/>
      <c r="AL33" s="1186"/>
      <c r="AM33" s="1186"/>
      <c r="AN33" s="1186"/>
      <c r="AO33" s="1186"/>
      <c r="AP33" s="1186"/>
      <c r="AQ33" s="1186"/>
      <c r="AR33" s="1186"/>
      <c r="AS33" s="1186"/>
      <c r="AT33" s="1186"/>
      <c r="AU33" s="1186"/>
      <c r="AV33" s="1186"/>
      <c r="AW33" s="1186"/>
      <c r="AX33" s="1186"/>
      <c r="AY33" s="1186"/>
      <c r="AZ33" s="1186"/>
      <c r="BA33" s="1186"/>
      <c r="BB33" s="1186"/>
      <c r="BC33" s="1186"/>
      <c r="BD33" s="1186"/>
      <c r="BE33" s="1186"/>
      <c r="BF33" s="1186"/>
      <c r="BG33" s="1186"/>
      <c r="BH33" s="1186"/>
      <c r="BI33" s="1186"/>
      <c r="BJ33" s="1186"/>
      <c r="BK33" s="1186"/>
      <c r="BL33" s="1186"/>
      <c r="BM33" s="1186"/>
      <c r="BN33" s="1186"/>
      <c r="BO33" s="1186"/>
      <c r="BP33" s="1186"/>
      <c r="BQ33" s="1186"/>
      <c r="BR33" s="1186"/>
      <c r="BS33" s="1186"/>
      <c r="BT33" s="1186"/>
      <c r="BU33" s="1186"/>
      <c r="BV33" s="1186"/>
      <c r="BW33" s="1186"/>
      <c r="BX33" s="1186"/>
      <c r="BY33" s="1186"/>
      <c r="BZ33" s="1186"/>
      <c r="CA33" s="1186"/>
      <c r="CB33" s="1186"/>
      <c r="CC33" s="1186"/>
      <c r="CD33" s="1186"/>
      <c r="CE33" s="1186"/>
      <c r="CF33" s="1186"/>
      <c r="CG33" s="1186"/>
      <c r="CH33" s="1186"/>
      <c r="CI33" s="1186"/>
      <c r="CJ33" s="1186"/>
      <c r="CK33" s="1186"/>
      <c r="CL33" s="1186"/>
      <c r="CM33" s="1186"/>
      <c r="CN33" s="1186"/>
      <c r="CO33" s="1186"/>
      <c r="CP33" s="1186"/>
      <c r="CQ33" s="1186"/>
      <c r="CR33" s="1186"/>
      <c r="CS33" s="1186"/>
      <c r="CT33" s="1186"/>
      <c r="CU33" s="1186"/>
      <c r="CV33" s="1186"/>
      <c r="CW33" s="1186"/>
      <c r="CX33" s="1186"/>
      <c r="CY33" s="1186"/>
      <c r="CZ33" s="1186"/>
      <c r="DA33" s="1186"/>
      <c r="DB33" s="1186"/>
      <c r="DC33" s="1186"/>
      <c r="DD33" s="1186"/>
      <c r="DE33" s="1186"/>
      <c r="DF33" s="1186"/>
      <c r="DG33" s="1186"/>
      <c r="DH33" s="1186"/>
      <c r="DI33" s="1186"/>
      <c r="DJ33" s="1186"/>
      <c r="DK33" s="1186"/>
      <c r="DL33" s="1186"/>
      <c r="DM33" s="1186"/>
      <c r="DN33" s="1186"/>
      <c r="DO33" s="1186"/>
      <c r="DP33" s="1186"/>
      <c r="DQ33" s="1186"/>
      <c r="DR33" s="1186"/>
      <c r="DS33" s="1186"/>
      <c r="DT33" s="1186"/>
      <c r="DU33" s="1186"/>
      <c r="DV33" s="1186"/>
      <c r="DW33" s="1186"/>
      <c r="DX33" s="1186"/>
      <c r="DY33" s="1186"/>
      <c r="DZ33" s="1186"/>
      <c r="EA33" s="1186"/>
      <c r="EB33" s="1186"/>
      <c r="EC33" s="1186"/>
      <c r="ED33" s="1186"/>
      <c r="EE33" s="1186"/>
      <c r="EF33" s="1186"/>
      <c r="EG33" s="1186"/>
      <c r="EH33" s="1186"/>
      <c r="EI33" s="1186"/>
      <c r="EJ33" s="1186"/>
      <c r="EK33" s="1186"/>
      <c r="EL33" s="1186"/>
      <c r="EM33" s="1186"/>
      <c r="EN33" s="1186"/>
      <c r="EO33" s="1186"/>
      <c r="EP33" s="1186"/>
      <c r="EQ33" s="1186"/>
      <c r="ER33" s="1186"/>
      <c r="ES33" s="1186"/>
      <c r="ET33" s="1186"/>
      <c r="EU33" s="1186"/>
      <c r="EV33" s="1186"/>
      <c r="EW33" s="1186"/>
      <c r="EX33" s="1186"/>
      <c r="EY33" s="1186"/>
      <c r="EZ33" s="1186"/>
      <c r="FA33" s="1186"/>
      <c r="FB33" s="1186"/>
      <c r="FC33" s="1186"/>
      <c r="FD33" s="1186"/>
      <c r="FE33" s="1186"/>
      <c r="FF33" s="1186"/>
      <c r="FG33" s="1186"/>
      <c r="FH33" s="1186"/>
      <c r="FI33" s="1186"/>
      <c r="FJ33" s="1186"/>
      <c r="FK33" s="1186"/>
      <c r="FL33" s="1186"/>
      <c r="FM33" s="1186"/>
      <c r="FN33" s="1186"/>
      <c r="FO33" s="1186"/>
      <c r="FP33" s="1186"/>
      <c r="FQ33" s="1186"/>
      <c r="FR33" s="1186"/>
      <c r="FS33" s="1186"/>
      <c r="FT33" s="1186"/>
      <c r="FU33" s="1186"/>
      <c r="FV33" s="1186"/>
      <c r="FW33" s="1186"/>
      <c r="FX33" s="1186"/>
      <c r="FY33" s="1186"/>
      <c r="FZ33" s="1186"/>
      <c r="GA33" s="1186"/>
      <c r="GB33" s="1186"/>
      <c r="GC33" s="1186"/>
      <c r="GD33" s="1186"/>
      <c r="GE33" s="1186"/>
    </row>
    <row r="34" spans="1:187" s="1197" customFormat="1" ht="14.5" thickBot="1">
      <c r="A34" s="1196"/>
      <c r="B34" s="2106" t="s">
        <v>1409</v>
      </c>
      <c r="C34" s="2107"/>
      <c r="D34" s="2107"/>
      <c r="E34" s="2107"/>
      <c r="F34" s="2107"/>
      <c r="G34" s="2108"/>
      <c r="H34" s="1214">
        <f ca="1">ROUND(H32*H33,0)</f>
        <v>27738000</v>
      </c>
      <c r="I34" s="1195"/>
      <c r="J34" s="1186"/>
      <c r="K34" s="1186"/>
      <c r="L34" s="1186"/>
      <c r="M34" s="1186"/>
      <c r="N34" s="1186"/>
      <c r="O34" s="1186"/>
      <c r="P34" s="1186"/>
      <c r="Q34" s="1186"/>
      <c r="R34" s="1186"/>
      <c r="S34" s="1186"/>
      <c r="T34" s="1186"/>
      <c r="U34" s="1186"/>
      <c r="V34" s="1186"/>
      <c r="W34" s="1186"/>
      <c r="X34" s="1186"/>
      <c r="Y34" s="1186"/>
      <c r="Z34" s="1186"/>
      <c r="AA34" s="1186"/>
      <c r="AB34" s="1186"/>
      <c r="AC34" s="1186"/>
      <c r="AD34" s="1186"/>
      <c r="AE34" s="1186"/>
      <c r="AF34" s="1186"/>
      <c r="AG34" s="1186"/>
      <c r="AH34" s="1186"/>
      <c r="AI34" s="1186"/>
      <c r="AJ34" s="1186"/>
      <c r="AK34" s="1186"/>
      <c r="AL34" s="1186"/>
      <c r="AM34" s="1186"/>
      <c r="AN34" s="1186"/>
      <c r="AO34" s="1186"/>
      <c r="AP34" s="1186"/>
      <c r="AQ34" s="1186"/>
      <c r="AR34" s="1186"/>
      <c r="AS34" s="1186"/>
      <c r="AT34" s="1186"/>
      <c r="AU34" s="1186"/>
      <c r="AV34" s="1186"/>
      <c r="AW34" s="1186"/>
      <c r="AX34" s="1186"/>
      <c r="AY34" s="1186"/>
      <c r="AZ34" s="1186"/>
      <c r="BA34" s="1186"/>
      <c r="BB34" s="1186"/>
      <c r="BC34" s="1186"/>
      <c r="BD34" s="1186"/>
      <c r="BE34" s="1186"/>
      <c r="BF34" s="1186"/>
      <c r="BG34" s="1186"/>
      <c r="BH34" s="1186"/>
      <c r="BI34" s="1186"/>
      <c r="BJ34" s="1186"/>
      <c r="BK34" s="1186"/>
      <c r="BL34" s="1186"/>
      <c r="BM34" s="1186"/>
      <c r="BN34" s="1186"/>
      <c r="BO34" s="1186"/>
      <c r="BP34" s="1186"/>
      <c r="BQ34" s="1186"/>
      <c r="BR34" s="1186"/>
      <c r="BS34" s="1186"/>
      <c r="BT34" s="1186"/>
      <c r="BU34" s="1186"/>
      <c r="BV34" s="1186"/>
      <c r="BW34" s="1186"/>
      <c r="BX34" s="1186"/>
      <c r="BY34" s="1186"/>
      <c r="BZ34" s="1186"/>
      <c r="CA34" s="1186"/>
      <c r="CB34" s="1186"/>
      <c r="CC34" s="1186"/>
      <c r="CD34" s="1186"/>
      <c r="CE34" s="1186"/>
      <c r="CF34" s="1186"/>
      <c r="CG34" s="1186"/>
      <c r="CH34" s="1186"/>
      <c r="CI34" s="1186"/>
      <c r="CJ34" s="1186"/>
      <c r="CK34" s="1186"/>
      <c r="CL34" s="1186"/>
      <c r="CM34" s="1186"/>
      <c r="CN34" s="1186"/>
      <c r="CO34" s="1186"/>
      <c r="CP34" s="1186"/>
      <c r="CQ34" s="1186"/>
      <c r="CR34" s="1186"/>
      <c r="CS34" s="1186"/>
      <c r="CT34" s="1186"/>
      <c r="CU34" s="1186"/>
      <c r="CV34" s="1186"/>
      <c r="CW34" s="1186"/>
      <c r="CX34" s="1186"/>
      <c r="CY34" s="1186"/>
      <c r="CZ34" s="1186"/>
      <c r="DA34" s="1186"/>
      <c r="DB34" s="1186"/>
      <c r="DC34" s="1186"/>
      <c r="DD34" s="1186"/>
      <c r="DE34" s="1186"/>
      <c r="DF34" s="1186"/>
      <c r="DG34" s="1186"/>
      <c r="DH34" s="1186"/>
      <c r="DI34" s="1186"/>
      <c r="DJ34" s="1186"/>
      <c r="DK34" s="1186"/>
      <c r="DL34" s="1186"/>
      <c r="DM34" s="1186"/>
      <c r="DN34" s="1186"/>
      <c r="DO34" s="1186"/>
      <c r="DP34" s="1186"/>
      <c r="DQ34" s="1186"/>
      <c r="DR34" s="1186"/>
      <c r="DS34" s="1186"/>
      <c r="DT34" s="1186"/>
      <c r="DU34" s="1186"/>
      <c r="DV34" s="1186"/>
      <c r="DW34" s="1186"/>
      <c r="DX34" s="1186"/>
      <c r="DY34" s="1186"/>
      <c r="DZ34" s="1186"/>
      <c r="EA34" s="1186"/>
      <c r="EB34" s="1186"/>
      <c r="EC34" s="1186"/>
      <c r="ED34" s="1186"/>
      <c r="EE34" s="1186"/>
      <c r="EF34" s="1186"/>
      <c r="EG34" s="1186"/>
      <c r="EH34" s="1186"/>
      <c r="EI34" s="1186"/>
      <c r="EJ34" s="1186"/>
      <c r="EK34" s="1186"/>
      <c r="EL34" s="1186"/>
      <c r="EM34" s="1186"/>
      <c r="EN34" s="1186"/>
      <c r="EO34" s="1186"/>
      <c r="EP34" s="1186"/>
      <c r="EQ34" s="1186"/>
      <c r="ER34" s="1186"/>
      <c r="ES34" s="1186"/>
      <c r="ET34" s="1186"/>
      <c r="EU34" s="1186"/>
      <c r="EV34" s="1186"/>
      <c r="EW34" s="1186"/>
      <c r="EX34" s="1186"/>
      <c r="EY34" s="1186"/>
      <c r="EZ34" s="1186"/>
      <c r="FA34" s="1186"/>
      <c r="FB34" s="1186"/>
      <c r="FC34" s="1186"/>
      <c r="FD34" s="1186"/>
      <c r="FE34" s="1186"/>
      <c r="FF34" s="1186"/>
      <c r="FG34" s="1186"/>
      <c r="FH34" s="1186"/>
      <c r="FI34" s="1186"/>
      <c r="FJ34" s="1186"/>
      <c r="FK34" s="1186"/>
      <c r="FL34" s="1186"/>
      <c r="FM34" s="1186"/>
      <c r="FN34" s="1186"/>
      <c r="FO34" s="1186"/>
      <c r="FP34" s="1186"/>
      <c r="FQ34" s="1186"/>
      <c r="FR34" s="1186"/>
      <c r="FS34" s="1186"/>
      <c r="FT34" s="1186"/>
      <c r="FU34" s="1186"/>
      <c r="FV34" s="1186"/>
      <c r="FW34" s="1186"/>
      <c r="FX34" s="1186"/>
      <c r="FY34" s="1186"/>
      <c r="FZ34" s="1186"/>
      <c r="GA34" s="1186"/>
      <c r="GB34" s="1186"/>
      <c r="GC34" s="1186"/>
      <c r="GD34" s="1186"/>
      <c r="GE34" s="1186"/>
    </row>
    <row r="35" spans="1:187" s="1197" customFormat="1" ht="12.5" customHeight="1">
      <c r="A35" s="1196"/>
      <c r="B35" s="2091" t="s">
        <v>1383</v>
      </c>
      <c r="C35" s="2093" t="s">
        <v>505</v>
      </c>
      <c r="D35" s="2093" t="s">
        <v>193</v>
      </c>
      <c r="E35" s="2096" t="s">
        <v>1410</v>
      </c>
      <c r="F35" s="2096" t="s">
        <v>1387</v>
      </c>
      <c r="G35" s="2096" t="s">
        <v>1411</v>
      </c>
      <c r="H35" s="2098" t="s">
        <v>1412</v>
      </c>
      <c r="I35" s="1195"/>
      <c r="J35" s="1186"/>
      <c r="K35" s="1186"/>
      <c r="L35" s="1186"/>
      <c r="M35" s="1186"/>
      <c r="N35" s="1186"/>
      <c r="O35" s="1186"/>
      <c r="P35" s="1186"/>
      <c r="Q35" s="1186"/>
      <c r="R35" s="1186"/>
      <c r="S35" s="1186"/>
      <c r="T35" s="1186"/>
      <c r="U35" s="1186"/>
      <c r="V35" s="1186"/>
      <c r="W35" s="1186"/>
      <c r="X35" s="1186"/>
      <c r="Y35" s="1186"/>
      <c r="Z35" s="1186"/>
      <c r="AA35" s="1186"/>
      <c r="AB35" s="1186"/>
      <c r="AC35" s="1186"/>
      <c r="AD35" s="1186"/>
      <c r="AE35" s="1186"/>
      <c r="AF35" s="1186"/>
      <c r="AG35" s="1186"/>
      <c r="AH35" s="1186"/>
      <c r="AI35" s="1186"/>
      <c r="AJ35" s="1186"/>
      <c r="AK35" s="1186"/>
      <c r="AL35" s="1186"/>
      <c r="AM35" s="1186"/>
      <c r="AN35" s="1186"/>
      <c r="AO35" s="1186"/>
      <c r="AP35" s="1186"/>
      <c r="AQ35" s="1186"/>
      <c r="AR35" s="1186"/>
      <c r="AS35" s="1186"/>
      <c r="AT35" s="1186"/>
      <c r="AU35" s="1186"/>
      <c r="AV35" s="1186"/>
      <c r="AW35" s="1186"/>
      <c r="AX35" s="1186"/>
      <c r="AY35" s="1186"/>
      <c r="AZ35" s="1186"/>
      <c r="BA35" s="1186"/>
      <c r="BB35" s="1186"/>
      <c r="BC35" s="1186"/>
      <c r="BD35" s="1186"/>
      <c r="BE35" s="1186"/>
      <c r="BF35" s="1186"/>
      <c r="BG35" s="1186"/>
      <c r="BH35" s="1186"/>
      <c r="BI35" s="1186"/>
      <c r="BJ35" s="1186"/>
      <c r="BK35" s="1186"/>
      <c r="BL35" s="1186"/>
      <c r="BM35" s="1186"/>
      <c r="BN35" s="1186"/>
      <c r="BO35" s="1186"/>
      <c r="BP35" s="1186"/>
      <c r="BQ35" s="1186"/>
      <c r="BR35" s="1186"/>
      <c r="BS35" s="1186"/>
      <c r="BT35" s="1186"/>
      <c r="BU35" s="1186"/>
      <c r="BV35" s="1186"/>
      <c r="BW35" s="1186"/>
      <c r="BX35" s="1186"/>
      <c r="BY35" s="1186"/>
      <c r="BZ35" s="1186"/>
      <c r="CA35" s="1186"/>
      <c r="CB35" s="1186"/>
      <c r="CC35" s="1186"/>
      <c r="CD35" s="1186"/>
      <c r="CE35" s="1186"/>
      <c r="CF35" s="1186"/>
      <c r="CG35" s="1186"/>
      <c r="CH35" s="1186"/>
      <c r="CI35" s="1186"/>
      <c r="CJ35" s="1186"/>
      <c r="CK35" s="1186"/>
      <c r="CL35" s="1186"/>
      <c r="CM35" s="1186"/>
      <c r="CN35" s="1186"/>
      <c r="CO35" s="1186"/>
      <c r="CP35" s="1186"/>
      <c r="CQ35" s="1186"/>
      <c r="CR35" s="1186"/>
      <c r="CS35" s="1186"/>
      <c r="CT35" s="1186"/>
      <c r="CU35" s="1186"/>
      <c r="CV35" s="1186"/>
      <c r="CW35" s="1186"/>
      <c r="CX35" s="1186"/>
      <c r="CY35" s="1186"/>
      <c r="CZ35" s="1186"/>
      <c r="DA35" s="1186"/>
      <c r="DB35" s="1186"/>
      <c r="DC35" s="1186"/>
      <c r="DD35" s="1186"/>
      <c r="DE35" s="1186"/>
      <c r="DF35" s="1186"/>
      <c r="DG35" s="1186"/>
      <c r="DH35" s="1186"/>
      <c r="DI35" s="1186"/>
      <c r="DJ35" s="1186"/>
      <c r="DK35" s="1186"/>
      <c r="DL35" s="1186"/>
      <c r="DM35" s="1186"/>
      <c r="DN35" s="1186"/>
      <c r="DO35" s="1186"/>
      <c r="DP35" s="1186"/>
      <c r="DQ35" s="1186"/>
      <c r="DR35" s="1186"/>
      <c r="DS35" s="1186"/>
      <c r="DT35" s="1186"/>
      <c r="DU35" s="1186"/>
      <c r="DV35" s="1186"/>
      <c r="DW35" s="1186"/>
      <c r="DX35" s="1186"/>
      <c r="DY35" s="1186"/>
      <c r="DZ35" s="1186"/>
      <c r="EA35" s="1186"/>
      <c r="EB35" s="1186"/>
      <c r="EC35" s="1186"/>
      <c r="ED35" s="1186"/>
      <c r="EE35" s="1186"/>
      <c r="EF35" s="1186"/>
      <c r="EG35" s="1186"/>
      <c r="EH35" s="1186"/>
      <c r="EI35" s="1186"/>
      <c r="EJ35" s="1186"/>
      <c r="EK35" s="1186"/>
      <c r="EL35" s="1186"/>
      <c r="EM35" s="1186"/>
      <c r="EN35" s="1186"/>
      <c r="EO35" s="1186"/>
      <c r="EP35" s="1186"/>
      <c r="EQ35" s="1186"/>
      <c r="ER35" s="1186"/>
      <c r="ES35" s="1186"/>
      <c r="ET35" s="1186"/>
      <c r="EU35" s="1186"/>
      <c r="EV35" s="1186"/>
      <c r="EW35" s="1186"/>
      <c r="EX35" s="1186"/>
      <c r="EY35" s="1186"/>
      <c r="EZ35" s="1186"/>
      <c r="FA35" s="1186"/>
      <c r="FB35" s="1186"/>
      <c r="FC35" s="1186"/>
      <c r="FD35" s="1186"/>
      <c r="FE35" s="1186"/>
      <c r="FF35" s="1186"/>
      <c r="FG35" s="1186"/>
      <c r="FH35" s="1186"/>
      <c r="FI35" s="1186"/>
      <c r="FJ35" s="1186"/>
      <c r="FK35" s="1186"/>
      <c r="FL35" s="1186"/>
      <c r="FM35" s="1186"/>
      <c r="FN35" s="1186"/>
      <c r="FO35" s="1186"/>
      <c r="FP35" s="1186"/>
      <c r="FQ35" s="1186"/>
      <c r="FR35" s="1186"/>
      <c r="FS35" s="1186"/>
      <c r="FT35" s="1186"/>
      <c r="FU35" s="1186"/>
      <c r="FV35" s="1186"/>
      <c r="FW35" s="1186"/>
      <c r="FX35" s="1186"/>
      <c r="FY35" s="1186"/>
      <c r="FZ35" s="1186"/>
      <c r="GA35" s="1186"/>
      <c r="GB35" s="1186"/>
      <c r="GC35" s="1186"/>
      <c r="GD35" s="1186"/>
      <c r="GE35" s="1186"/>
    </row>
    <row r="36" spans="1:187" s="1197" customFormat="1" ht="12" customHeight="1">
      <c r="A36" s="1196"/>
      <c r="B36" s="2092"/>
      <c r="C36" s="2094"/>
      <c r="D36" s="2094"/>
      <c r="E36" s="2097" t="s">
        <v>1413</v>
      </c>
      <c r="F36" s="2097" t="s">
        <v>1391</v>
      </c>
      <c r="G36" s="2097" t="s">
        <v>1392</v>
      </c>
      <c r="H36" s="2099" t="s">
        <v>1393</v>
      </c>
      <c r="I36" s="1195"/>
      <c r="J36" s="1186"/>
      <c r="K36" s="1186"/>
      <c r="L36" s="1186"/>
      <c r="M36" s="1186"/>
      <c r="N36" s="1186"/>
      <c r="O36" s="1186"/>
      <c r="P36" s="1186"/>
      <c r="Q36" s="1186"/>
      <c r="R36" s="1186"/>
      <c r="S36" s="1186"/>
      <c r="T36" s="1186"/>
      <c r="U36" s="1186"/>
      <c r="V36" s="1186"/>
      <c r="W36" s="1186"/>
      <c r="X36" s="1186"/>
      <c r="Y36" s="1186"/>
      <c r="Z36" s="1186"/>
      <c r="AA36" s="1186"/>
      <c r="AB36" s="1186"/>
      <c r="AC36" s="1186"/>
      <c r="AD36" s="1186"/>
      <c r="AE36" s="1186"/>
      <c r="AF36" s="1186"/>
      <c r="AG36" s="1186"/>
      <c r="AH36" s="1186"/>
      <c r="AI36" s="1186"/>
      <c r="AJ36" s="1186"/>
      <c r="AK36" s="1186"/>
      <c r="AL36" s="1186"/>
      <c r="AM36" s="1186"/>
      <c r="AN36" s="1186"/>
      <c r="AO36" s="1186"/>
      <c r="AP36" s="1186"/>
      <c r="AQ36" s="1186"/>
      <c r="AR36" s="1186"/>
      <c r="AS36" s="1186"/>
      <c r="AT36" s="1186"/>
      <c r="AU36" s="1186"/>
      <c r="AV36" s="1186"/>
      <c r="AW36" s="1186"/>
      <c r="AX36" s="1186"/>
      <c r="AY36" s="1186"/>
      <c r="AZ36" s="1186"/>
      <c r="BA36" s="1186"/>
      <c r="BB36" s="1186"/>
      <c r="BC36" s="1186"/>
      <c r="BD36" s="1186"/>
      <c r="BE36" s="1186"/>
      <c r="BF36" s="1186"/>
      <c r="BG36" s="1186"/>
      <c r="BH36" s="1186"/>
      <c r="BI36" s="1186"/>
      <c r="BJ36" s="1186"/>
      <c r="BK36" s="1186"/>
      <c r="BL36" s="1186"/>
      <c r="BM36" s="1186"/>
      <c r="BN36" s="1186"/>
      <c r="BO36" s="1186"/>
      <c r="BP36" s="1186"/>
      <c r="BQ36" s="1186"/>
      <c r="BR36" s="1186"/>
      <c r="BS36" s="1186"/>
      <c r="BT36" s="1186"/>
      <c r="BU36" s="1186"/>
      <c r="BV36" s="1186"/>
      <c r="BW36" s="1186"/>
      <c r="BX36" s="1186"/>
      <c r="BY36" s="1186"/>
      <c r="BZ36" s="1186"/>
      <c r="CA36" s="1186"/>
      <c r="CB36" s="1186"/>
      <c r="CC36" s="1186"/>
      <c r="CD36" s="1186"/>
      <c r="CE36" s="1186"/>
      <c r="CF36" s="1186"/>
      <c r="CG36" s="1186"/>
      <c r="CH36" s="1186"/>
      <c r="CI36" s="1186"/>
      <c r="CJ36" s="1186"/>
      <c r="CK36" s="1186"/>
      <c r="CL36" s="1186"/>
      <c r="CM36" s="1186"/>
      <c r="CN36" s="1186"/>
      <c r="CO36" s="1186"/>
      <c r="CP36" s="1186"/>
      <c r="CQ36" s="1186"/>
      <c r="CR36" s="1186"/>
      <c r="CS36" s="1186"/>
      <c r="CT36" s="1186"/>
      <c r="CU36" s="1186"/>
      <c r="CV36" s="1186"/>
      <c r="CW36" s="1186"/>
      <c r="CX36" s="1186"/>
      <c r="CY36" s="1186"/>
      <c r="CZ36" s="1186"/>
      <c r="DA36" s="1186"/>
      <c r="DB36" s="1186"/>
      <c r="DC36" s="1186"/>
      <c r="DD36" s="1186"/>
      <c r="DE36" s="1186"/>
      <c r="DF36" s="1186"/>
      <c r="DG36" s="1186"/>
      <c r="DH36" s="1186"/>
      <c r="DI36" s="1186"/>
      <c r="DJ36" s="1186"/>
      <c r="DK36" s="1186"/>
      <c r="DL36" s="1186"/>
      <c r="DM36" s="1186"/>
      <c r="DN36" s="1186"/>
      <c r="DO36" s="1186"/>
      <c r="DP36" s="1186"/>
      <c r="DQ36" s="1186"/>
      <c r="DR36" s="1186"/>
      <c r="DS36" s="1186"/>
      <c r="DT36" s="1186"/>
      <c r="DU36" s="1186"/>
      <c r="DV36" s="1186"/>
      <c r="DW36" s="1186"/>
      <c r="DX36" s="1186"/>
      <c r="DY36" s="1186"/>
      <c r="DZ36" s="1186"/>
      <c r="EA36" s="1186"/>
      <c r="EB36" s="1186"/>
      <c r="EC36" s="1186"/>
      <c r="ED36" s="1186"/>
      <c r="EE36" s="1186"/>
      <c r="EF36" s="1186"/>
      <c r="EG36" s="1186"/>
      <c r="EH36" s="1186"/>
      <c r="EI36" s="1186"/>
      <c r="EJ36" s="1186"/>
      <c r="EK36" s="1186"/>
      <c r="EL36" s="1186"/>
      <c r="EM36" s="1186"/>
      <c r="EN36" s="1186"/>
      <c r="EO36" s="1186"/>
      <c r="EP36" s="1186"/>
      <c r="EQ36" s="1186"/>
      <c r="ER36" s="1186"/>
      <c r="ES36" s="1186"/>
      <c r="ET36" s="1186"/>
      <c r="EU36" s="1186"/>
      <c r="EV36" s="1186"/>
      <c r="EW36" s="1186"/>
      <c r="EX36" s="1186"/>
      <c r="EY36" s="1186"/>
      <c r="EZ36" s="1186"/>
      <c r="FA36" s="1186"/>
      <c r="FB36" s="1186"/>
      <c r="FC36" s="1186"/>
      <c r="FD36" s="1186"/>
      <c r="FE36" s="1186"/>
      <c r="FF36" s="1186"/>
      <c r="FG36" s="1186"/>
      <c r="FH36" s="1186"/>
      <c r="FI36" s="1186"/>
      <c r="FJ36" s="1186"/>
      <c r="FK36" s="1186"/>
      <c r="FL36" s="1186"/>
      <c r="FM36" s="1186"/>
      <c r="FN36" s="1186"/>
      <c r="FO36" s="1186"/>
      <c r="FP36" s="1186"/>
      <c r="FQ36" s="1186"/>
      <c r="FR36" s="1186"/>
      <c r="FS36" s="1186"/>
      <c r="FT36" s="1186"/>
      <c r="FU36" s="1186"/>
      <c r="FV36" s="1186"/>
      <c r="FW36" s="1186"/>
      <c r="FX36" s="1186"/>
      <c r="FY36" s="1186"/>
      <c r="FZ36" s="1186"/>
      <c r="GA36" s="1186"/>
      <c r="GB36" s="1186"/>
      <c r="GC36" s="1186"/>
      <c r="GD36" s="1186"/>
      <c r="GE36" s="1186"/>
    </row>
    <row r="37" spans="1:187" s="1197" customFormat="1" ht="14.5" thickBot="1">
      <c r="A37" s="1196"/>
      <c r="B37" s="1198" t="s">
        <v>1414</v>
      </c>
      <c r="C37" s="2095"/>
      <c r="D37" s="2095"/>
      <c r="E37" s="1199" t="s">
        <v>1415</v>
      </c>
      <c r="F37" s="1199" t="s">
        <v>1416</v>
      </c>
      <c r="G37" s="1199" t="s">
        <v>1417</v>
      </c>
      <c r="H37" s="1200" t="s">
        <v>1418</v>
      </c>
      <c r="I37" s="1195"/>
      <c r="J37" s="1186"/>
      <c r="K37" s="1186"/>
      <c r="L37" s="1186"/>
      <c r="M37" s="1186"/>
      <c r="N37" s="1186"/>
      <c r="O37" s="1186"/>
      <c r="P37" s="1186"/>
      <c r="Q37" s="1186"/>
      <c r="R37" s="1186"/>
      <c r="S37" s="1186"/>
      <c r="T37" s="1186"/>
      <c r="U37" s="1186"/>
      <c r="V37" s="1186"/>
      <c r="W37" s="1186"/>
      <c r="X37" s="1186"/>
      <c r="Y37" s="1186"/>
      <c r="Z37" s="1186"/>
      <c r="AA37" s="1186"/>
      <c r="AB37" s="1186"/>
      <c r="AC37" s="1186"/>
      <c r="AD37" s="1186"/>
      <c r="AE37" s="1186"/>
      <c r="AF37" s="1186"/>
      <c r="AG37" s="1186"/>
      <c r="AH37" s="1186"/>
      <c r="AI37" s="1186"/>
      <c r="AJ37" s="1186"/>
      <c r="AK37" s="1186"/>
      <c r="AL37" s="1186"/>
      <c r="AM37" s="1186"/>
      <c r="AN37" s="1186"/>
      <c r="AO37" s="1186"/>
      <c r="AP37" s="1186"/>
      <c r="AQ37" s="1186"/>
      <c r="AR37" s="1186"/>
      <c r="AS37" s="1186"/>
      <c r="AT37" s="1186"/>
      <c r="AU37" s="1186"/>
      <c r="AV37" s="1186"/>
      <c r="AW37" s="1186"/>
      <c r="AX37" s="1186"/>
      <c r="AY37" s="1186"/>
      <c r="AZ37" s="1186"/>
      <c r="BA37" s="1186"/>
      <c r="BB37" s="1186"/>
      <c r="BC37" s="1186"/>
      <c r="BD37" s="1186"/>
      <c r="BE37" s="1186"/>
      <c r="BF37" s="1186"/>
      <c r="BG37" s="1186"/>
      <c r="BH37" s="1186"/>
      <c r="BI37" s="1186"/>
      <c r="BJ37" s="1186"/>
      <c r="BK37" s="1186"/>
      <c r="BL37" s="1186"/>
      <c r="BM37" s="1186"/>
      <c r="BN37" s="1186"/>
      <c r="BO37" s="1186"/>
      <c r="BP37" s="1186"/>
      <c r="BQ37" s="1186"/>
      <c r="BR37" s="1186"/>
      <c r="BS37" s="1186"/>
      <c r="BT37" s="1186"/>
      <c r="BU37" s="1186"/>
      <c r="BV37" s="1186"/>
      <c r="BW37" s="1186"/>
      <c r="BX37" s="1186"/>
      <c r="BY37" s="1186"/>
      <c r="BZ37" s="1186"/>
      <c r="CA37" s="1186"/>
      <c r="CB37" s="1186"/>
      <c r="CC37" s="1186"/>
      <c r="CD37" s="1186"/>
      <c r="CE37" s="1186"/>
      <c r="CF37" s="1186"/>
      <c r="CG37" s="1186"/>
      <c r="CH37" s="1186"/>
      <c r="CI37" s="1186"/>
      <c r="CJ37" s="1186"/>
      <c r="CK37" s="1186"/>
      <c r="CL37" s="1186"/>
      <c r="CM37" s="1186"/>
      <c r="CN37" s="1186"/>
      <c r="CO37" s="1186"/>
      <c r="CP37" s="1186"/>
      <c r="CQ37" s="1186"/>
      <c r="CR37" s="1186"/>
      <c r="CS37" s="1186"/>
      <c r="CT37" s="1186"/>
      <c r="CU37" s="1186"/>
      <c r="CV37" s="1186"/>
      <c r="CW37" s="1186"/>
      <c r="CX37" s="1186"/>
      <c r="CY37" s="1186"/>
      <c r="CZ37" s="1186"/>
      <c r="DA37" s="1186"/>
      <c r="DB37" s="1186"/>
      <c r="DC37" s="1186"/>
      <c r="DD37" s="1186"/>
      <c r="DE37" s="1186"/>
      <c r="DF37" s="1186"/>
      <c r="DG37" s="1186"/>
      <c r="DH37" s="1186"/>
      <c r="DI37" s="1186"/>
      <c r="DJ37" s="1186"/>
      <c r="DK37" s="1186"/>
      <c r="DL37" s="1186"/>
      <c r="DM37" s="1186"/>
      <c r="DN37" s="1186"/>
      <c r="DO37" s="1186"/>
      <c r="DP37" s="1186"/>
      <c r="DQ37" s="1186"/>
      <c r="DR37" s="1186"/>
      <c r="DS37" s="1186"/>
      <c r="DT37" s="1186"/>
      <c r="DU37" s="1186"/>
      <c r="DV37" s="1186"/>
      <c r="DW37" s="1186"/>
      <c r="DX37" s="1186"/>
      <c r="DY37" s="1186"/>
      <c r="DZ37" s="1186"/>
      <c r="EA37" s="1186"/>
      <c r="EB37" s="1186"/>
      <c r="EC37" s="1186"/>
      <c r="ED37" s="1186"/>
      <c r="EE37" s="1186"/>
      <c r="EF37" s="1186"/>
      <c r="EG37" s="1186"/>
      <c r="EH37" s="1186"/>
      <c r="EI37" s="1186"/>
      <c r="EJ37" s="1186"/>
      <c r="EK37" s="1186"/>
      <c r="EL37" s="1186"/>
      <c r="EM37" s="1186"/>
      <c r="EN37" s="1186"/>
      <c r="EO37" s="1186"/>
      <c r="EP37" s="1186"/>
      <c r="EQ37" s="1186"/>
      <c r="ER37" s="1186"/>
      <c r="ES37" s="1186"/>
      <c r="ET37" s="1186"/>
      <c r="EU37" s="1186"/>
      <c r="EV37" s="1186"/>
      <c r="EW37" s="1186"/>
      <c r="EX37" s="1186"/>
      <c r="EY37" s="1186"/>
      <c r="EZ37" s="1186"/>
      <c r="FA37" s="1186"/>
      <c r="FB37" s="1186"/>
      <c r="FC37" s="1186"/>
      <c r="FD37" s="1186"/>
      <c r="FE37" s="1186"/>
      <c r="FF37" s="1186"/>
      <c r="FG37" s="1186"/>
      <c r="FH37" s="1186"/>
      <c r="FI37" s="1186"/>
      <c r="FJ37" s="1186"/>
      <c r="FK37" s="1186"/>
      <c r="FL37" s="1186"/>
      <c r="FM37" s="1186"/>
      <c r="FN37" s="1186"/>
      <c r="FO37" s="1186"/>
      <c r="FP37" s="1186"/>
      <c r="FQ37" s="1186"/>
      <c r="FR37" s="1186"/>
      <c r="FS37" s="1186"/>
      <c r="FT37" s="1186"/>
      <c r="FU37" s="1186"/>
      <c r="FV37" s="1186"/>
      <c r="FW37" s="1186"/>
      <c r="FX37" s="1186"/>
      <c r="FY37" s="1186"/>
      <c r="FZ37" s="1186"/>
      <c r="GA37" s="1186"/>
      <c r="GB37" s="1186"/>
      <c r="GC37" s="1186"/>
      <c r="GD37" s="1186"/>
      <c r="GE37" s="1186"/>
    </row>
    <row r="38" spans="1:187" s="1197" customFormat="1" ht="21.5" customHeight="1">
      <c r="A38" s="1196"/>
      <c r="B38" s="2100" t="s">
        <v>1419</v>
      </c>
      <c r="C38" s="2101"/>
      <c r="D38" s="2101"/>
      <c r="E38" s="2101"/>
      <c r="F38" s="2101"/>
      <c r="G38" s="2101"/>
      <c r="H38" s="2102"/>
      <c r="I38" s="1195"/>
      <c r="J38" s="1186"/>
      <c r="K38" s="1186"/>
      <c r="L38" s="1186"/>
      <c r="M38" s="1186"/>
      <c r="N38" s="1186"/>
      <c r="O38" s="1186"/>
      <c r="P38" s="1186"/>
      <c r="Q38" s="1186"/>
      <c r="R38" s="1186"/>
      <c r="S38" s="1186"/>
      <c r="T38" s="1186"/>
      <c r="U38" s="1186"/>
      <c r="V38" s="1186"/>
      <c r="W38" s="1186"/>
      <c r="X38" s="1186"/>
      <c r="Y38" s="1186"/>
      <c r="Z38" s="1186"/>
      <c r="AA38" s="1186"/>
      <c r="AB38" s="1186"/>
      <c r="AC38" s="1186"/>
      <c r="AD38" s="1186"/>
      <c r="AE38" s="1186"/>
      <c r="AF38" s="1186"/>
      <c r="AG38" s="1186"/>
      <c r="AH38" s="1186"/>
      <c r="AI38" s="1186"/>
      <c r="AJ38" s="1186"/>
      <c r="AK38" s="1186"/>
      <c r="AL38" s="1186"/>
      <c r="AM38" s="1186"/>
      <c r="AN38" s="1186"/>
      <c r="AO38" s="1186"/>
      <c r="AP38" s="1186"/>
      <c r="AQ38" s="1186"/>
      <c r="AR38" s="1186"/>
      <c r="AS38" s="1186"/>
      <c r="AT38" s="1186"/>
      <c r="AU38" s="1186"/>
      <c r="AV38" s="1186"/>
      <c r="AW38" s="1186"/>
      <c r="AX38" s="1186"/>
      <c r="AY38" s="1186"/>
      <c r="AZ38" s="1186"/>
      <c r="BA38" s="1186"/>
      <c r="BB38" s="1186"/>
      <c r="BC38" s="1186"/>
      <c r="BD38" s="1186"/>
      <c r="BE38" s="1186"/>
      <c r="BF38" s="1186"/>
      <c r="BG38" s="1186"/>
      <c r="BH38" s="1186"/>
      <c r="BI38" s="1186"/>
      <c r="BJ38" s="1186"/>
      <c r="BK38" s="1186"/>
      <c r="BL38" s="1186"/>
      <c r="BM38" s="1186"/>
      <c r="BN38" s="1186"/>
      <c r="BO38" s="1186"/>
      <c r="BP38" s="1186"/>
      <c r="BQ38" s="1186"/>
      <c r="BR38" s="1186"/>
      <c r="BS38" s="1186"/>
      <c r="BT38" s="1186"/>
      <c r="BU38" s="1186"/>
      <c r="BV38" s="1186"/>
      <c r="BW38" s="1186"/>
      <c r="BX38" s="1186"/>
      <c r="BY38" s="1186"/>
      <c r="BZ38" s="1186"/>
      <c r="CA38" s="1186"/>
      <c r="CB38" s="1186"/>
      <c r="CC38" s="1186"/>
      <c r="CD38" s="1186"/>
      <c r="CE38" s="1186"/>
      <c r="CF38" s="1186"/>
      <c r="CG38" s="1186"/>
      <c r="CH38" s="1186"/>
      <c r="CI38" s="1186"/>
      <c r="CJ38" s="1186"/>
      <c r="CK38" s="1186"/>
      <c r="CL38" s="1186"/>
      <c r="CM38" s="1186"/>
      <c r="CN38" s="1186"/>
      <c r="CO38" s="1186"/>
      <c r="CP38" s="1186"/>
      <c r="CQ38" s="1186"/>
      <c r="CR38" s="1186"/>
      <c r="CS38" s="1186"/>
      <c r="CT38" s="1186"/>
      <c r="CU38" s="1186"/>
      <c r="CV38" s="1186"/>
      <c r="CW38" s="1186"/>
      <c r="CX38" s="1186"/>
      <c r="CY38" s="1186"/>
      <c r="CZ38" s="1186"/>
      <c r="DA38" s="1186"/>
      <c r="DB38" s="1186"/>
      <c r="DC38" s="1186"/>
      <c r="DD38" s="1186"/>
      <c r="DE38" s="1186"/>
      <c r="DF38" s="1186"/>
      <c r="DG38" s="1186"/>
      <c r="DH38" s="1186"/>
      <c r="DI38" s="1186"/>
      <c r="DJ38" s="1186"/>
      <c r="DK38" s="1186"/>
      <c r="DL38" s="1186"/>
      <c r="DM38" s="1186"/>
      <c r="DN38" s="1186"/>
      <c r="DO38" s="1186"/>
      <c r="DP38" s="1186"/>
      <c r="DQ38" s="1186"/>
      <c r="DR38" s="1186"/>
      <c r="DS38" s="1186"/>
      <c r="DT38" s="1186"/>
      <c r="DU38" s="1186"/>
      <c r="DV38" s="1186"/>
      <c r="DW38" s="1186"/>
      <c r="DX38" s="1186"/>
      <c r="DY38" s="1186"/>
      <c r="DZ38" s="1186"/>
      <c r="EA38" s="1186"/>
      <c r="EB38" s="1186"/>
      <c r="EC38" s="1186"/>
      <c r="ED38" s="1186"/>
      <c r="EE38" s="1186"/>
      <c r="EF38" s="1186"/>
      <c r="EG38" s="1186"/>
      <c r="EH38" s="1186"/>
      <c r="EI38" s="1186"/>
      <c r="EJ38" s="1186"/>
      <c r="EK38" s="1186"/>
      <c r="EL38" s="1186"/>
      <c r="EM38" s="1186"/>
      <c r="EN38" s="1186"/>
      <c r="EO38" s="1186"/>
      <c r="EP38" s="1186"/>
      <c r="EQ38" s="1186"/>
      <c r="ER38" s="1186"/>
      <c r="ES38" s="1186"/>
      <c r="ET38" s="1186"/>
      <c r="EU38" s="1186"/>
      <c r="EV38" s="1186"/>
      <c r="EW38" s="1186"/>
      <c r="EX38" s="1186"/>
      <c r="EY38" s="1186"/>
      <c r="EZ38" s="1186"/>
      <c r="FA38" s="1186"/>
      <c r="FB38" s="1186"/>
      <c r="FC38" s="1186"/>
      <c r="FD38" s="1186"/>
      <c r="FE38" s="1186"/>
      <c r="FF38" s="1186"/>
      <c r="FG38" s="1186"/>
      <c r="FH38" s="1186"/>
      <c r="FI38" s="1186"/>
      <c r="FJ38" s="1186"/>
      <c r="FK38" s="1186"/>
      <c r="FL38" s="1186"/>
      <c r="FM38" s="1186"/>
      <c r="FN38" s="1186"/>
      <c r="FO38" s="1186"/>
      <c r="FP38" s="1186"/>
      <c r="FQ38" s="1186"/>
      <c r="FR38" s="1186"/>
      <c r="FS38" s="1186"/>
      <c r="FT38" s="1186"/>
      <c r="FU38" s="1186"/>
      <c r="FV38" s="1186"/>
      <c r="FW38" s="1186"/>
      <c r="FX38" s="1186"/>
      <c r="FY38" s="1186"/>
      <c r="FZ38" s="1186"/>
      <c r="GA38" s="1186"/>
      <c r="GB38" s="1186"/>
      <c r="GC38" s="1186"/>
      <c r="GD38" s="1186"/>
      <c r="GE38" s="1186"/>
    </row>
    <row r="39" spans="1:187" s="1197" customFormat="1" ht="14">
      <c r="A39" s="1196"/>
      <c r="B39" s="2109" t="s">
        <v>1420</v>
      </c>
      <c r="C39" s="2110"/>
      <c r="D39" s="2110"/>
      <c r="E39" s="2110"/>
      <c r="F39" s="2110"/>
      <c r="G39" s="2110"/>
      <c r="H39" s="2111"/>
      <c r="I39" s="1195"/>
      <c r="J39" s="1186"/>
      <c r="K39" s="1186"/>
      <c r="L39" s="1186"/>
      <c r="M39" s="1186"/>
      <c r="N39" s="1186"/>
      <c r="O39" s="1186"/>
      <c r="P39" s="1186"/>
      <c r="Q39" s="1186"/>
      <c r="R39" s="1186"/>
      <c r="S39" s="1186"/>
      <c r="T39" s="1186"/>
      <c r="U39" s="1186"/>
      <c r="V39" s="1186"/>
      <c r="W39" s="1186"/>
      <c r="X39" s="1186"/>
      <c r="Y39" s="1186"/>
      <c r="Z39" s="1186"/>
      <c r="AA39" s="1186"/>
      <c r="AB39" s="1186"/>
      <c r="AC39" s="1186"/>
      <c r="AD39" s="1186"/>
      <c r="AE39" s="1186"/>
      <c r="AF39" s="1186"/>
      <c r="AG39" s="1186"/>
      <c r="AH39" s="1186"/>
      <c r="AI39" s="1186"/>
      <c r="AJ39" s="1186"/>
      <c r="AK39" s="1186"/>
      <c r="AL39" s="1186"/>
      <c r="AM39" s="1186"/>
      <c r="AN39" s="1186"/>
      <c r="AO39" s="1186"/>
      <c r="AP39" s="1186"/>
      <c r="AQ39" s="1186"/>
      <c r="AR39" s="1186"/>
      <c r="AS39" s="1186"/>
      <c r="AT39" s="1186"/>
      <c r="AU39" s="1186"/>
      <c r="AV39" s="1186"/>
      <c r="AW39" s="1186"/>
      <c r="AX39" s="1186"/>
      <c r="AY39" s="1186"/>
      <c r="AZ39" s="1186"/>
      <c r="BA39" s="1186"/>
      <c r="BB39" s="1186"/>
      <c r="BC39" s="1186"/>
      <c r="BD39" s="1186"/>
      <c r="BE39" s="1186"/>
      <c r="BF39" s="1186"/>
      <c r="BG39" s="1186"/>
      <c r="BH39" s="1186"/>
      <c r="BI39" s="1186"/>
      <c r="BJ39" s="1186"/>
      <c r="BK39" s="1186"/>
      <c r="BL39" s="1186"/>
      <c r="BM39" s="1186"/>
      <c r="BN39" s="1186"/>
      <c r="BO39" s="1186"/>
      <c r="BP39" s="1186"/>
      <c r="BQ39" s="1186"/>
      <c r="BR39" s="1186"/>
      <c r="BS39" s="1186"/>
      <c r="BT39" s="1186"/>
      <c r="BU39" s="1186"/>
      <c r="BV39" s="1186"/>
      <c r="BW39" s="1186"/>
      <c r="BX39" s="1186"/>
      <c r="BY39" s="1186"/>
      <c r="BZ39" s="1186"/>
      <c r="CA39" s="1186"/>
      <c r="CB39" s="1186"/>
      <c r="CC39" s="1186"/>
      <c r="CD39" s="1186"/>
      <c r="CE39" s="1186"/>
      <c r="CF39" s="1186"/>
      <c r="CG39" s="1186"/>
      <c r="CH39" s="1186"/>
      <c r="CI39" s="1186"/>
      <c r="CJ39" s="1186"/>
      <c r="CK39" s="1186"/>
      <c r="CL39" s="1186"/>
      <c r="CM39" s="1186"/>
      <c r="CN39" s="1186"/>
      <c r="CO39" s="1186"/>
      <c r="CP39" s="1186"/>
      <c r="CQ39" s="1186"/>
      <c r="CR39" s="1186"/>
      <c r="CS39" s="1186"/>
      <c r="CT39" s="1186"/>
      <c r="CU39" s="1186"/>
      <c r="CV39" s="1186"/>
      <c r="CW39" s="1186"/>
      <c r="CX39" s="1186"/>
      <c r="CY39" s="1186"/>
      <c r="CZ39" s="1186"/>
      <c r="DA39" s="1186"/>
      <c r="DB39" s="1186"/>
      <c r="DC39" s="1186"/>
      <c r="DD39" s="1186"/>
      <c r="DE39" s="1186"/>
      <c r="DF39" s="1186"/>
      <c r="DG39" s="1186"/>
      <c r="DH39" s="1186"/>
      <c r="DI39" s="1186"/>
      <c r="DJ39" s="1186"/>
      <c r="DK39" s="1186"/>
      <c r="DL39" s="1186"/>
      <c r="DM39" s="1186"/>
      <c r="DN39" s="1186"/>
      <c r="DO39" s="1186"/>
      <c r="DP39" s="1186"/>
      <c r="DQ39" s="1186"/>
      <c r="DR39" s="1186"/>
      <c r="DS39" s="1186"/>
      <c r="DT39" s="1186"/>
      <c r="DU39" s="1186"/>
      <c r="DV39" s="1186"/>
      <c r="DW39" s="1186"/>
      <c r="DX39" s="1186"/>
      <c r="DY39" s="1186"/>
      <c r="DZ39" s="1186"/>
      <c r="EA39" s="1186"/>
      <c r="EB39" s="1186"/>
      <c r="EC39" s="1186"/>
      <c r="ED39" s="1186"/>
      <c r="EE39" s="1186"/>
      <c r="EF39" s="1186"/>
      <c r="EG39" s="1186"/>
      <c r="EH39" s="1186"/>
      <c r="EI39" s="1186"/>
      <c r="EJ39" s="1186"/>
      <c r="EK39" s="1186"/>
      <c r="EL39" s="1186"/>
      <c r="EM39" s="1186"/>
      <c r="EN39" s="1186"/>
      <c r="EO39" s="1186"/>
      <c r="EP39" s="1186"/>
      <c r="EQ39" s="1186"/>
      <c r="ER39" s="1186"/>
      <c r="ES39" s="1186"/>
      <c r="ET39" s="1186"/>
      <c r="EU39" s="1186"/>
      <c r="EV39" s="1186"/>
      <c r="EW39" s="1186"/>
      <c r="EX39" s="1186"/>
      <c r="EY39" s="1186"/>
      <c r="EZ39" s="1186"/>
      <c r="FA39" s="1186"/>
      <c r="FB39" s="1186"/>
      <c r="FC39" s="1186"/>
      <c r="FD39" s="1186"/>
      <c r="FE39" s="1186"/>
      <c r="FF39" s="1186"/>
      <c r="FG39" s="1186"/>
      <c r="FH39" s="1186"/>
      <c r="FI39" s="1186"/>
      <c r="FJ39" s="1186"/>
      <c r="FK39" s="1186"/>
      <c r="FL39" s="1186"/>
      <c r="FM39" s="1186"/>
      <c r="FN39" s="1186"/>
      <c r="FO39" s="1186"/>
      <c r="FP39" s="1186"/>
      <c r="FQ39" s="1186"/>
      <c r="FR39" s="1186"/>
      <c r="FS39" s="1186"/>
      <c r="FT39" s="1186"/>
      <c r="FU39" s="1186"/>
      <c r="FV39" s="1186"/>
      <c r="FW39" s="1186"/>
      <c r="FX39" s="1186"/>
      <c r="FY39" s="1186"/>
      <c r="FZ39" s="1186"/>
      <c r="GA39" s="1186"/>
      <c r="GB39" s="1186"/>
      <c r="GC39" s="1186"/>
      <c r="GD39" s="1186"/>
      <c r="GE39" s="1186"/>
    </row>
    <row r="40" spans="1:187" s="1197" customFormat="1" ht="14">
      <c r="A40" s="1196"/>
      <c r="B40" s="535"/>
      <c r="C40" s="1215"/>
      <c r="D40" s="1206"/>
      <c r="E40" s="1206"/>
      <c r="F40" s="1207"/>
      <c r="G40" s="1204"/>
      <c r="H40" s="1208" t="str">
        <f>IF(B40="","",ROUND(B40*E40*F40*G40,0))</f>
        <v/>
      </c>
      <c r="I40" s="1195"/>
      <c r="J40" s="1186"/>
      <c r="K40" s="1186"/>
      <c r="L40" s="1186"/>
      <c r="M40" s="1186"/>
      <c r="N40" s="1186"/>
      <c r="O40" s="1186"/>
      <c r="P40" s="1186"/>
      <c r="Q40" s="1186"/>
      <c r="R40" s="1186"/>
      <c r="S40" s="1186"/>
      <c r="T40" s="1186"/>
      <c r="U40" s="1186"/>
      <c r="V40" s="1186"/>
      <c r="W40" s="1186"/>
      <c r="X40" s="1186"/>
      <c r="Y40" s="1186"/>
      <c r="Z40" s="1186"/>
      <c r="AA40" s="1186"/>
      <c r="AB40" s="1186"/>
      <c r="AC40" s="1186"/>
      <c r="AD40" s="1186"/>
      <c r="AE40" s="1186"/>
      <c r="AF40" s="1186"/>
      <c r="AG40" s="1186"/>
      <c r="AH40" s="1186"/>
      <c r="AI40" s="1186"/>
      <c r="AJ40" s="1186"/>
      <c r="AK40" s="1186"/>
      <c r="AL40" s="1186"/>
      <c r="AM40" s="1186"/>
      <c r="AN40" s="1186"/>
      <c r="AO40" s="1186"/>
      <c r="AP40" s="1186"/>
      <c r="AQ40" s="1186"/>
      <c r="AR40" s="1186"/>
      <c r="AS40" s="1186"/>
      <c r="AT40" s="1186"/>
      <c r="AU40" s="1186"/>
      <c r="AV40" s="1186"/>
      <c r="AW40" s="1186"/>
      <c r="AX40" s="1186"/>
      <c r="AY40" s="1186"/>
      <c r="AZ40" s="1186"/>
      <c r="BA40" s="1186"/>
      <c r="BB40" s="1186"/>
      <c r="BC40" s="1186"/>
      <c r="BD40" s="1186"/>
      <c r="BE40" s="1186"/>
      <c r="BF40" s="1186"/>
      <c r="BG40" s="1186"/>
      <c r="BH40" s="1186"/>
      <c r="BI40" s="1186"/>
      <c r="BJ40" s="1186"/>
      <c r="BK40" s="1186"/>
      <c r="BL40" s="1186"/>
      <c r="BM40" s="1186"/>
      <c r="BN40" s="1186"/>
      <c r="BO40" s="1186"/>
      <c r="BP40" s="1186"/>
      <c r="BQ40" s="1186"/>
      <c r="BR40" s="1186"/>
      <c r="BS40" s="1186"/>
      <c r="BT40" s="1186"/>
      <c r="BU40" s="1186"/>
      <c r="BV40" s="1186"/>
      <c r="BW40" s="1186"/>
      <c r="BX40" s="1186"/>
      <c r="BY40" s="1186"/>
      <c r="BZ40" s="1186"/>
      <c r="CA40" s="1186"/>
      <c r="CB40" s="1186"/>
      <c r="CC40" s="1186"/>
      <c r="CD40" s="1186"/>
      <c r="CE40" s="1186"/>
      <c r="CF40" s="1186"/>
      <c r="CG40" s="1186"/>
      <c r="CH40" s="1186"/>
      <c r="CI40" s="1186"/>
      <c r="CJ40" s="1186"/>
      <c r="CK40" s="1186"/>
      <c r="CL40" s="1186"/>
      <c r="CM40" s="1186"/>
      <c r="CN40" s="1186"/>
      <c r="CO40" s="1186"/>
      <c r="CP40" s="1186"/>
      <c r="CQ40" s="1186"/>
      <c r="CR40" s="1186"/>
      <c r="CS40" s="1186"/>
      <c r="CT40" s="1186"/>
      <c r="CU40" s="1186"/>
      <c r="CV40" s="1186"/>
      <c r="CW40" s="1186"/>
      <c r="CX40" s="1186"/>
      <c r="CY40" s="1186"/>
      <c r="CZ40" s="1186"/>
      <c r="DA40" s="1186"/>
      <c r="DB40" s="1186"/>
      <c r="DC40" s="1186"/>
      <c r="DD40" s="1186"/>
      <c r="DE40" s="1186"/>
      <c r="DF40" s="1186"/>
      <c r="DG40" s="1186"/>
      <c r="DH40" s="1186"/>
      <c r="DI40" s="1186"/>
      <c r="DJ40" s="1186"/>
      <c r="DK40" s="1186"/>
      <c r="DL40" s="1186"/>
      <c r="DM40" s="1186"/>
      <c r="DN40" s="1186"/>
      <c r="DO40" s="1186"/>
      <c r="DP40" s="1186"/>
      <c r="DQ40" s="1186"/>
      <c r="DR40" s="1186"/>
      <c r="DS40" s="1186"/>
      <c r="DT40" s="1186"/>
      <c r="DU40" s="1186"/>
      <c r="DV40" s="1186"/>
      <c r="DW40" s="1186"/>
      <c r="DX40" s="1186"/>
      <c r="DY40" s="1186"/>
      <c r="DZ40" s="1186"/>
      <c r="EA40" s="1186"/>
      <c r="EB40" s="1186"/>
      <c r="EC40" s="1186"/>
      <c r="ED40" s="1186"/>
      <c r="EE40" s="1186"/>
      <c r="EF40" s="1186"/>
      <c r="EG40" s="1186"/>
      <c r="EH40" s="1186"/>
      <c r="EI40" s="1186"/>
      <c r="EJ40" s="1186"/>
      <c r="EK40" s="1186"/>
      <c r="EL40" s="1186"/>
      <c r="EM40" s="1186"/>
      <c r="EN40" s="1186"/>
      <c r="EO40" s="1186"/>
      <c r="EP40" s="1186"/>
      <c r="EQ40" s="1186"/>
      <c r="ER40" s="1186"/>
      <c r="ES40" s="1186"/>
      <c r="ET40" s="1186"/>
      <c r="EU40" s="1186"/>
      <c r="EV40" s="1186"/>
      <c r="EW40" s="1186"/>
      <c r="EX40" s="1186"/>
      <c r="EY40" s="1186"/>
      <c r="EZ40" s="1186"/>
      <c r="FA40" s="1186"/>
      <c r="FB40" s="1186"/>
      <c r="FC40" s="1186"/>
      <c r="FD40" s="1186"/>
      <c r="FE40" s="1186"/>
      <c r="FF40" s="1186"/>
      <c r="FG40" s="1186"/>
      <c r="FH40" s="1186"/>
      <c r="FI40" s="1186"/>
      <c r="FJ40" s="1186"/>
      <c r="FK40" s="1186"/>
      <c r="FL40" s="1186"/>
      <c r="FM40" s="1186"/>
      <c r="FN40" s="1186"/>
      <c r="FO40" s="1186"/>
      <c r="FP40" s="1186"/>
      <c r="FQ40" s="1186"/>
      <c r="FR40" s="1186"/>
      <c r="FS40" s="1186"/>
      <c r="FT40" s="1186"/>
      <c r="FU40" s="1186"/>
      <c r="FV40" s="1186"/>
      <c r="FW40" s="1186"/>
      <c r="FX40" s="1186"/>
      <c r="FY40" s="1186"/>
      <c r="FZ40" s="1186"/>
      <c r="GA40" s="1186"/>
      <c r="GB40" s="1186"/>
      <c r="GC40" s="1186"/>
      <c r="GD40" s="1186"/>
      <c r="GE40" s="1186"/>
    </row>
    <row r="41" spans="1:187" s="1197" customFormat="1" ht="14">
      <c r="A41" s="1196"/>
      <c r="B41" s="535"/>
      <c r="C41" s="1215"/>
      <c r="D41" s="1206"/>
      <c r="E41" s="1206"/>
      <c r="F41" s="1207"/>
      <c r="G41" s="1204"/>
      <c r="H41" s="1208" t="str">
        <f>IF(B41="","",ROUND(B41*E41*F41*G41,0))</f>
        <v/>
      </c>
      <c r="I41" s="1195"/>
      <c r="J41" s="1186"/>
      <c r="K41" s="1186"/>
      <c r="L41" s="1186"/>
      <c r="M41" s="1186"/>
      <c r="N41" s="1186"/>
      <c r="O41" s="1186"/>
      <c r="P41" s="1186"/>
      <c r="Q41" s="1186"/>
      <c r="R41" s="1186"/>
      <c r="S41" s="1186"/>
      <c r="T41" s="1186"/>
      <c r="U41" s="1186"/>
      <c r="V41" s="1186"/>
      <c r="W41" s="1186"/>
      <c r="X41" s="1186"/>
      <c r="Y41" s="1186"/>
      <c r="Z41" s="1186"/>
      <c r="AA41" s="1186"/>
      <c r="AB41" s="1186"/>
      <c r="AC41" s="1186"/>
      <c r="AD41" s="1186"/>
      <c r="AE41" s="1186"/>
      <c r="AF41" s="1186"/>
      <c r="AG41" s="1186"/>
      <c r="AH41" s="1186"/>
      <c r="AI41" s="1186"/>
      <c r="AJ41" s="1186"/>
      <c r="AK41" s="1186"/>
      <c r="AL41" s="1186"/>
      <c r="AM41" s="1186"/>
      <c r="AN41" s="1186"/>
      <c r="AO41" s="1186"/>
      <c r="AP41" s="1186"/>
      <c r="AQ41" s="1186"/>
      <c r="AR41" s="1186"/>
      <c r="AS41" s="1186"/>
      <c r="AT41" s="1186"/>
      <c r="AU41" s="1186"/>
      <c r="AV41" s="1186"/>
      <c r="AW41" s="1186"/>
      <c r="AX41" s="1186"/>
      <c r="AY41" s="1186"/>
      <c r="AZ41" s="1186"/>
      <c r="BA41" s="1186"/>
      <c r="BB41" s="1186"/>
      <c r="BC41" s="1186"/>
      <c r="BD41" s="1186"/>
      <c r="BE41" s="1186"/>
      <c r="BF41" s="1186"/>
      <c r="BG41" s="1186"/>
      <c r="BH41" s="1186"/>
      <c r="BI41" s="1186"/>
      <c r="BJ41" s="1186"/>
      <c r="BK41" s="1186"/>
      <c r="BL41" s="1186"/>
      <c r="BM41" s="1186"/>
      <c r="BN41" s="1186"/>
      <c r="BO41" s="1186"/>
      <c r="BP41" s="1186"/>
      <c r="BQ41" s="1186"/>
      <c r="BR41" s="1186"/>
      <c r="BS41" s="1186"/>
      <c r="BT41" s="1186"/>
      <c r="BU41" s="1186"/>
      <c r="BV41" s="1186"/>
      <c r="BW41" s="1186"/>
      <c r="BX41" s="1186"/>
      <c r="BY41" s="1186"/>
      <c r="BZ41" s="1186"/>
      <c r="CA41" s="1186"/>
      <c r="CB41" s="1186"/>
      <c r="CC41" s="1186"/>
      <c r="CD41" s="1186"/>
      <c r="CE41" s="1186"/>
      <c r="CF41" s="1186"/>
      <c r="CG41" s="1186"/>
      <c r="CH41" s="1186"/>
      <c r="CI41" s="1186"/>
      <c r="CJ41" s="1186"/>
      <c r="CK41" s="1186"/>
      <c r="CL41" s="1186"/>
      <c r="CM41" s="1186"/>
      <c r="CN41" s="1186"/>
      <c r="CO41" s="1186"/>
      <c r="CP41" s="1186"/>
      <c r="CQ41" s="1186"/>
      <c r="CR41" s="1186"/>
      <c r="CS41" s="1186"/>
      <c r="CT41" s="1186"/>
      <c r="CU41" s="1186"/>
      <c r="CV41" s="1186"/>
      <c r="CW41" s="1186"/>
      <c r="CX41" s="1186"/>
      <c r="CY41" s="1186"/>
      <c r="CZ41" s="1186"/>
      <c r="DA41" s="1186"/>
      <c r="DB41" s="1186"/>
      <c r="DC41" s="1186"/>
      <c r="DD41" s="1186"/>
      <c r="DE41" s="1186"/>
      <c r="DF41" s="1186"/>
      <c r="DG41" s="1186"/>
      <c r="DH41" s="1186"/>
      <c r="DI41" s="1186"/>
      <c r="DJ41" s="1186"/>
      <c r="DK41" s="1186"/>
      <c r="DL41" s="1186"/>
      <c r="DM41" s="1186"/>
      <c r="DN41" s="1186"/>
      <c r="DO41" s="1186"/>
      <c r="DP41" s="1186"/>
      <c r="DQ41" s="1186"/>
      <c r="DR41" s="1186"/>
      <c r="DS41" s="1186"/>
      <c r="DT41" s="1186"/>
      <c r="DU41" s="1186"/>
      <c r="DV41" s="1186"/>
      <c r="DW41" s="1186"/>
      <c r="DX41" s="1186"/>
      <c r="DY41" s="1186"/>
      <c r="DZ41" s="1186"/>
      <c r="EA41" s="1186"/>
      <c r="EB41" s="1186"/>
      <c r="EC41" s="1186"/>
      <c r="ED41" s="1186"/>
      <c r="EE41" s="1186"/>
      <c r="EF41" s="1186"/>
      <c r="EG41" s="1186"/>
      <c r="EH41" s="1186"/>
      <c r="EI41" s="1186"/>
      <c r="EJ41" s="1186"/>
      <c r="EK41" s="1186"/>
      <c r="EL41" s="1186"/>
      <c r="EM41" s="1186"/>
      <c r="EN41" s="1186"/>
      <c r="EO41" s="1186"/>
      <c r="EP41" s="1186"/>
      <c r="EQ41" s="1186"/>
      <c r="ER41" s="1186"/>
      <c r="ES41" s="1186"/>
      <c r="ET41" s="1186"/>
      <c r="EU41" s="1186"/>
      <c r="EV41" s="1186"/>
      <c r="EW41" s="1186"/>
      <c r="EX41" s="1186"/>
      <c r="EY41" s="1186"/>
      <c r="EZ41" s="1186"/>
      <c r="FA41" s="1186"/>
      <c r="FB41" s="1186"/>
      <c r="FC41" s="1186"/>
      <c r="FD41" s="1186"/>
      <c r="FE41" s="1186"/>
      <c r="FF41" s="1186"/>
      <c r="FG41" s="1186"/>
      <c r="FH41" s="1186"/>
      <c r="FI41" s="1186"/>
      <c r="FJ41" s="1186"/>
      <c r="FK41" s="1186"/>
      <c r="FL41" s="1186"/>
      <c r="FM41" s="1186"/>
      <c r="FN41" s="1186"/>
      <c r="FO41" s="1186"/>
      <c r="FP41" s="1186"/>
      <c r="FQ41" s="1186"/>
      <c r="FR41" s="1186"/>
      <c r="FS41" s="1186"/>
      <c r="FT41" s="1186"/>
      <c r="FU41" s="1186"/>
      <c r="FV41" s="1186"/>
      <c r="FW41" s="1186"/>
      <c r="FX41" s="1186"/>
      <c r="FY41" s="1186"/>
      <c r="FZ41" s="1186"/>
      <c r="GA41" s="1186"/>
      <c r="GB41" s="1186"/>
      <c r="GC41" s="1186"/>
      <c r="GD41" s="1186"/>
      <c r="GE41" s="1186"/>
    </row>
    <row r="42" spans="1:187" s="1197" customFormat="1" ht="14">
      <c r="A42" s="1196"/>
      <c r="B42" s="535"/>
      <c r="C42" s="1215"/>
      <c r="D42" s="1206"/>
      <c r="E42" s="1206"/>
      <c r="F42" s="1207"/>
      <c r="G42" s="1204"/>
      <c r="H42" s="1208" t="str">
        <f>IF(B42="","",ROUND(B42*E42*F42*G42,0))</f>
        <v/>
      </c>
      <c r="I42" s="1195"/>
      <c r="J42" s="1186"/>
      <c r="K42" s="1186"/>
      <c r="L42" s="1186"/>
      <c r="M42" s="1186"/>
      <c r="N42" s="1186"/>
      <c r="O42" s="1186"/>
      <c r="P42" s="1186"/>
      <c r="Q42" s="1186"/>
      <c r="R42" s="1186"/>
      <c r="S42" s="1186"/>
      <c r="T42" s="1186"/>
      <c r="U42" s="1186"/>
      <c r="V42" s="1186"/>
      <c r="W42" s="1186"/>
      <c r="X42" s="1186"/>
      <c r="Y42" s="1186"/>
      <c r="Z42" s="1186"/>
      <c r="AA42" s="1186"/>
      <c r="AB42" s="1186"/>
      <c r="AC42" s="1186"/>
      <c r="AD42" s="1186"/>
      <c r="AE42" s="1186"/>
      <c r="AF42" s="1186"/>
      <c r="AG42" s="1186"/>
      <c r="AH42" s="1186"/>
      <c r="AI42" s="1186"/>
      <c r="AJ42" s="1186"/>
      <c r="AK42" s="1186"/>
      <c r="AL42" s="1186"/>
      <c r="AM42" s="1186"/>
      <c r="AN42" s="1186"/>
      <c r="AO42" s="1186"/>
      <c r="AP42" s="1186"/>
      <c r="AQ42" s="1186"/>
      <c r="AR42" s="1186"/>
      <c r="AS42" s="1186"/>
      <c r="AT42" s="1186"/>
      <c r="AU42" s="1186"/>
      <c r="AV42" s="1186"/>
      <c r="AW42" s="1186"/>
      <c r="AX42" s="1186"/>
      <c r="AY42" s="1186"/>
      <c r="AZ42" s="1186"/>
      <c r="BA42" s="1186"/>
      <c r="BB42" s="1186"/>
      <c r="BC42" s="1186"/>
      <c r="BD42" s="1186"/>
      <c r="BE42" s="1186"/>
      <c r="BF42" s="1186"/>
      <c r="BG42" s="1186"/>
      <c r="BH42" s="1186"/>
      <c r="BI42" s="1186"/>
      <c r="BJ42" s="1186"/>
      <c r="BK42" s="1186"/>
      <c r="BL42" s="1186"/>
      <c r="BM42" s="1186"/>
      <c r="BN42" s="1186"/>
      <c r="BO42" s="1186"/>
      <c r="BP42" s="1186"/>
      <c r="BQ42" s="1186"/>
      <c r="BR42" s="1186"/>
      <c r="BS42" s="1186"/>
      <c r="BT42" s="1186"/>
      <c r="BU42" s="1186"/>
      <c r="BV42" s="1186"/>
      <c r="BW42" s="1186"/>
      <c r="BX42" s="1186"/>
      <c r="BY42" s="1186"/>
      <c r="BZ42" s="1186"/>
      <c r="CA42" s="1186"/>
      <c r="CB42" s="1186"/>
      <c r="CC42" s="1186"/>
      <c r="CD42" s="1186"/>
      <c r="CE42" s="1186"/>
      <c r="CF42" s="1186"/>
      <c r="CG42" s="1186"/>
      <c r="CH42" s="1186"/>
      <c r="CI42" s="1186"/>
      <c r="CJ42" s="1186"/>
      <c r="CK42" s="1186"/>
      <c r="CL42" s="1186"/>
      <c r="CM42" s="1186"/>
      <c r="CN42" s="1186"/>
      <c r="CO42" s="1186"/>
      <c r="CP42" s="1186"/>
      <c r="CQ42" s="1186"/>
      <c r="CR42" s="1186"/>
      <c r="CS42" s="1186"/>
      <c r="CT42" s="1186"/>
      <c r="CU42" s="1186"/>
      <c r="CV42" s="1186"/>
      <c r="CW42" s="1186"/>
      <c r="CX42" s="1186"/>
      <c r="CY42" s="1186"/>
      <c r="CZ42" s="1186"/>
      <c r="DA42" s="1186"/>
      <c r="DB42" s="1186"/>
      <c r="DC42" s="1186"/>
      <c r="DD42" s="1186"/>
      <c r="DE42" s="1186"/>
      <c r="DF42" s="1186"/>
      <c r="DG42" s="1186"/>
      <c r="DH42" s="1186"/>
      <c r="DI42" s="1186"/>
      <c r="DJ42" s="1186"/>
      <c r="DK42" s="1186"/>
      <c r="DL42" s="1186"/>
      <c r="DM42" s="1186"/>
      <c r="DN42" s="1186"/>
      <c r="DO42" s="1186"/>
      <c r="DP42" s="1186"/>
      <c r="DQ42" s="1186"/>
      <c r="DR42" s="1186"/>
      <c r="DS42" s="1186"/>
      <c r="DT42" s="1186"/>
      <c r="DU42" s="1186"/>
      <c r="DV42" s="1186"/>
      <c r="DW42" s="1186"/>
      <c r="DX42" s="1186"/>
      <c r="DY42" s="1186"/>
      <c r="DZ42" s="1186"/>
      <c r="EA42" s="1186"/>
      <c r="EB42" s="1186"/>
      <c r="EC42" s="1186"/>
      <c r="ED42" s="1186"/>
      <c r="EE42" s="1186"/>
      <c r="EF42" s="1186"/>
      <c r="EG42" s="1186"/>
      <c r="EH42" s="1186"/>
      <c r="EI42" s="1186"/>
      <c r="EJ42" s="1186"/>
      <c r="EK42" s="1186"/>
      <c r="EL42" s="1186"/>
      <c r="EM42" s="1186"/>
      <c r="EN42" s="1186"/>
      <c r="EO42" s="1186"/>
      <c r="EP42" s="1186"/>
      <c r="EQ42" s="1186"/>
      <c r="ER42" s="1186"/>
      <c r="ES42" s="1186"/>
      <c r="ET42" s="1186"/>
      <c r="EU42" s="1186"/>
      <c r="EV42" s="1186"/>
      <c r="EW42" s="1186"/>
      <c r="EX42" s="1186"/>
      <c r="EY42" s="1186"/>
      <c r="EZ42" s="1186"/>
      <c r="FA42" s="1186"/>
      <c r="FB42" s="1186"/>
      <c r="FC42" s="1186"/>
      <c r="FD42" s="1186"/>
      <c r="FE42" s="1186"/>
      <c r="FF42" s="1186"/>
      <c r="FG42" s="1186"/>
      <c r="FH42" s="1186"/>
      <c r="FI42" s="1186"/>
      <c r="FJ42" s="1186"/>
      <c r="FK42" s="1186"/>
      <c r="FL42" s="1186"/>
      <c r="FM42" s="1186"/>
      <c r="FN42" s="1186"/>
      <c r="FO42" s="1186"/>
      <c r="FP42" s="1186"/>
      <c r="FQ42" s="1186"/>
      <c r="FR42" s="1186"/>
      <c r="FS42" s="1186"/>
      <c r="FT42" s="1186"/>
      <c r="FU42" s="1186"/>
      <c r="FV42" s="1186"/>
      <c r="FW42" s="1186"/>
      <c r="FX42" s="1186"/>
      <c r="FY42" s="1186"/>
      <c r="FZ42" s="1186"/>
      <c r="GA42" s="1186"/>
      <c r="GB42" s="1186"/>
      <c r="GC42" s="1186"/>
      <c r="GD42" s="1186"/>
      <c r="GE42" s="1186"/>
    </row>
    <row r="43" spans="1:187" s="1197" customFormat="1" ht="14">
      <c r="A43" s="1196"/>
      <c r="B43" s="535"/>
      <c r="C43" s="1215"/>
      <c r="D43" s="1206"/>
      <c r="E43" s="1206"/>
      <c r="F43" s="1207"/>
      <c r="G43" s="1204"/>
      <c r="H43" s="1208" t="str">
        <f>IF(B43="","",ROUND(B43*E43*F43*G43,0))</f>
        <v/>
      </c>
      <c r="I43" s="1195"/>
      <c r="J43" s="1186"/>
      <c r="K43" s="1186"/>
      <c r="L43" s="1186"/>
      <c r="M43" s="1186"/>
      <c r="N43" s="1186"/>
      <c r="O43" s="1186"/>
      <c r="P43" s="1186"/>
      <c r="Q43" s="1186"/>
      <c r="R43" s="1186"/>
      <c r="S43" s="1186"/>
      <c r="T43" s="1186"/>
      <c r="U43" s="1186"/>
      <c r="V43" s="1186"/>
      <c r="W43" s="1186"/>
      <c r="X43" s="1186"/>
      <c r="Y43" s="1186"/>
      <c r="Z43" s="1186"/>
      <c r="AA43" s="1186"/>
      <c r="AB43" s="1186"/>
      <c r="AC43" s="1186"/>
      <c r="AD43" s="1186"/>
      <c r="AE43" s="1186"/>
      <c r="AF43" s="1186"/>
      <c r="AG43" s="1186"/>
      <c r="AH43" s="1186"/>
      <c r="AI43" s="1186"/>
      <c r="AJ43" s="1186"/>
      <c r="AK43" s="1186"/>
      <c r="AL43" s="1186"/>
      <c r="AM43" s="1186"/>
      <c r="AN43" s="1186"/>
      <c r="AO43" s="1186"/>
      <c r="AP43" s="1186"/>
      <c r="AQ43" s="1186"/>
      <c r="AR43" s="1186"/>
      <c r="AS43" s="1186"/>
      <c r="AT43" s="1186"/>
      <c r="AU43" s="1186"/>
      <c r="AV43" s="1186"/>
      <c r="AW43" s="1186"/>
      <c r="AX43" s="1186"/>
      <c r="AY43" s="1186"/>
      <c r="AZ43" s="1186"/>
      <c r="BA43" s="1186"/>
      <c r="BB43" s="1186"/>
      <c r="BC43" s="1186"/>
      <c r="BD43" s="1186"/>
      <c r="BE43" s="1186"/>
      <c r="BF43" s="1186"/>
      <c r="BG43" s="1186"/>
      <c r="BH43" s="1186"/>
      <c r="BI43" s="1186"/>
      <c r="BJ43" s="1186"/>
      <c r="BK43" s="1186"/>
      <c r="BL43" s="1186"/>
      <c r="BM43" s="1186"/>
      <c r="BN43" s="1186"/>
      <c r="BO43" s="1186"/>
      <c r="BP43" s="1186"/>
      <c r="BQ43" s="1186"/>
      <c r="BR43" s="1186"/>
      <c r="BS43" s="1186"/>
      <c r="BT43" s="1186"/>
      <c r="BU43" s="1186"/>
      <c r="BV43" s="1186"/>
      <c r="BW43" s="1186"/>
      <c r="BX43" s="1186"/>
      <c r="BY43" s="1186"/>
      <c r="BZ43" s="1186"/>
      <c r="CA43" s="1186"/>
      <c r="CB43" s="1186"/>
      <c r="CC43" s="1186"/>
      <c r="CD43" s="1186"/>
      <c r="CE43" s="1186"/>
      <c r="CF43" s="1186"/>
      <c r="CG43" s="1186"/>
      <c r="CH43" s="1186"/>
      <c r="CI43" s="1186"/>
      <c r="CJ43" s="1186"/>
      <c r="CK43" s="1186"/>
      <c r="CL43" s="1186"/>
      <c r="CM43" s="1186"/>
      <c r="CN43" s="1186"/>
      <c r="CO43" s="1186"/>
      <c r="CP43" s="1186"/>
      <c r="CQ43" s="1186"/>
      <c r="CR43" s="1186"/>
      <c r="CS43" s="1186"/>
      <c r="CT43" s="1186"/>
      <c r="CU43" s="1186"/>
      <c r="CV43" s="1186"/>
      <c r="CW43" s="1186"/>
      <c r="CX43" s="1186"/>
      <c r="CY43" s="1186"/>
      <c r="CZ43" s="1186"/>
      <c r="DA43" s="1186"/>
      <c r="DB43" s="1186"/>
      <c r="DC43" s="1186"/>
      <c r="DD43" s="1186"/>
      <c r="DE43" s="1186"/>
      <c r="DF43" s="1186"/>
      <c r="DG43" s="1186"/>
      <c r="DH43" s="1186"/>
      <c r="DI43" s="1186"/>
      <c r="DJ43" s="1186"/>
      <c r="DK43" s="1186"/>
      <c r="DL43" s="1186"/>
      <c r="DM43" s="1186"/>
      <c r="DN43" s="1186"/>
      <c r="DO43" s="1186"/>
      <c r="DP43" s="1186"/>
      <c r="DQ43" s="1186"/>
      <c r="DR43" s="1186"/>
      <c r="DS43" s="1186"/>
      <c r="DT43" s="1186"/>
      <c r="DU43" s="1186"/>
      <c r="DV43" s="1186"/>
      <c r="DW43" s="1186"/>
      <c r="DX43" s="1186"/>
      <c r="DY43" s="1186"/>
      <c r="DZ43" s="1186"/>
      <c r="EA43" s="1186"/>
      <c r="EB43" s="1186"/>
      <c r="EC43" s="1186"/>
      <c r="ED43" s="1186"/>
      <c r="EE43" s="1186"/>
      <c r="EF43" s="1186"/>
      <c r="EG43" s="1186"/>
      <c r="EH43" s="1186"/>
      <c r="EI43" s="1186"/>
      <c r="EJ43" s="1186"/>
      <c r="EK43" s="1186"/>
      <c r="EL43" s="1186"/>
      <c r="EM43" s="1186"/>
      <c r="EN43" s="1186"/>
      <c r="EO43" s="1186"/>
      <c r="EP43" s="1186"/>
      <c r="EQ43" s="1186"/>
      <c r="ER43" s="1186"/>
      <c r="ES43" s="1186"/>
      <c r="ET43" s="1186"/>
      <c r="EU43" s="1186"/>
      <c r="EV43" s="1186"/>
      <c r="EW43" s="1186"/>
      <c r="EX43" s="1186"/>
      <c r="EY43" s="1186"/>
      <c r="EZ43" s="1186"/>
      <c r="FA43" s="1186"/>
      <c r="FB43" s="1186"/>
      <c r="FC43" s="1186"/>
      <c r="FD43" s="1186"/>
      <c r="FE43" s="1186"/>
      <c r="FF43" s="1186"/>
      <c r="FG43" s="1186"/>
      <c r="FH43" s="1186"/>
      <c r="FI43" s="1186"/>
      <c r="FJ43" s="1186"/>
      <c r="FK43" s="1186"/>
      <c r="FL43" s="1186"/>
      <c r="FM43" s="1186"/>
      <c r="FN43" s="1186"/>
      <c r="FO43" s="1186"/>
      <c r="FP43" s="1186"/>
      <c r="FQ43" s="1186"/>
      <c r="FR43" s="1186"/>
      <c r="FS43" s="1186"/>
      <c r="FT43" s="1186"/>
      <c r="FU43" s="1186"/>
      <c r="FV43" s="1186"/>
      <c r="FW43" s="1186"/>
      <c r="FX43" s="1186"/>
      <c r="FY43" s="1186"/>
      <c r="FZ43" s="1186"/>
      <c r="GA43" s="1186"/>
      <c r="GB43" s="1186"/>
      <c r="GC43" s="1186"/>
      <c r="GD43" s="1186"/>
      <c r="GE43" s="1186"/>
    </row>
    <row r="44" spans="1:187" s="1197" customFormat="1" ht="14">
      <c r="A44" s="1196"/>
      <c r="B44" s="2112" t="s">
        <v>1421</v>
      </c>
      <c r="C44" s="2113"/>
      <c r="D44" s="2113"/>
      <c r="E44" s="2113"/>
      <c r="F44" s="2113"/>
      <c r="G44" s="2113"/>
      <c r="H44" s="2114"/>
      <c r="I44" s="1195"/>
      <c r="J44" s="1186"/>
      <c r="K44" s="1186"/>
      <c r="L44" s="1186"/>
      <c r="M44" s="1186"/>
      <c r="N44" s="1186"/>
      <c r="O44" s="1186"/>
      <c r="P44" s="1186"/>
      <c r="Q44" s="1186"/>
      <c r="R44" s="1186"/>
      <c r="S44" s="1186"/>
      <c r="T44" s="1186"/>
      <c r="U44" s="1186"/>
      <c r="V44" s="1186"/>
      <c r="W44" s="1186"/>
      <c r="X44" s="1186"/>
      <c r="Y44" s="1186"/>
      <c r="Z44" s="1186"/>
      <c r="AA44" s="1186"/>
      <c r="AB44" s="1186"/>
      <c r="AC44" s="1186"/>
      <c r="AD44" s="1186"/>
      <c r="AE44" s="1186"/>
      <c r="AF44" s="1186"/>
      <c r="AG44" s="1186"/>
      <c r="AH44" s="1186"/>
      <c r="AI44" s="1186"/>
      <c r="AJ44" s="1186"/>
      <c r="AK44" s="1186"/>
      <c r="AL44" s="1186"/>
      <c r="AM44" s="1186"/>
      <c r="AN44" s="1186"/>
      <c r="AO44" s="1186"/>
      <c r="AP44" s="1186"/>
      <c r="AQ44" s="1186"/>
      <c r="AR44" s="1186"/>
      <c r="AS44" s="1186"/>
      <c r="AT44" s="1186"/>
      <c r="AU44" s="1186"/>
      <c r="AV44" s="1186"/>
      <c r="AW44" s="1186"/>
      <c r="AX44" s="1186"/>
      <c r="AY44" s="1186"/>
      <c r="AZ44" s="1186"/>
      <c r="BA44" s="1186"/>
      <c r="BB44" s="1186"/>
      <c r="BC44" s="1186"/>
      <c r="BD44" s="1186"/>
      <c r="BE44" s="1186"/>
      <c r="BF44" s="1186"/>
      <c r="BG44" s="1186"/>
      <c r="BH44" s="1186"/>
      <c r="BI44" s="1186"/>
      <c r="BJ44" s="1186"/>
      <c r="BK44" s="1186"/>
      <c r="BL44" s="1186"/>
      <c r="BM44" s="1186"/>
      <c r="BN44" s="1186"/>
      <c r="BO44" s="1186"/>
      <c r="BP44" s="1186"/>
      <c r="BQ44" s="1186"/>
      <c r="BR44" s="1186"/>
      <c r="BS44" s="1186"/>
      <c r="BT44" s="1186"/>
      <c r="BU44" s="1186"/>
      <c r="BV44" s="1186"/>
      <c r="BW44" s="1186"/>
      <c r="BX44" s="1186"/>
      <c r="BY44" s="1186"/>
      <c r="BZ44" s="1186"/>
      <c r="CA44" s="1186"/>
      <c r="CB44" s="1186"/>
      <c r="CC44" s="1186"/>
      <c r="CD44" s="1186"/>
      <c r="CE44" s="1186"/>
      <c r="CF44" s="1186"/>
      <c r="CG44" s="1186"/>
      <c r="CH44" s="1186"/>
      <c r="CI44" s="1186"/>
      <c r="CJ44" s="1186"/>
      <c r="CK44" s="1186"/>
      <c r="CL44" s="1186"/>
      <c r="CM44" s="1186"/>
      <c r="CN44" s="1186"/>
      <c r="CO44" s="1186"/>
      <c r="CP44" s="1186"/>
      <c r="CQ44" s="1186"/>
      <c r="CR44" s="1186"/>
      <c r="CS44" s="1186"/>
      <c r="CT44" s="1186"/>
      <c r="CU44" s="1186"/>
      <c r="CV44" s="1186"/>
      <c r="CW44" s="1186"/>
      <c r="CX44" s="1186"/>
      <c r="CY44" s="1186"/>
      <c r="CZ44" s="1186"/>
      <c r="DA44" s="1186"/>
      <c r="DB44" s="1186"/>
      <c r="DC44" s="1186"/>
      <c r="DD44" s="1186"/>
      <c r="DE44" s="1186"/>
      <c r="DF44" s="1186"/>
      <c r="DG44" s="1186"/>
      <c r="DH44" s="1186"/>
      <c r="DI44" s="1186"/>
      <c r="DJ44" s="1186"/>
      <c r="DK44" s="1186"/>
      <c r="DL44" s="1186"/>
      <c r="DM44" s="1186"/>
      <c r="DN44" s="1186"/>
      <c r="DO44" s="1186"/>
      <c r="DP44" s="1186"/>
      <c r="DQ44" s="1186"/>
      <c r="DR44" s="1186"/>
      <c r="DS44" s="1186"/>
      <c r="DT44" s="1186"/>
      <c r="DU44" s="1186"/>
      <c r="DV44" s="1186"/>
      <c r="DW44" s="1186"/>
      <c r="DX44" s="1186"/>
      <c r="DY44" s="1186"/>
      <c r="DZ44" s="1186"/>
      <c r="EA44" s="1186"/>
      <c r="EB44" s="1186"/>
      <c r="EC44" s="1186"/>
      <c r="ED44" s="1186"/>
      <c r="EE44" s="1186"/>
      <c r="EF44" s="1186"/>
      <c r="EG44" s="1186"/>
      <c r="EH44" s="1186"/>
      <c r="EI44" s="1186"/>
      <c r="EJ44" s="1186"/>
      <c r="EK44" s="1186"/>
      <c r="EL44" s="1186"/>
      <c r="EM44" s="1186"/>
      <c r="EN44" s="1186"/>
      <c r="EO44" s="1186"/>
      <c r="EP44" s="1186"/>
      <c r="EQ44" s="1186"/>
      <c r="ER44" s="1186"/>
      <c r="ES44" s="1186"/>
      <c r="ET44" s="1186"/>
      <c r="EU44" s="1186"/>
      <c r="EV44" s="1186"/>
      <c r="EW44" s="1186"/>
      <c r="EX44" s="1186"/>
      <c r="EY44" s="1186"/>
      <c r="EZ44" s="1186"/>
      <c r="FA44" s="1186"/>
      <c r="FB44" s="1186"/>
      <c r="FC44" s="1186"/>
      <c r="FD44" s="1186"/>
      <c r="FE44" s="1186"/>
      <c r="FF44" s="1186"/>
      <c r="FG44" s="1186"/>
      <c r="FH44" s="1186"/>
      <c r="FI44" s="1186"/>
      <c r="FJ44" s="1186"/>
      <c r="FK44" s="1186"/>
      <c r="FL44" s="1186"/>
      <c r="FM44" s="1186"/>
      <c r="FN44" s="1186"/>
      <c r="FO44" s="1186"/>
      <c r="FP44" s="1186"/>
      <c r="FQ44" s="1186"/>
      <c r="FR44" s="1186"/>
      <c r="FS44" s="1186"/>
      <c r="FT44" s="1186"/>
      <c r="FU44" s="1186"/>
      <c r="FV44" s="1186"/>
      <c r="FW44" s="1186"/>
      <c r="FX44" s="1186"/>
      <c r="FY44" s="1186"/>
      <c r="FZ44" s="1186"/>
      <c r="GA44" s="1186"/>
      <c r="GB44" s="1186"/>
      <c r="GC44" s="1186"/>
      <c r="GD44" s="1186"/>
      <c r="GE44" s="1186"/>
    </row>
    <row r="45" spans="1:187" s="1197" customFormat="1">
      <c r="A45" s="1196"/>
      <c r="B45" s="535">
        <v>1</v>
      </c>
      <c r="C45" s="1215" t="s">
        <v>1422</v>
      </c>
      <c r="D45" s="1206" t="s">
        <v>319</v>
      </c>
      <c r="E45" s="1216">
        <v>1319733</v>
      </c>
      <c r="F45" s="1207">
        <v>0.5</v>
      </c>
      <c r="G45" s="1204">
        <v>2</v>
      </c>
      <c r="H45" s="1208">
        <f>IF(B45="","",ROUND(B45*E45*F45*G45,0))</f>
        <v>1319733</v>
      </c>
      <c r="I45" s="1195"/>
      <c r="J45" s="1186"/>
      <c r="K45" s="1186"/>
      <c r="L45" s="1186"/>
      <c r="M45" s="1186"/>
      <c r="N45" s="1186"/>
      <c r="O45" s="1186"/>
      <c r="P45" s="1186"/>
      <c r="Q45" s="1186"/>
      <c r="R45" s="1186"/>
      <c r="S45" s="1186"/>
      <c r="T45" s="1186"/>
      <c r="U45" s="1186"/>
      <c r="V45" s="1186"/>
      <c r="W45" s="1186"/>
      <c r="X45" s="1186"/>
      <c r="Y45" s="1186"/>
      <c r="Z45" s="1186"/>
      <c r="AA45" s="1186"/>
      <c r="AB45" s="1186"/>
      <c r="AC45" s="1186"/>
      <c r="AD45" s="1186"/>
      <c r="AE45" s="1186"/>
      <c r="AF45" s="1186"/>
      <c r="AG45" s="1186"/>
      <c r="AH45" s="1186"/>
      <c r="AI45" s="1186"/>
      <c r="AJ45" s="1186"/>
      <c r="AK45" s="1186"/>
      <c r="AL45" s="1186"/>
      <c r="AM45" s="1186"/>
      <c r="AN45" s="1186"/>
      <c r="AO45" s="1186"/>
      <c r="AP45" s="1186"/>
      <c r="AQ45" s="1186"/>
      <c r="AR45" s="1186"/>
      <c r="AS45" s="1186"/>
      <c r="AT45" s="1186"/>
      <c r="AU45" s="1186"/>
      <c r="AV45" s="1186"/>
      <c r="AW45" s="1186"/>
      <c r="AX45" s="1186"/>
      <c r="AY45" s="1186"/>
      <c r="AZ45" s="1186"/>
      <c r="BA45" s="1186"/>
      <c r="BB45" s="1186"/>
      <c r="BC45" s="1186"/>
      <c r="BD45" s="1186"/>
      <c r="BE45" s="1186"/>
      <c r="BF45" s="1186"/>
      <c r="BG45" s="1186"/>
      <c r="BH45" s="1186"/>
      <c r="BI45" s="1186"/>
      <c r="BJ45" s="1186"/>
      <c r="BK45" s="1186"/>
      <c r="BL45" s="1186"/>
      <c r="BM45" s="1186"/>
      <c r="BN45" s="1186"/>
      <c r="BO45" s="1186"/>
      <c r="BP45" s="1186"/>
      <c r="BQ45" s="1186"/>
      <c r="BR45" s="1186"/>
      <c r="BS45" s="1186"/>
      <c r="BT45" s="1186"/>
      <c r="BU45" s="1186"/>
      <c r="BV45" s="1186"/>
      <c r="BW45" s="1186"/>
      <c r="BX45" s="1186"/>
      <c r="BY45" s="1186"/>
      <c r="BZ45" s="1186"/>
      <c r="CA45" s="1186"/>
      <c r="CB45" s="1186"/>
      <c r="CC45" s="1186"/>
      <c r="CD45" s="1186"/>
      <c r="CE45" s="1186"/>
      <c r="CF45" s="1186"/>
      <c r="CG45" s="1186"/>
      <c r="CH45" s="1186"/>
      <c r="CI45" s="1186"/>
      <c r="CJ45" s="1186"/>
      <c r="CK45" s="1186"/>
      <c r="CL45" s="1186"/>
      <c r="CM45" s="1186"/>
      <c r="CN45" s="1186"/>
      <c r="CO45" s="1186"/>
      <c r="CP45" s="1186"/>
      <c r="CQ45" s="1186"/>
      <c r="CR45" s="1186"/>
      <c r="CS45" s="1186"/>
      <c r="CT45" s="1186"/>
      <c r="CU45" s="1186"/>
      <c r="CV45" s="1186"/>
      <c r="CW45" s="1186"/>
      <c r="CX45" s="1186"/>
      <c r="CY45" s="1186"/>
      <c r="CZ45" s="1186"/>
      <c r="DA45" s="1186"/>
      <c r="DB45" s="1186"/>
      <c r="DC45" s="1186"/>
      <c r="DD45" s="1186"/>
      <c r="DE45" s="1186"/>
      <c r="DF45" s="1186"/>
      <c r="DG45" s="1186"/>
      <c r="DH45" s="1186"/>
      <c r="DI45" s="1186"/>
      <c r="DJ45" s="1186"/>
      <c r="DK45" s="1186"/>
      <c r="DL45" s="1186"/>
      <c r="DM45" s="1186"/>
      <c r="DN45" s="1186"/>
      <c r="DO45" s="1186"/>
      <c r="DP45" s="1186"/>
      <c r="DQ45" s="1186"/>
      <c r="DR45" s="1186"/>
      <c r="DS45" s="1186"/>
      <c r="DT45" s="1186"/>
      <c r="DU45" s="1186"/>
      <c r="DV45" s="1186"/>
      <c r="DW45" s="1186"/>
      <c r="DX45" s="1186"/>
      <c r="DY45" s="1186"/>
      <c r="DZ45" s="1186"/>
      <c r="EA45" s="1186"/>
      <c r="EB45" s="1186"/>
      <c r="EC45" s="1186"/>
      <c r="ED45" s="1186"/>
      <c r="EE45" s="1186"/>
      <c r="EF45" s="1186"/>
      <c r="EG45" s="1186"/>
      <c r="EH45" s="1186"/>
      <c r="EI45" s="1186"/>
      <c r="EJ45" s="1186"/>
      <c r="EK45" s="1186"/>
      <c r="EL45" s="1186"/>
      <c r="EM45" s="1186"/>
      <c r="EN45" s="1186"/>
      <c r="EO45" s="1186"/>
      <c r="EP45" s="1186"/>
      <c r="EQ45" s="1186"/>
      <c r="ER45" s="1186"/>
      <c r="ES45" s="1186"/>
      <c r="ET45" s="1186"/>
      <c r="EU45" s="1186"/>
      <c r="EV45" s="1186"/>
      <c r="EW45" s="1186"/>
      <c r="EX45" s="1186"/>
      <c r="EY45" s="1186"/>
      <c r="EZ45" s="1186"/>
      <c r="FA45" s="1186"/>
      <c r="FB45" s="1186"/>
      <c r="FC45" s="1186"/>
      <c r="FD45" s="1186"/>
      <c r="FE45" s="1186"/>
      <c r="FF45" s="1186"/>
      <c r="FG45" s="1186"/>
      <c r="FH45" s="1186"/>
      <c r="FI45" s="1186"/>
      <c r="FJ45" s="1186"/>
      <c r="FK45" s="1186"/>
      <c r="FL45" s="1186"/>
      <c r="FM45" s="1186"/>
      <c r="FN45" s="1186"/>
      <c r="FO45" s="1186"/>
      <c r="FP45" s="1186"/>
      <c r="FQ45" s="1186"/>
      <c r="FR45" s="1186"/>
      <c r="FS45" s="1186"/>
      <c r="FT45" s="1186"/>
      <c r="FU45" s="1186"/>
      <c r="FV45" s="1186"/>
      <c r="FW45" s="1186"/>
      <c r="FX45" s="1186"/>
      <c r="FY45" s="1186"/>
      <c r="FZ45" s="1186"/>
      <c r="GA45" s="1186"/>
      <c r="GB45" s="1186"/>
      <c r="GC45" s="1186"/>
      <c r="GD45" s="1186"/>
      <c r="GE45" s="1186"/>
    </row>
    <row r="46" spans="1:187" s="1197" customFormat="1" ht="37.5">
      <c r="A46" s="1196"/>
      <c r="B46" s="535">
        <f>+B15+B16+B18+B19+B20+B21+B22+B25</f>
        <v>6</v>
      </c>
      <c r="C46" s="1215" t="s">
        <v>715</v>
      </c>
      <c r="D46" s="1206" t="s">
        <v>1423</v>
      </c>
      <c r="E46" s="1216">
        <v>274002</v>
      </c>
      <c r="F46" s="1207">
        <v>1</v>
      </c>
      <c r="G46" s="1204">
        <v>0</v>
      </c>
      <c r="H46" s="1208">
        <f>IF(B46="","",ROUND(B46*E46*F46*G46,0))</f>
        <v>0</v>
      </c>
      <c r="I46" s="1195"/>
      <c r="J46" s="1186"/>
      <c r="K46" s="1186"/>
      <c r="L46" s="1186"/>
      <c r="M46" s="1186"/>
      <c r="N46" s="1186"/>
      <c r="O46" s="1186"/>
      <c r="P46" s="1186"/>
      <c r="Q46" s="1186"/>
      <c r="R46" s="1186"/>
      <c r="S46" s="1186"/>
      <c r="T46" s="1186"/>
      <c r="U46" s="1186"/>
      <c r="V46" s="1186"/>
      <c r="W46" s="1186"/>
      <c r="X46" s="1186"/>
      <c r="Y46" s="1186"/>
      <c r="Z46" s="1186"/>
      <c r="AA46" s="1186"/>
      <c r="AB46" s="1186"/>
      <c r="AC46" s="1186"/>
      <c r="AD46" s="1186"/>
      <c r="AE46" s="1186"/>
      <c r="AF46" s="1186"/>
      <c r="AG46" s="1186"/>
      <c r="AH46" s="1186"/>
      <c r="AI46" s="1186"/>
      <c r="AJ46" s="1186"/>
      <c r="AK46" s="1186"/>
      <c r="AL46" s="1186"/>
      <c r="AM46" s="1186"/>
      <c r="AN46" s="1186"/>
      <c r="AO46" s="1186"/>
      <c r="AP46" s="1186"/>
      <c r="AQ46" s="1186"/>
      <c r="AR46" s="1186"/>
      <c r="AS46" s="1186"/>
      <c r="AT46" s="1186"/>
      <c r="AU46" s="1186"/>
      <c r="AV46" s="1186"/>
      <c r="AW46" s="1186"/>
      <c r="AX46" s="1186"/>
      <c r="AY46" s="1186"/>
      <c r="AZ46" s="1186"/>
      <c r="BA46" s="1186"/>
      <c r="BB46" s="1186"/>
      <c r="BC46" s="1186"/>
      <c r="BD46" s="1186"/>
      <c r="BE46" s="1186"/>
      <c r="BF46" s="1186"/>
      <c r="BG46" s="1186"/>
      <c r="BH46" s="1186"/>
      <c r="BI46" s="1186"/>
      <c r="BJ46" s="1186"/>
      <c r="BK46" s="1186"/>
      <c r="BL46" s="1186"/>
      <c r="BM46" s="1186"/>
      <c r="BN46" s="1186"/>
      <c r="BO46" s="1186"/>
      <c r="BP46" s="1186"/>
      <c r="BQ46" s="1186"/>
      <c r="BR46" s="1186"/>
      <c r="BS46" s="1186"/>
      <c r="BT46" s="1186"/>
      <c r="BU46" s="1186"/>
      <c r="BV46" s="1186"/>
      <c r="BW46" s="1186"/>
      <c r="BX46" s="1186"/>
      <c r="BY46" s="1186"/>
      <c r="BZ46" s="1186"/>
      <c r="CA46" s="1186"/>
      <c r="CB46" s="1186"/>
      <c r="CC46" s="1186"/>
      <c r="CD46" s="1186"/>
      <c r="CE46" s="1186"/>
      <c r="CF46" s="1186"/>
      <c r="CG46" s="1186"/>
      <c r="CH46" s="1186"/>
      <c r="CI46" s="1186"/>
      <c r="CJ46" s="1186"/>
      <c r="CK46" s="1186"/>
      <c r="CL46" s="1186"/>
      <c r="CM46" s="1186"/>
      <c r="CN46" s="1186"/>
      <c r="CO46" s="1186"/>
      <c r="CP46" s="1186"/>
      <c r="CQ46" s="1186"/>
      <c r="CR46" s="1186"/>
      <c r="CS46" s="1186"/>
      <c r="CT46" s="1186"/>
      <c r="CU46" s="1186"/>
      <c r="CV46" s="1186"/>
      <c r="CW46" s="1186"/>
      <c r="CX46" s="1186"/>
      <c r="CY46" s="1186"/>
      <c r="CZ46" s="1186"/>
      <c r="DA46" s="1186"/>
      <c r="DB46" s="1186"/>
      <c r="DC46" s="1186"/>
      <c r="DD46" s="1186"/>
      <c r="DE46" s="1186"/>
      <c r="DF46" s="1186"/>
      <c r="DG46" s="1186"/>
      <c r="DH46" s="1186"/>
      <c r="DI46" s="1186"/>
      <c r="DJ46" s="1186"/>
      <c r="DK46" s="1186"/>
      <c r="DL46" s="1186"/>
      <c r="DM46" s="1186"/>
      <c r="DN46" s="1186"/>
      <c r="DO46" s="1186"/>
      <c r="DP46" s="1186"/>
      <c r="DQ46" s="1186"/>
      <c r="DR46" s="1186"/>
      <c r="DS46" s="1186"/>
      <c r="DT46" s="1186"/>
      <c r="DU46" s="1186"/>
      <c r="DV46" s="1186"/>
      <c r="DW46" s="1186"/>
      <c r="DX46" s="1186"/>
      <c r="DY46" s="1186"/>
      <c r="DZ46" s="1186"/>
      <c r="EA46" s="1186"/>
      <c r="EB46" s="1186"/>
      <c r="EC46" s="1186"/>
      <c r="ED46" s="1186"/>
      <c r="EE46" s="1186"/>
      <c r="EF46" s="1186"/>
      <c r="EG46" s="1186"/>
      <c r="EH46" s="1186"/>
      <c r="EI46" s="1186"/>
      <c r="EJ46" s="1186"/>
      <c r="EK46" s="1186"/>
      <c r="EL46" s="1186"/>
      <c r="EM46" s="1186"/>
      <c r="EN46" s="1186"/>
      <c r="EO46" s="1186"/>
      <c r="EP46" s="1186"/>
      <c r="EQ46" s="1186"/>
      <c r="ER46" s="1186"/>
      <c r="ES46" s="1186"/>
      <c r="ET46" s="1186"/>
      <c r="EU46" s="1186"/>
      <c r="EV46" s="1186"/>
      <c r="EW46" s="1186"/>
      <c r="EX46" s="1186"/>
      <c r="EY46" s="1186"/>
      <c r="EZ46" s="1186"/>
      <c r="FA46" s="1186"/>
      <c r="FB46" s="1186"/>
      <c r="FC46" s="1186"/>
      <c r="FD46" s="1186"/>
      <c r="FE46" s="1186"/>
      <c r="FF46" s="1186"/>
      <c r="FG46" s="1186"/>
      <c r="FH46" s="1186"/>
      <c r="FI46" s="1186"/>
      <c r="FJ46" s="1186"/>
      <c r="FK46" s="1186"/>
      <c r="FL46" s="1186"/>
      <c r="FM46" s="1186"/>
      <c r="FN46" s="1186"/>
      <c r="FO46" s="1186"/>
      <c r="FP46" s="1186"/>
      <c r="FQ46" s="1186"/>
      <c r="FR46" s="1186"/>
      <c r="FS46" s="1186"/>
      <c r="FT46" s="1186"/>
      <c r="FU46" s="1186"/>
      <c r="FV46" s="1186"/>
      <c r="FW46" s="1186"/>
      <c r="FX46" s="1186"/>
      <c r="FY46" s="1186"/>
      <c r="FZ46" s="1186"/>
      <c r="GA46" s="1186"/>
      <c r="GB46" s="1186"/>
      <c r="GC46" s="1186"/>
      <c r="GD46" s="1186"/>
      <c r="GE46" s="1186"/>
    </row>
    <row r="47" spans="1:187" s="1197" customFormat="1" ht="14">
      <c r="A47" s="1196"/>
      <c r="B47" s="535"/>
      <c r="C47" s="1215"/>
      <c r="D47" s="1206"/>
      <c r="E47" s="1206"/>
      <c r="F47" s="1207"/>
      <c r="G47" s="1204"/>
      <c r="H47" s="1208" t="str">
        <f>IF(B47="","",ROUND(B47*E47*F47*G47,0))</f>
        <v/>
      </c>
      <c r="I47" s="1195"/>
      <c r="J47" s="1186"/>
      <c r="K47" s="1186"/>
      <c r="L47" s="1186"/>
      <c r="M47" s="1186"/>
      <c r="N47" s="1186"/>
      <c r="O47" s="1186"/>
      <c r="P47" s="1186"/>
      <c r="Q47" s="1186"/>
      <c r="R47" s="1186"/>
      <c r="S47" s="1186"/>
      <c r="T47" s="1186"/>
      <c r="U47" s="1186"/>
      <c r="V47" s="1186"/>
      <c r="W47" s="1186"/>
      <c r="X47" s="1186"/>
      <c r="Y47" s="1186"/>
      <c r="Z47" s="1186"/>
      <c r="AA47" s="1186"/>
      <c r="AB47" s="1186"/>
      <c r="AC47" s="1186"/>
      <c r="AD47" s="1186"/>
      <c r="AE47" s="1186"/>
      <c r="AF47" s="1186"/>
      <c r="AG47" s="1186"/>
      <c r="AH47" s="1186"/>
      <c r="AI47" s="1186"/>
      <c r="AJ47" s="1186"/>
      <c r="AK47" s="1186"/>
      <c r="AL47" s="1186"/>
      <c r="AM47" s="1186"/>
      <c r="AN47" s="1186"/>
      <c r="AO47" s="1186"/>
      <c r="AP47" s="1186"/>
      <c r="AQ47" s="1186"/>
      <c r="AR47" s="1186"/>
      <c r="AS47" s="1186"/>
      <c r="AT47" s="1186"/>
      <c r="AU47" s="1186"/>
      <c r="AV47" s="1186"/>
      <c r="AW47" s="1186"/>
      <c r="AX47" s="1186"/>
      <c r="AY47" s="1186"/>
      <c r="AZ47" s="1186"/>
      <c r="BA47" s="1186"/>
      <c r="BB47" s="1186"/>
      <c r="BC47" s="1186"/>
      <c r="BD47" s="1186"/>
      <c r="BE47" s="1186"/>
      <c r="BF47" s="1186"/>
      <c r="BG47" s="1186"/>
      <c r="BH47" s="1186"/>
      <c r="BI47" s="1186"/>
      <c r="BJ47" s="1186"/>
      <c r="BK47" s="1186"/>
      <c r="BL47" s="1186"/>
      <c r="BM47" s="1186"/>
      <c r="BN47" s="1186"/>
      <c r="BO47" s="1186"/>
      <c r="BP47" s="1186"/>
      <c r="BQ47" s="1186"/>
      <c r="BR47" s="1186"/>
      <c r="BS47" s="1186"/>
      <c r="BT47" s="1186"/>
      <c r="BU47" s="1186"/>
      <c r="BV47" s="1186"/>
      <c r="BW47" s="1186"/>
      <c r="BX47" s="1186"/>
      <c r="BY47" s="1186"/>
      <c r="BZ47" s="1186"/>
      <c r="CA47" s="1186"/>
      <c r="CB47" s="1186"/>
      <c r="CC47" s="1186"/>
      <c r="CD47" s="1186"/>
      <c r="CE47" s="1186"/>
      <c r="CF47" s="1186"/>
      <c r="CG47" s="1186"/>
      <c r="CH47" s="1186"/>
      <c r="CI47" s="1186"/>
      <c r="CJ47" s="1186"/>
      <c r="CK47" s="1186"/>
      <c r="CL47" s="1186"/>
      <c r="CM47" s="1186"/>
      <c r="CN47" s="1186"/>
      <c r="CO47" s="1186"/>
      <c r="CP47" s="1186"/>
      <c r="CQ47" s="1186"/>
      <c r="CR47" s="1186"/>
      <c r="CS47" s="1186"/>
      <c r="CT47" s="1186"/>
      <c r="CU47" s="1186"/>
      <c r="CV47" s="1186"/>
      <c r="CW47" s="1186"/>
      <c r="CX47" s="1186"/>
      <c r="CY47" s="1186"/>
      <c r="CZ47" s="1186"/>
      <c r="DA47" s="1186"/>
      <c r="DB47" s="1186"/>
      <c r="DC47" s="1186"/>
      <c r="DD47" s="1186"/>
      <c r="DE47" s="1186"/>
      <c r="DF47" s="1186"/>
      <c r="DG47" s="1186"/>
      <c r="DH47" s="1186"/>
      <c r="DI47" s="1186"/>
      <c r="DJ47" s="1186"/>
      <c r="DK47" s="1186"/>
      <c r="DL47" s="1186"/>
      <c r="DM47" s="1186"/>
      <c r="DN47" s="1186"/>
      <c r="DO47" s="1186"/>
      <c r="DP47" s="1186"/>
      <c r="DQ47" s="1186"/>
      <c r="DR47" s="1186"/>
      <c r="DS47" s="1186"/>
      <c r="DT47" s="1186"/>
      <c r="DU47" s="1186"/>
      <c r="DV47" s="1186"/>
      <c r="DW47" s="1186"/>
      <c r="DX47" s="1186"/>
      <c r="DY47" s="1186"/>
      <c r="DZ47" s="1186"/>
      <c r="EA47" s="1186"/>
      <c r="EB47" s="1186"/>
      <c r="EC47" s="1186"/>
      <c r="ED47" s="1186"/>
      <c r="EE47" s="1186"/>
      <c r="EF47" s="1186"/>
      <c r="EG47" s="1186"/>
      <c r="EH47" s="1186"/>
      <c r="EI47" s="1186"/>
      <c r="EJ47" s="1186"/>
      <c r="EK47" s="1186"/>
      <c r="EL47" s="1186"/>
      <c r="EM47" s="1186"/>
      <c r="EN47" s="1186"/>
      <c r="EO47" s="1186"/>
      <c r="EP47" s="1186"/>
      <c r="EQ47" s="1186"/>
      <c r="ER47" s="1186"/>
      <c r="ES47" s="1186"/>
      <c r="ET47" s="1186"/>
      <c r="EU47" s="1186"/>
      <c r="EV47" s="1186"/>
      <c r="EW47" s="1186"/>
      <c r="EX47" s="1186"/>
      <c r="EY47" s="1186"/>
      <c r="EZ47" s="1186"/>
      <c r="FA47" s="1186"/>
      <c r="FB47" s="1186"/>
      <c r="FC47" s="1186"/>
      <c r="FD47" s="1186"/>
      <c r="FE47" s="1186"/>
      <c r="FF47" s="1186"/>
      <c r="FG47" s="1186"/>
      <c r="FH47" s="1186"/>
      <c r="FI47" s="1186"/>
      <c r="FJ47" s="1186"/>
      <c r="FK47" s="1186"/>
      <c r="FL47" s="1186"/>
      <c r="FM47" s="1186"/>
      <c r="FN47" s="1186"/>
      <c r="FO47" s="1186"/>
      <c r="FP47" s="1186"/>
      <c r="FQ47" s="1186"/>
      <c r="FR47" s="1186"/>
      <c r="FS47" s="1186"/>
      <c r="FT47" s="1186"/>
      <c r="FU47" s="1186"/>
      <c r="FV47" s="1186"/>
      <c r="FW47" s="1186"/>
      <c r="FX47" s="1186"/>
      <c r="FY47" s="1186"/>
      <c r="FZ47" s="1186"/>
      <c r="GA47" s="1186"/>
      <c r="GB47" s="1186"/>
      <c r="GC47" s="1186"/>
      <c r="GD47" s="1186"/>
      <c r="GE47" s="1186"/>
    </row>
    <row r="48" spans="1:187" s="1197" customFormat="1" ht="14">
      <c r="A48" s="1196"/>
      <c r="B48" s="2115" t="s">
        <v>1424</v>
      </c>
      <c r="C48" s="2116"/>
      <c r="D48" s="2116"/>
      <c r="E48" s="2116"/>
      <c r="F48" s="2116"/>
      <c r="G48" s="2116"/>
      <c r="H48" s="2117"/>
      <c r="I48" s="1195"/>
      <c r="J48" s="1186"/>
      <c r="K48" s="1186"/>
      <c r="L48" s="1186"/>
      <c r="M48" s="1186"/>
      <c r="N48" s="1186"/>
      <c r="O48" s="1186"/>
      <c r="P48" s="1186"/>
      <c r="Q48" s="1186"/>
      <c r="R48" s="1186"/>
      <c r="S48" s="1186"/>
      <c r="T48" s="1186"/>
      <c r="U48" s="1186"/>
      <c r="V48" s="1186"/>
      <c r="W48" s="1186"/>
      <c r="X48" s="1186"/>
      <c r="Y48" s="1186"/>
      <c r="Z48" s="1186"/>
      <c r="AA48" s="1186"/>
      <c r="AB48" s="1186"/>
      <c r="AC48" s="1186"/>
      <c r="AD48" s="1186"/>
      <c r="AE48" s="1186"/>
      <c r="AF48" s="1186"/>
      <c r="AG48" s="1186"/>
      <c r="AH48" s="1186"/>
      <c r="AI48" s="1186"/>
      <c r="AJ48" s="1186"/>
      <c r="AK48" s="1186"/>
      <c r="AL48" s="1186"/>
      <c r="AM48" s="1186"/>
      <c r="AN48" s="1186"/>
      <c r="AO48" s="1186"/>
      <c r="AP48" s="1186"/>
      <c r="AQ48" s="1186"/>
      <c r="AR48" s="1186"/>
      <c r="AS48" s="1186"/>
      <c r="AT48" s="1186"/>
      <c r="AU48" s="1186"/>
      <c r="AV48" s="1186"/>
      <c r="AW48" s="1186"/>
      <c r="AX48" s="1186"/>
      <c r="AY48" s="1186"/>
      <c r="AZ48" s="1186"/>
      <c r="BA48" s="1186"/>
      <c r="BB48" s="1186"/>
      <c r="BC48" s="1186"/>
      <c r="BD48" s="1186"/>
      <c r="BE48" s="1186"/>
      <c r="BF48" s="1186"/>
      <c r="BG48" s="1186"/>
      <c r="BH48" s="1186"/>
      <c r="BI48" s="1186"/>
      <c r="BJ48" s="1186"/>
      <c r="BK48" s="1186"/>
      <c r="BL48" s="1186"/>
      <c r="BM48" s="1186"/>
      <c r="BN48" s="1186"/>
      <c r="BO48" s="1186"/>
      <c r="BP48" s="1186"/>
      <c r="BQ48" s="1186"/>
      <c r="BR48" s="1186"/>
      <c r="BS48" s="1186"/>
      <c r="BT48" s="1186"/>
      <c r="BU48" s="1186"/>
      <c r="BV48" s="1186"/>
      <c r="BW48" s="1186"/>
      <c r="BX48" s="1186"/>
      <c r="BY48" s="1186"/>
      <c r="BZ48" s="1186"/>
      <c r="CA48" s="1186"/>
      <c r="CB48" s="1186"/>
      <c r="CC48" s="1186"/>
      <c r="CD48" s="1186"/>
      <c r="CE48" s="1186"/>
      <c r="CF48" s="1186"/>
      <c r="CG48" s="1186"/>
      <c r="CH48" s="1186"/>
      <c r="CI48" s="1186"/>
      <c r="CJ48" s="1186"/>
      <c r="CK48" s="1186"/>
      <c r="CL48" s="1186"/>
      <c r="CM48" s="1186"/>
      <c r="CN48" s="1186"/>
      <c r="CO48" s="1186"/>
      <c r="CP48" s="1186"/>
      <c r="CQ48" s="1186"/>
      <c r="CR48" s="1186"/>
      <c r="CS48" s="1186"/>
      <c r="CT48" s="1186"/>
      <c r="CU48" s="1186"/>
      <c r="CV48" s="1186"/>
      <c r="CW48" s="1186"/>
      <c r="CX48" s="1186"/>
      <c r="CY48" s="1186"/>
      <c r="CZ48" s="1186"/>
      <c r="DA48" s="1186"/>
      <c r="DB48" s="1186"/>
      <c r="DC48" s="1186"/>
      <c r="DD48" s="1186"/>
      <c r="DE48" s="1186"/>
      <c r="DF48" s="1186"/>
      <c r="DG48" s="1186"/>
      <c r="DH48" s="1186"/>
      <c r="DI48" s="1186"/>
      <c r="DJ48" s="1186"/>
      <c r="DK48" s="1186"/>
      <c r="DL48" s="1186"/>
      <c r="DM48" s="1186"/>
      <c r="DN48" s="1186"/>
      <c r="DO48" s="1186"/>
      <c r="DP48" s="1186"/>
      <c r="DQ48" s="1186"/>
      <c r="DR48" s="1186"/>
      <c r="DS48" s="1186"/>
      <c r="DT48" s="1186"/>
      <c r="DU48" s="1186"/>
      <c r="DV48" s="1186"/>
      <c r="DW48" s="1186"/>
      <c r="DX48" s="1186"/>
      <c r="DY48" s="1186"/>
      <c r="DZ48" s="1186"/>
      <c r="EA48" s="1186"/>
      <c r="EB48" s="1186"/>
      <c r="EC48" s="1186"/>
      <c r="ED48" s="1186"/>
      <c r="EE48" s="1186"/>
      <c r="EF48" s="1186"/>
      <c r="EG48" s="1186"/>
      <c r="EH48" s="1186"/>
      <c r="EI48" s="1186"/>
      <c r="EJ48" s="1186"/>
      <c r="EK48" s="1186"/>
      <c r="EL48" s="1186"/>
      <c r="EM48" s="1186"/>
      <c r="EN48" s="1186"/>
      <c r="EO48" s="1186"/>
      <c r="EP48" s="1186"/>
      <c r="EQ48" s="1186"/>
      <c r="ER48" s="1186"/>
      <c r="ES48" s="1186"/>
      <c r="ET48" s="1186"/>
      <c r="EU48" s="1186"/>
      <c r="EV48" s="1186"/>
      <c r="EW48" s="1186"/>
      <c r="EX48" s="1186"/>
      <c r="EY48" s="1186"/>
      <c r="EZ48" s="1186"/>
      <c r="FA48" s="1186"/>
      <c r="FB48" s="1186"/>
      <c r="FC48" s="1186"/>
      <c r="FD48" s="1186"/>
      <c r="FE48" s="1186"/>
      <c r="FF48" s="1186"/>
      <c r="FG48" s="1186"/>
      <c r="FH48" s="1186"/>
      <c r="FI48" s="1186"/>
      <c r="FJ48" s="1186"/>
      <c r="FK48" s="1186"/>
      <c r="FL48" s="1186"/>
      <c r="FM48" s="1186"/>
      <c r="FN48" s="1186"/>
      <c r="FO48" s="1186"/>
      <c r="FP48" s="1186"/>
      <c r="FQ48" s="1186"/>
      <c r="FR48" s="1186"/>
      <c r="FS48" s="1186"/>
      <c r="FT48" s="1186"/>
      <c r="FU48" s="1186"/>
      <c r="FV48" s="1186"/>
      <c r="FW48" s="1186"/>
      <c r="FX48" s="1186"/>
      <c r="FY48" s="1186"/>
      <c r="FZ48" s="1186"/>
      <c r="GA48" s="1186"/>
      <c r="GB48" s="1186"/>
      <c r="GC48" s="1186"/>
      <c r="GD48" s="1186"/>
      <c r="GE48" s="1186"/>
    </row>
    <row r="49" spans="1:187" s="1197" customFormat="1" ht="50">
      <c r="A49" s="1196"/>
      <c r="B49" s="535">
        <v>1</v>
      </c>
      <c r="C49" s="1215" t="s">
        <v>743</v>
      </c>
      <c r="D49" s="1206" t="s">
        <v>1425</v>
      </c>
      <c r="E49" s="1216">
        <v>5874322</v>
      </c>
      <c r="F49" s="1207">
        <v>0</v>
      </c>
      <c r="G49" s="1204">
        <f>+G45</f>
        <v>2</v>
      </c>
      <c r="H49" s="1208">
        <f>IF(B49="","",ROUND(B49*E49*F49*G49,0))</f>
        <v>0</v>
      </c>
      <c r="I49" s="1195"/>
      <c r="J49" s="1186"/>
      <c r="K49" s="1186"/>
      <c r="L49" s="1186"/>
      <c r="M49" s="1186"/>
      <c r="N49" s="1186"/>
      <c r="O49" s="1186"/>
      <c r="P49" s="1186"/>
      <c r="Q49" s="1186"/>
      <c r="R49" s="1186"/>
      <c r="S49" s="1186"/>
      <c r="T49" s="1186"/>
      <c r="U49" s="1186"/>
      <c r="V49" s="1186"/>
      <c r="W49" s="1186"/>
      <c r="X49" s="1186"/>
      <c r="Y49" s="1186"/>
      <c r="Z49" s="1186"/>
      <c r="AA49" s="1186"/>
      <c r="AB49" s="1186"/>
      <c r="AC49" s="1186"/>
      <c r="AD49" s="1186"/>
      <c r="AE49" s="1186"/>
      <c r="AF49" s="1186"/>
      <c r="AG49" s="1186"/>
      <c r="AH49" s="1186"/>
      <c r="AI49" s="1186"/>
      <c r="AJ49" s="1186"/>
      <c r="AK49" s="1186"/>
      <c r="AL49" s="1186"/>
      <c r="AM49" s="1186"/>
      <c r="AN49" s="1186"/>
      <c r="AO49" s="1186"/>
      <c r="AP49" s="1186"/>
      <c r="AQ49" s="1186"/>
      <c r="AR49" s="1186"/>
      <c r="AS49" s="1186"/>
      <c r="AT49" s="1186"/>
      <c r="AU49" s="1186"/>
      <c r="AV49" s="1186"/>
      <c r="AW49" s="1186"/>
      <c r="AX49" s="1186"/>
      <c r="AY49" s="1186"/>
      <c r="AZ49" s="1186"/>
      <c r="BA49" s="1186"/>
      <c r="BB49" s="1186"/>
      <c r="BC49" s="1186"/>
      <c r="BD49" s="1186"/>
      <c r="BE49" s="1186"/>
      <c r="BF49" s="1186"/>
      <c r="BG49" s="1186"/>
      <c r="BH49" s="1186"/>
      <c r="BI49" s="1186"/>
      <c r="BJ49" s="1186"/>
      <c r="BK49" s="1186"/>
      <c r="BL49" s="1186"/>
      <c r="BM49" s="1186"/>
      <c r="BN49" s="1186"/>
      <c r="BO49" s="1186"/>
      <c r="BP49" s="1186"/>
      <c r="BQ49" s="1186"/>
      <c r="BR49" s="1186"/>
      <c r="BS49" s="1186"/>
      <c r="BT49" s="1186"/>
      <c r="BU49" s="1186"/>
      <c r="BV49" s="1186"/>
      <c r="BW49" s="1186"/>
      <c r="BX49" s="1186"/>
      <c r="BY49" s="1186"/>
      <c r="BZ49" s="1186"/>
      <c r="CA49" s="1186"/>
      <c r="CB49" s="1186"/>
      <c r="CC49" s="1186"/>
      <c r="CD49" s="1186"/>
      <c r="CE49" s="1186"/>
      <c r="CF49" s="1186"/>
      <c r="CG49" s="1186"/>
      <c r="CH49" s="1186"/>
      <c r="CI49" s="1186"/>
      <c r="CJ49" s="1186"/>
      <c r="CK49" s="1186"/>
      <c r="CL49" s="1186"/>
      <c r="CM49" s="1186"/>
      <c r="CN49" s="1186"/>
      <c r="CO49" s="1186"/>
      <c r="CP49" s="1186"/>
      <c r="CQ49" s="1186"/>
      <c r="CR49" s="1186"/>
      <c r="CS49" s="1186"/>
      <c r="CT49" s="1186"/>
      <c r="CU49" s="1186"/>
      <c r="CV49" s="1186"/>
      <c r="CW49" s="1186"/>
      <c r="CX49" s="1186"/>
      <c r="CY49" s="1186"/>
      <c r="CZ49" s="1186"/>
      <c r="DA49" s="1186"/>
      <c r="DB49" s="1186"/>
      <c r="DC49" s="1186"/>
      <c r="DD49" s="1186"/>
      <c r="DE49" s="1186"/>
      <c r="DF49" s="1186"/>
      <c r="DG49" s="1186"/>
      <c r="DH49" s="1186"/>
      <c r="DI49" s="1186"/>
      <c r="DJ49" s="1186"/>
      <c r="DK49" s="1186"/>
      <c r="DL49" s="1186"/>
      <c r="DM49" s="1186"/>
      <c r="DN49" s="1186"/>
      <c r="DO49" s="1186"/>
      <c r="DP49" s="1186"/>
      <c r="DQ49" s="1186"/>
      <c r="DR49" s="1186"/>
      <c r="DS49" s="1186"/>
      <c r="DT49" s="1186"/>
      <c r="DU49" s="1186"/>
      <c r="DV49" s="1186"/>
      <c r="DW49" s="1186"/>
      <c r="DX49" s="1186"/>
      <c r="DY49" s="1186"/>
      <c r="DZ49" s="1186"/>
      <c r="EA49" s="1186"/>
      <c r="EB49" s="1186"/>
      <c r="EC49" s="1186"/>
      <c r="ED49" s="1186"/>
      <c r="EE49" s="1186"/>
      <c r="EF49" s="1186"/>
      <c r="EG49" s="1186"/>
      <c r="EH49" s="1186"/>
      <c r="EI49" s="1186"/>
      <c r="EJ49" s="1186"/>
      <c r="EK49" s="1186"/>
      <c r="EL49" s="1186"/>
      <c r="EM49" s="1186"/>
      <c r="EN49" s="1186"/>
      <c r="EO49" s="1186"/>
      <c r="EP49" s="1186"/>
      <c r="EQ49" s="1186"/>
      <c r="ER49" s="1186"/>
      <c r="ES49" s="1186"/>
      <c r="ET49" s="1186"/>
      <c r="EU49" s="1186"/>
      <c r="EV49" s="1186"/>
      <c r="EW49" s="1186"/>
      <c r="EX49" s="1186"/>
      <c r="EY49" s="1186"/>
      <c r="EZ49" s="1186"/>
      <c r="FA49" s="1186"/>
      <c r="FB49" s="1186"/>
      <c r="FC49" s="1186"/>
      <c r="FD49" s="1186"/>
      <c r="FE49" s="1186"/>
      <c r="FF49" s="1186"/>
      <c r="FG49" s="1186"/>
      <c r="FH49" s="1186"/>
      <c r="FI49" s="1186"/>
      <c r="FJ49" s="1186"/>
      <c r="FK49" s="1186"/>
      <c r="FL49" s="1186"/>
      <c r="FM49" s="1186"/>
      <c r="FN49" s="1186"/>
      <c r="FO49" s="1186"/>
      <c r="FP49" s="1186"/>
      <c r="FQ49" s="1186"/>
      <c r="FR49" s="1186"/>
      <c r="FS49" s="1186"/>
      <c r="FT49" s="1186"/>
      <c r="FU49" s="1186"/>
      <c r="FV49" s="1186"/>
      <c r="FW49" s="1186"/>
      <c r="FX49" s="1186"/>
      <c r="FY49" s="1186"/>
      <c r="FZ49" s="1186"/>
      <c r="GA49" s="1186"/>
      <c r="GB49" s="1186"/>
      <c r="GC49" s="1186"/>
      <c r="GD49" s="1186"/>
      <c r="GE49" s="1186"/>
    </row>
    <row r="50" spans="1:187" s="1197" customFormat="1" ht="25">
      <c r="A50" s="1196"/>
      <c r="B50" s="535">
        <v>1</v>
      </c>
      <c r="C50" s="1215" t="s">
        <v>745</v>
      </c>
      <c r="D50" s="1206" t="s">
        <v>319</v>
      </c>
      <c r="E50" s="1216">
        <v>504515</v>
      </c>
      <c r="F50" s="1207">
        <v>0</v>
      </c>
      <c r="G50" s="1204">
        <f>+G49</f>
        <v>2</v>
      </c>
      <c r="H50" s="1208">
        <f>IF(B50="","",ROUND(B50*E50*F50*G50,0))</f>
        <v>0</v>
      </c>
      <c r="I50" s="1195"/>
      <c r="J50" s="1186"/>
      <c r="K50" s="1186"/>
      <c r="L50" s="1186"/>
      <c r="M50" s="1186"/>
      <c r="N50" s="1186"/>
      <c r="O50" s="1186"/>
      <c r="P50" s="1186"/>
      <c r="Q50" s="1186"/>
      <c r="R50" s="1186"/>
      <c r="S50" s="1186"/>
      <c r="T50" s="1186"/>
      <c r="U50" s="1186"/>
      <c r="V50" s="1186"/>
      <c r="W50" s="1186"/>
      <c r="X50" s="1186"/>
      <c r="Y50" s="1186"/>
      <c r="Z50" s="1186"/>
      <c r="AA50" s="1186"/>
      <c r="AB50" s="1186"/>
      <c r="AC50" s="1186"/>
      <c r="AD50" s="1186"/>
      <c r="AE50" s="1186"/>
      <c r="AF50" s="1186"/>
      <c r="AG50" s="1186"/>
      <c r="AH50" s="1186"/>
      <c r="AI50" s="1186"/>
      <c r="AJ50" s="1186"/>
      <c r="AK50" s="1186"/>
      <c r="AL50" s="1186"/>
      <c r="AM50" s="1186"/>
      <c r="AN50" s="1186"/>
      <c r="AO50" s="1186"/>
      <c r="AP50" s="1186"/>
      <c r="AQ50" s="1186"/>
      <c r="AR50" s="1186"/>
      <c r="AS50" s="1186"/>
      <c r="AT50" s="1186"/>
      <c r="AU50" s="1186"/>
      <c r="AV50" s="1186"/>
      <c r="AW50" s="1186"/>
      <c r="AX50" s="1186"/>
      <c r="AY50" s="1186"/>
      <c r="AZ50" s="1186"/>
      <c r="BA50" s="1186"/>
      <c r="BB50" s="1186"/>
      <c r="BC50" s="1186"/>
      <c r="BD50" s="1186"/>
      <c r="BE50" s="1186"/>
      <c r="BF50" s="1186"/>
      <c r="BG50" s="1186"/>
      <c r="BH50" s="1186"/>
      <c r="BI50" s="1186"/>
      <c r="BJ50" s="1186"/>
      <c r="BK50" s="1186"/>
      <c r="BL50" s="1186"/>
      <c r="BM50" s="1186"/>
      <c r="BN50" s="1186"/>
      <c r="BO50" s="1186"/>
      <c r="BP50" s="1186"/>
      <c r="BQ50" s="1186"/>
      <c r="BR50" s="1186"/>
      <c r="BS50" s="1186"/>
      <c r="BT50" s="1186"/>
      <c r="BU50" s="1186"/>
      <c r="BV50" s="1186"/>
      <c r="BW50" s="1186"/>
      <c r="BX50" s="1186"/>
      <c r="BY50" s="1186"/>
      <c r="BZ50" s="1186"/>
      <c r="CA50" s="1186"/>
      <c r="CB50" s="1186"/>
      <c r="CC50" s="1186"/>
      <c r="CD50" s="1186"/>
      <c r="CE50" s="1186"/>
      <c r="CF50" s="1186"/>
      <c r="CG50" s="1186"/>
      <c r="CH50" s="1186"/>
      <c r="CI50" s="1186"/>
      <c r="CJ50" s="1186"/>
      <c r="CK50" s="1186"/>
      <c r="CL50" s="1186"/>
      <c r="CM50" s="1186"/>
      <c r="CN50" s="1186"/>
      <c r="CO50" s="1186"/>
      <c r="CP50" s="1186"/>
      <c r="CQ50" s="1186"/>
      <c r="CR50" s="1186"/>
      <c r="CS50" s="1186"/>
      <c r="CT50" s="1186"/>
      <c r="CU50" s="1186"/>
      <c r="CV50" s="1186"/>
      <c r="CW50" s="1186"/>
      <c r="CX50" s="1186"/>
      <c r="CY50" s="1186"/>
      <c r="CZ50" s="1186"/>
      <c r="DA50" s="1186"/>
      <c r="DB50" s="1186"/>
      <c r="DC50" s="1186"/>
      <c r="DD50" s="1186"/>
      <c r="DE50" s="1186"/>
      <c r="DF50" s="1186"/>
      <c r="DG50" s="1186"/>
      <c r="DH50" s="1186"/>
      <c r="DI50" s="1186"/>
      <c r="DJ50" s="1186"/>
      <c r="DK50" s="1186"/>
      <c r="DL50" s="1186"/>
      <c r="DM50" s="1186"/>
      <c r="DN50" s="1186"/>
      <c r="DO50" s="1186"/>
      <c r="DP50" s="1186"/>
      <c r="DQ50" s="1186"/>
      <c r="DR50" s="1186"/>
      <c r="DS50" s="1186"/>
      <c r="DT50" s="1186"/>
      <c r="DU50" s="1186"/>
      <c r="DV50" s="1186"/>
      <c r="DW50" s="1186"/>
      <c r="DX50" s="1186"/>
      <c r="DY50" s="1186"/>
      <c r="DZ50" s="1186"/>
      <c r="EA50" s="1186"/>
      <c r="EB50" s="1186"/>
      <c r="EC50" s="1186"/>
      <c r="ED50" s="1186"/>
      <c r="EE50" s="1186"/>
      <c r="EF50" s="1186"/>
      <c r="EG50" s="1186"/>
      <c r="EH50" s="1186"/>
      <c r="EI50" s="1186"/>
      <c r="EJ50" s="1186"/>
      <c r="EK50" s="1186"/>
      <c r="EL50" s="1186"/>
      <c r="EM50" s="1186"/>
      <c r="EN50" s="1186"/>
      <c r="EO50" s="1186"/>
      <c r="EP50" s="1186"/>
      <c r="EQ50" s="1186"/>
      <c r="ER50" s="1186"/>
      <c r="ES50" s="1186"/>
      <c r="ET50" s="1186"/>
      <c r="EU50" s="1186"/>
      <c r="EV50" s="1186"/>
      <c r="EW50" s="1186"/>
      <c r="EX50" s="1186"/>
      <c r="EY50" s="1186"/>
      <c r="EZ50" s="1186"/>
      <c r="FA50" s="1186"/>
      <c r="FB50" s="1186"/>
      <c r="FC50" s="1186"/>
      <c r="FD50" s="1186"/>
      <c r="FE50" s="1186"/>
      <c r="FF50" s="1186"/>
      <c r="FG50" s="1186"/>
      <c r="FH50" s="1186"/>
      <c r="FI50" s="1186"/>
      <c r="FJ50" s="1186"/>
      <c r="FK50" s="1186"/>
      <c r="FL50" s="1186"/>
      <c r="FM50" s="1186"/>
      <c r="FN50" s="1186"/>
      <c r="FO50" s="1186"/>
      <c r="FP50" s="1186"/>
      <c r="FQ50" s="1186"/>
      <c r="FR50" s="1186"/>
      <c r="FS50" s="1186"/>
      <c r="FT50" s="1186"/>
      <c r="FU50" s="1186"/>
      <c r="FV50" s="1186"/>
      <c r="FW50" s="1186"/>
      <c r="FX50" s="1186"/>
      <c r="FY50" s="1186"/>
      <c r="FZ50" s="1186"/>
      <c r="GA50" s="1186"/>
      <c r="GB50" s="1186"/>
      <c r="GC50" s="1186"/>
      <c r="GD50" s="1186"/>
      <c r="GE50" s="1186"/>
    </row>
    <row r="51" spans="1:187" s="1197" customFormat="1" ht="14">
      <c r="A51" s="1196"/>
      <c r="B51" s="535">
        <f>+B46+B24+B25</f>
        <v>7</v>
      </c>
      <c r="C51" s="1215" t="s">
        <v>728</v>
      </c>
      <c r="D51" s="1206" t="s">
        <v>319</v>
      </c>
      <c r="E51" s="1216">
        <v>71831</v>
      </c>
      <c r="F51" s="1207">
        <v>0</v>
      </c>
      <c r="G51" s="1204">
        <f>+G49</f>
        <v>2</v>
      </c>
      <c r="H51" s="1208">
        <f>IF(B51="","",ROUND(B51*E51*F51*G51,0))</f>
        <v>0</v>
      </c>
      <c r="I51" s="1195"/>
      <c r="J51" s="1186"/>
      <c r="K51" s="1186"/>
      <c r="L51" s="1186"/>
      <c r="M51" s="1186"/>
      <c r="N51" s="1186"/>
      <c r="O51" s="1186"/>
      <c r="P51" s="1186"/>
      <c r="Q51" s="1186"/>
      <c r="R51" s="1186"/>
      <c r="S51" s="1186"/>
      <c r="T51" s="1186"/>
      <c r="U51" s="1186"/>
      <c r="V51" s="1186"/>
      <c r="W51" s="1186"/>
      <c r="X51" s="1186"/>
      <c r="Y51" s="1186"/>
      <c r="Z51" s="1186"/>
      <c r="AA51" s="1186"/>
      <c r="AB51" s="1186"/>
      <c r="AC51" s="1186"/>
      <c r="AD51" s="1186"/>
      <c r="AE51" s="1186"/>
      <c r="AF51" s="1186"/>
      <c r="AG51" s="1186"/>
      <c r="AH51" s="1186"/>
      <c r="AI51" s="1186"/>
      <c r="AJ51" s="1186"/>
      <c r="AK51" s="1186"/>
      <c r="AL51" s="1186"/>
      <c r="AM51" s="1186"/>
      <c r="AN51" s="1186"/>
      <c r="AO51" s="1186"/>
      <c r="AP51" s="1186"/>
      <c r="AQ51" s="1186"/>
      <c r="AR51" s="1186"/>
      <c r="AS51" s="1186"/>
      <c r="AT51" s="1186"/>
      <c r="AU51" s="1186"/>
      <c r="AV51" s="1186"/>
      <c r="AW51" s="1186"/>
      <c r="AX51" s="1186"/>
      <c r="AY51" s="1186"/>
      <c r="AZ51" s="1186"/>
      <c r="BA51" s="1186"/>
      <c r="BB51" s="1186"/>
      <c r="BC51" s="1186"/>
      <c r="BD51" s="1186"/>
      <c r="BE51" s="1186"/>
      <c r="BF51" s="1186"/>
      <c r="BG51" s="1186"/>
      <c r="BH51" s="1186"/>
      <c r="BI51" s="1186"/>
      <c r="BJ51" s="1186"/>
      <c r="BK51" s="1186"/>
      <c r="BL51" s="1186"/>
      <c r="BM51" s="1186"/>
      <c r="BN51" s="1186"/>
      <c r="BO51" s="1186"/>
      <c r="BP51" s="1186"/>
      <c r="BQ51" s="1186"/>
      <c r="BR51" s="1186"/>
      <c r="BS51" s="1186"/>
      <c r="BT51" s="1186"/>
      <c r="BU51" s="1186"/>
      <c r="BV51" s="1186"/>
      <c r="BW51" s="1186"/>
      <c r="BX51" s="1186"/>
      <c r="BY51" s="1186"/>
      <c r="BZ51" s="1186"/>
      <c r="CA51" s="1186"/>
      <c r="CB51" s="1186"/>
      <c r="CC51" s="1186"/>
      <c r="CD51" s="1186"/>
      <c r="CE51" s="1186"/>
      <c r="CF51" s="1186"/>
      <c r="CG51" s="1186"/>
      <c r="CH51" s="1186"/>
      <c r="CI51" s="1186"/>
      <c r="CJ51" s="1186"/>
      <c r="CK51" s="1186"/>
      <c r="CL51" s="1186"/>
      <c r="CM51" s="1186"/>
      <c r="CN51" s="1186"/>
      <c r="CO51" s="1186"/>
      <c r="CP51" s="1186"/>
      <c r="CQ51" s="1186"/>
      <c r="CR51" s="1186"/>
      <c r="CS51" s="1186"/>
      <c r="CT51" s="1186"/>
      <c r="CU51" s="1186"/>
      <c r="CV51" s="1186"/>
      <c r="CW51" s="1186"/>
      <c r="CX51" s="1186"/>
      <c r="CY51" s="1186"/>
      <c r="CZ51" s="1186"/>
      <c r="DA51" s="1186"/>
      <c r="DB51" s="1186"/>
      <c r="DC51" s="1186"/>
      <c r="DD51" s="1186"/>
      <c r="DE51" s="1186"/>
      <c r="DF51" s="1186"/>
      <c r="DG51" s="1186"/>
      <c r="DH51" s="1186"/>
      <c r="DI51" s="1186"/>
      <c r="DJ51" s="1186"/>
      <c r="DK51" s="1186"/>
      <c r="DL51" s="1186"/>
      <c r="DM51" s="1186"/>
      <c r="DN51" s="1186"/>
      <c r="DO51" s="1186"/>
      <c r="DP51" s="1186"/>
      <c r="DQ51" s="1186"/>
      <c r="DR51" s="1186"/>
      <c r="DS51" s="1186"/>
      <c r="DT51" s="1186"/>
      <c r="DU51" s="1186"/>
      <c r="DV51" s="1186"/>
      <c r="DW51" s="1186"/>
      <c r="DX51" s="1186"/>
      <c r="DY51" s="1186"/>
      <c r="DZ51" s="1186"/>
      <c r="EA51" s="1186"/>
      <c r="EB51" s="1186"/>
      <c r="EC51" s="1186"/>
      <c r="ED51" s="1186"/>
      <c r="EE51" s="1186"/>
      <c r="EF51" s="1186"/>
      <c r="EG51" s="1186"/>
      <c r="EH51" s="1186"/>
      <c r="EI51" s="1186"/>
      <c r="EJ51" s="1186"/>
      <c r="EK51" s="1186"/>
      <c r="EL51" s="1186"/>
      <c r="EM51" s="1186"/>
      <c r="EN51" s="1186"/>
      <c r="EO51" s="1186"/>
      <c r="EP51" s="1186"/>
      <c r="EQ51" s="1186"/>
      <c r="ER51" s="1186"/>
      <c r="ES51" s="1186"/>
      <c r="ET51" s="1186"/>
      <c r="EU51" s="1186"/>
      <c r="EV51" s="1186"/>
      <c r="EW51" s="1186"/>
      <c r="EX51" s="1186"/>
      <c r="EY51" s="1186"/>
      <c r="EZ51" s="1186"/>
      <c r="FA51" s="1186"/>
      <c r="FB51" s="1186"/>
      <c r="FC51" s="1186"/>
      <c r="FD51" s="1186"/>
      <c r="FE51" s="1186"/>
      <c r="FF51" s="1186"/>
      <c r="FG51" s="1186"/>
      <c r="FH51" s="1186"/>
      <c r="FI51" s="1186"/>
      <c r="FJ51" s="1186"/>
      <c r="FK51" s="1186"/>
      <c r="FL51" s="1186"/>
      <c r="FM51" s="1186"/>
      <c r="FN51" s="1186"/>
      <c r="FO51" s="1186"/>
      <c r="FP51" s="1186"/>
      <c r="FQ51" s="1186"/>
      <c r="FR51" s="1186"/>
      <c r="FS51" s="1186"/>
      <c r="FT51" s="1186"/>
      <c r="FU51" s="1186"/>
      <c r="FV51" s="1186"/>
      <c r="FW51" s="1186"/>
      <c r="FX51" s="1186"/>
      <c r="FY51" s="1186"/>
      <c r="FZ51" s="1186"/>
      <c r="GA51" s="1186"/>
      <c r="GB51" s="1186"/>
      <c r="GC51" s="1186"/>
      <c r="GD51" s="1186"/>
      <c r="GE51" s="1186"/>
    </row>
    <row r="52" spans="1:187" s="1197" customFormat="1" ht="27.75" customHeight="1" thickBot="1">
      <c r="A52" s="1196"/>
      <c r="B52" s="535">
        <v>1</v>
      </c>
      <c r="C52" s="1215" t="s">
        <v>726</v>
      </c>
      <c r="D52" s="1206" t="s">
        <v>1426</v>
      </c>
      <c r="E52" s="1216">
        <v>211000</v>
      </c>
      <c r="F52" s="1207">
        <v>0</v>
      </c>
      <c r="G52" s="1204">
        <v>2</v>
      </c>
      <c r="H52" s="1208">
        <f>IF(B52="","",ROUND(B52*E52*F52*G52,0))</f>
        <v>0</v>
      </c>
      <c r="I52" s="1195"/>
      <c r="J52" s="1186"/>
      <c r="K52" s="1186"/>
      <c r="L52" s="1186"/>
      <c r="M52" s="1186"/>
      <c r="N52" s="1186"/>
      <c r="O52" s="1186"/>
      <c r="P52" s="1186"/>
      <c r="Q52" s="1186"/>
      <c r="R52" s="1186"/>
      <c r="S52" s="1186"/>
      <c r="T52" s="1186"/>
      <c r="U52" s="1186"/>
      <c r="V52" s="1186"/>
      <c r="W52" s="1186"/>
      <c r="X52" s="1186"/>
      <c r="Y52" s="1186"/>
      <c r="Z52" s="1186"/>
      <c r="AA52" s="1186"/>
      <c r="AB52" s="1186"/>
      <c r="AC52" s="1186"/>
      <c r="AD52" s="1186"/>
      <c r="AE52" s="1186"/>
      <c r="AF52" s="1186"/>
      <c r="AG52" s="1186"/>
      <c r="AH52" s="1186"/>
      <c r="AI52" s="1186"/>
      <c r="AJ52" s="1186"/>
      <c r="AK52" s="1186"/>
      <c r="AL52" s="1186"/>
      <c r="AM52" s="1186"/>
      <c r="AN52" s="1186"/>
      <c r="AO52" s="1186"/>
      <c r="AP52" s="1186"/>
      <c r="AQ52" s="1186"/>
      <c r="AR52" s="1186"/>
      <c r="AS52" s="1186"/>
      <c r="AT52" s="1186"/>
      <c r="AU52" s="1186"/>
      <c r="AV52" s="1186"/>
      <c r="AW52" s="1186"/>
      <c r="AX52" s="1186"/>
      <c r="AY52" s="1186"/>
      <c r="AZ52" s="1186"/>
      <c r="BA52" s="1186"/>
      <c r="BB52" s="1186"/>
      <c r="BC52" s="1186"/>
      <c r="BD52" s="1186"/>
      <c r="BE52" s="1186"/>
      <c r="BF52" s="1186"/>
      <c r="BG52" s="1186"/>
      <c r="BH52" s="1186"/>
      <c r="BI52" s="1186"/>
      <c r="BJ52" s="1186"/>
      <c r="BK52" s="1186"/>
      <c r="BL52" s="1186"/>
      <c r="BM52" s="1186"/>
      <c r="BN52" s="1186"/>
      <c r="BO52" s="1186"/>
      <c r="BP52" s="1186"/>
      <c r="BQ52" s="1186"/>
      <c r="BR52" s="1186"/>
      <c r="BS52" s="1186"/>
      <c r="BT52" s="1186"/>
      <c r="BU52" s="1186"/>
      <c r="BV52" s="1186"/>
      <c r="BW52" s="1186"/>
      <c r="BX52" s="1186"/>
      <c r="BY52" s="1186"/>
      <c r="BZ52" s="1186"/>
      <c r="CA52" s="1186"/>
      <c r="CB52" s="1186"/>
      <c r="CC52" s="1186"/>
      <c r="CD52" s="1186"/>
      <c r="CE52" s="1186"/>
      <c r="CF52" s="1186"/>
      <c r="CG52" s="1186"/>
      <c r="CH52" s="1186"/>
      <c r="CI52" s="1186"/>
      <c r="CJ52" s="1186"/>
      <c r="CK52" s="1186"/>
      <c r="CL52" s="1186"/>
      <c r="CM52" s="1186"/>
      <c r="CN52" s="1186"/>
      <c r="CO52" s="1186"/>
      <c r="CP52" s="1186"/>
      <c r="CQ52" s="1186"/>
      <c r="CR52" s="1186"/>
      <c r="CS52" s="1186"/>
      <c r="CT52" s="1186"/>
      <c r="CU52" s="1186"/>
      <c r="CV52" s="1186"/>
      <c r="CW52" s="1186"/>
      <c r="CX52" s="1186"/>
      <c r="CY52" s="1186"/>
      <c r="CZ52" s="1186"/>
      <c r="DA52" s="1186"/>
      <c r="DB52" s="1186"/>
      <c r="DC52" s="1186"/>
      <c r="DD52" s="1186"/>
      <c r="DE52" s="1186"/>
      <c r="DF52" s="1186"/>
      <c r="DG52" s="1186"/>
      <c r="DH52" s="1186"/>
      <c r="DI52" s="1186"/>
      <c r="DJ52" s="1186"/>
      <c r="DK52" s="1186"/>
      <c r="DL52" s="1186"/>
      <c r="DM52" s="1186"/>
      <c r="DN52" s="1186"/>
      <c r="DO52" s="1186"/>
      <c r="DP52" s="1186"/>
      <c r="DQ52" s="1186"/>
      <c r="DR52" s="1186"/>
      <c r="DS52" s="1186"/>
      <c r="DT52" s="1186"/>
      <c r="DU52" s="1186"/>
      <c r="DV52" s="1186"/>
      <c r="DW52" s="1186"/>
      <c r="DX52" s="1186"/>
      <c r="DY52" s="1186"/>
      <c r="DZ52" s="1186"/>
      <c r="EA52" s="1186"/>
      <c r="EB52" s="1186"/>
      <c r="EC52" s="1186"/>
      <c r="ED52" s="1186"/>
      <c r="EE52" s="1186"/>
      <c r="EF52" s="1186"/>
      <c r="EG52" s="1186"/>
      <c r="EH52" s="1186"/>
      <c r="EI52" s="1186"/>
      <c r="EJ52" s="1186"/>
      <c r="EK52" s="1186"/>
      <c r="EL52" s="1186"/>
      <c r="EM52" s="1186"/>
      <c r="EN52" s="1186"/>
      <c r="EO52" s="1186"/>
      <c r="EP52" s="1186"/>
      <c r="EQ52" s="1186"/>
      <c r="ER52" s="1186"/>
      <c r="ES52" s="1186"/>
      <c r="ET52" s="1186"/>
      <c r="EU52" s="1186"/>
      <c r="EV52" s="1186"/>
      <c r="EW52" s="1186"/>
      <c r="EX52" s="1186"/>
      <c r="EY52" s="1186"/>
      <c r="EZ52" s="1186"/>
      <c r="FA52" s="1186"/>
      <c r="FB52" s="1186"/>
      <c r="FC52" s="1186"/>
      <c r="FD52" s="1186"/>
      <c r="FE52" s="1186"/>
      <c r="FF52" s="1186"/>
      <c r="FG52" s="1186"/>
      <c r="FH52" s="1186"/>
      <c r="FI52" s="1186"/>
      <c r="FJ52" s="1186"/>
      <c r="FK52" s="1186"/>
      <c r="FL52" s="1186"/>
      <c r="FM52" s="1186"/>
      <c r="FN52" s="1186"/>
      <c r="FO52" s="1186"/>
      <c r="FP52" s="1186"/>
      <c r="FQ52" s="1186"/>
      <c r="FR52" s="1186"/>
      <c r="FS52" s="1186"/>
      <c r="FT52" s="1186"/>
      <c r="FU52" s="1186"/>
      <c r="FV52" s="1186"/>
      <c r="FW52" s="1186"/>
      <c r="FX52" s="1186"/>
      <c r="FY52" s="1186"/>
      <c r="FZ52" s="1186"/>
      <c r="GA52" s="1186"/>
      <c r="GB52" s="1186"/>
      <c r="GC52" s="1186"/>
      <c r="GD52" s="1186"/>
      <c r="GE52" s="1186"/>
    </row>
    <row r="53" spans="1:187" s="1197" customFormat="1" ht="14">
      <c r="A53" s="1196"/>
      <c r="B53" s="2091" t="s">
        <v>1383</v>
      </c>
      <c r="C53" s="2093" t="s">
        <v>505</v>
      </c>
      <c r="D53" s="2093" t="s">
        <v>193</v>
      </c>
      <c r="E53" s="2096" t="s">
        <v>1427</v>
      </c>
      <c r="F53" s="2096" t="s">
        <v>1428</v>
      </c>
      <c r="G53" s="2096" t="s">
        <v>1411</v>
      </c>
      <c r="H53" s="2098" t="s">
        <v>1412</v>
      </c>
      <c r="I53" s="1195"/>
      <c r="J53" s="1186"/>
      <c r="K53" s="1186"/>
      <c r="L53" s="1186"/>
      <c r="M53" s="1186"/>
      <c r="N53" s="1186"/>
      <c r="O53" s="1186"/>
      <c r="P53" s="1186"/>
      <c r="Q53" s="1186"/>
      <c r="R53" s="1186"/>
      <c r="S53" s="1186"/>
      <c r="T53" s="1186"/>
      <c r="U53" s="1186"/>
      <c r="V53" s="1186"/>
      <c r="W53" s="1186"/>
      <c r="X53" s="1186"/>
      <c r="Y53" s="1186"/>
      <c r="Z53" s="1186"/>
      <c r="AA53" s="1186"/>
      <c r="AB53" s="1186"/>
      <c r="AC53" s="1186"/>
      <c r="AD53" s="1186"/>
      <c r="AE53" s="1186"/>
      <c r="AF53" s="1186"/>
      <c r="AG53" s="1186"/>
      <c r="AH53" s="1186"/>
      <c r="AI53" s="1186"/>
      <c r="AJ53" s="1186"/>
      <c r="AK53" s="1186"/>
      <c r="AL53" s="1186"/>
      <c r="AM53" s="1186"/>
      <c r="AN53" s="1186"/>
      <c r="AO53" s="1186"/>
      <c r="AP53" s="1186"/>
      <c r="AQ53" s="1186"/>
      <c r="AR53" s="1186"/>
      <c r="AS53" s="1186"/>
      <c r="AT53" s="1186"/>
      <c r="AU53" s="1186"/>
      <c r="AV53" s="1186"/>
      <c r="AW53" s="1186"/>
      <c r="AX53" s="1186"/>
      <c r="AY53" s="1186"/>
      <c r="AZ53" s="1186"/>
      <c r="BA53" s="1186"/>
      <c r="BB53" s="1186"/>
      <c r="BC53" s="1186"/>
      <c r="BD53" s="1186"/>
      <c r="BE53" s="1186"/>
      <c r="BF53" s="1186"/>
      <c r="BG53" s="1186"/>
      <c r="BH53" s="1186"/>
      <c r="BI53" s="1186"/>
      <c r="BJ53" s="1186"/>
      <c r="BK53" s="1186"/>
      <c r="BL53" s="1186"/>
      <c r="BM53" s="1186"/>
      <c r="BN53" s="1186"/>
      <c r="BO53" s="1186"/>
      <c r="BP53" s="1186"/>
      <c r="BQ53" s="1186"/>
      <c r="BR53" s="1186"/>
      <c r="BS53" s="1186"/>
      <c r="BT53" s="1186"/>
      <c r="BU53" s="1186"/>
      <c r="BV53" s="1186"/>
      <c r="BW53" s="1186"/>
      <c r="BX53" s="1186"/>
      <c r="BY53" s="1186"/>
      <c r="BZ53" s="1186"/>
      <c r="CA53" s="1186"/>
      <c r="CB53" s="1186"/>
      <c r="CC53" s="1186"/>
      <c r="CD53" s="1186"/>
      <c r="CE53" s="1186"/>
      <c r="CF53" s="1186"/>
      <c r="CG53" s="1186"/>
      <c r="CH53" s="1186"/>
      <c r="CI53" s="1186"/>
      <c r="CJ53" s="1186"/>
      <c r="CK53" s="1186"/>
      <c r="CL53" s="1186"/>
      <c r="CM53" s="1186"/>
      <c r="CN53" s="1186"/>
      <c r="CO53" s="1186"/>
      <c r="CP53" s="1186"/>
      <c r="CQ53" s="1186"/>
      <c r="CR53" s="1186"/>
      <c r="CS53" s="1186"/>
      <c r="CT53" s="1186"/>
      <c r="CU53" s="1186"/>
      <c r="CV53" s="1186"/>
      <c r="CW53" s="1186"/>
      <c r="CX53" s="1186"/>
      <c r="CY53" s="1186"/>
      <c r="CZ53" s="1186"/>
      <c r="DA53" s="1186"/>
      <c r="DB53" s="1186"/>
      <c r="DC53" s="1186"/>
      <c r="DD53" s="1186"/>
      <c r="DE53" s="1186"/>
      <c r="DF53" s="1186"/>
      <c r="DG53" s="1186"/>
      <c r="DH53" s="1186"/>
      <c r="DI53" s="1186"/>
      <c r="DJ53" s="1186"/>
      <c r="DK53" s="1186"/>
      <c r="DL53" s="1186"/>
      <c r="DM53" s="1186"/>
      <c r="DN53" s="1186"/>
      <c r="DO53" s="1186"/>
      <c r="DP53" s="1186"/>
      <c r="DQ53" s="1186"/>
      <c r="DR53" s="1186"/>
      <c r="DS53" s="1186"/>
      <c r="DT53" s="1186"/>
      <c r="DU53" s="1186"/>
      <c r="DV53" s="1186"/>
      <c r="DW53" s="1186"/>
      <c r="DX53" s="1186"/>
      <c r="DY53" s="1186"/>
      <c r="DZ53" s="1186"/>
      <c r="EA53" s="1186"/>
      <c r="EB53" s="1186"/>
      <c r="EC53" s="1186"/>
      <c r="ED53" s="1186"/>
      <c r="EE53" s="1186"/>
      <c r="EF53" s="1186"/>
      <c r="EG53" s="1186"/>
      <c r="EH53" s="1186"/>
      <c r="EI53" s="1186"/>
      <c r="EJ53" s="1186"/>
      <c r="EK53" s="1186"/>
      <c r="EL53" s="1186"/>
      <c r="EM53" s="1186"/>
      <c r="EN53" s="1186"/>
      <c r="EO53" s="1186"/>
      <c r="EP53" s="1186"/>
      <c r="EQ53" s="1186"/>
      <c r="ER53" s="1186"/>
      <c r="ES53" s="1186"/>
      <c r="ET53" s="1186"/>
      <c r="EU53" s="1186"/>
      <c r="EV53" s="1186"/>
      <c r="EW53" s="1186"/>
      <c r="EX53" s="1186"/>
      <c r="EY53" s="1186"/>
      <c r="EZ53" s="1186"/>
      <c r="FA53" s="1186"/>
      <c r="FB53" s="1186"/>
      <c r="FC53" s="1186"/>
      <c r="FD53" s="1186"/>
      <c r="FE53" s="1186"/>
      <c r="FF53" s="1186"/>
      <c r="FG53" s="1186"/>
      <c r="FH53" s="1186"/>
      <c r="FI53" s="1186"/>
      <c r="FJ53" s="1186"/>
      <c r="FK53" s="1186"/>
      <c r="FL53" s="1186"/>
      <c r="FM53" s="1186"/>
      <c r="FN53" s="1186"/>
      <c r="FO53" s="1186"/>
      <c r="FP53" s="1186"/>
      <c r="FQ53" s="1186"/>
      <c r="FR53" s="1186"/>
      <c r="FS53" s="1186"/>
      <c r="FT53" s="1186"/>
      <c r="FU53" s="1186"/>
      <c r="FV53" s="1186"/>
      <c r="FW53" s="1186"/>
      <c r="FX53" s="1186"/>
      <c r="FY53" s="1186"/>
      <c r="FZ53" s="1186"/>
      <c r="GA53" s="1186"/>
      <c r="GB53" s="1186"/>
      <c r="GC53" s="1186"/>
      <c r="GD53" s="1186"/>
      <c r="GE53" s="1186"/>
    </row>
    <row r="54" spans="1:187" s="1197" customFormat="1" ht="14">
      <c r="A54" s="1196"/>
      <c r="B54" s="2092"/>
      <c r="C54" s="2094"/>
      <c r="D54" s="2094"/>
      <c r="E54" s="2097" t="s">
        <v>1413</v>
      </c>
      <c r="F54" s="2097" t="s">
        <v>1391</v>
      </c>
      <c r="G54" s="2097" t="s">
        <v>1392</v>
      </c>
      <c r="H54" s="2099" t="s">
        <v>1393</v>
      </c>
      <c r="I54" s="1195"/>
      <c r="J54" s="1186"/>
      <c r="K54" s="1186"/>
      <c r="L54" s="1186"/>
      <c r="M54" s="1186"/>
      <c r="N54" s="1186"/>
      <c r="O54" s="1186"/>
      <c r="P54" s="1186"/>
      <c r="Q54" s="1186"/>
      <c r="R54" s="1186"/>
      <c r="S54" s="1186"/>
      <c r="T54" s="1186"/>
      <c r="U54" s="1186"/>
      <c r="V54" s="1186"/>
      <c r="W54" s="1186"/>
      <c r="X54" s="1186"/>
      <c r="Y54" s="1186"/>
      <c r="Z54" s="1186"/>
      <c r="AA54" s="1186"/>
      <c r="AB54" s="1186"/>
      <c r="AC54" s="1186"/>
      <c r="AD54" s="1186"/>
      <c r="AE54" s="1186"/>
      <c r="AF54" s="1186"/>
      <c r="AG54" s="1186"/>
      <c r="AH54" s="1186"/>
      <c r="AI54" s="1186"/>
      <c r="AJ54" s="1186"/>
      <c r="AK54" s="1186"/>
      <c r="AL54" s="1186"/>
      <c r="AM54" s="1186"/>
      <c r="AN54" s="1186"/>
      <c r="AO54" s="1186"/>
      <c r="AP54" s="1186"/>
      <c r="AQ54" s="1186"/>
      <c r="AR54" s="1186"/>
      <c r="AS54" s="1186"/>
      <c r="AT54" s="1186"/>
      <c r="AU54" s="1186"/>
      <c r="AV54" s="1186"/>
      <c r="AW54" s="1186"/>
      <c r="AX54" s="1186"/>
      <c r="AY54" s="1186"/>
      <c r="AZ54" s="1186"/>
      <c r="BA54" s="1186"/>
      <c r="BB54" s="1186"/>
      <c r="BC54" s="1186"/>
      <c r="BD54" s="1186"/>
      <c r="BE54" s="1186"/>
      <c r="BF54" s="1186"/>
      <c r="BG54" s="1186"/>
      <c r="BH54" s="1186"/>
      <c r="BI54" s="1186"/>
      <c r="BJ54" s="1186"/>
      <c r="BK54" s="1186"/>
      <c r="BL54" s="1186"/>
      <c r="BM54" s="1186"/>
      <c r="BN54" s="1186"/>
      <c r="BO54" s="1186"/>
      <c r="BP54" s="1186"/>
      <c r="BQ54" s="1186"/>
      <c r="BR54" s="1186"/>
      <c r="BS54" s="1186"/>
      <c r="BT54" s="1186"/>
      <c r="BU54" s="1186"/>
      <c r="BV54" s="1186"/>
      <c r="BW54" s="1186"/>
      <c r="BX54" s="1186"/>
      <c r="BY54" s="1186"/>
      <c r="BZ54" s="1186"/>
      <c r="CA54" s="1186"/>
      <c r="CB54" s="1186"/>
      <c r="CC54" s="1186"/>
      <c r="CD54" s="1186"/>
      <c r="CE54" s="1186"/>
      <c r="CF54" s="1186"/>
      <c r="CG54" s="1186"/>
      <c r="CH54" s="1186"/>
      <c r="CI54" s="1186"/>
      <c r="CJ54" s="1186"/>
      <c r="CK54" s="1186"/>
      <c r="CL54" s="1186"/>
      <c r="CM54" s="1186"/>
      <c r="CN54" s="1186"/>
      <c r="CO54" s="1186"/>
      <c r="CP54" s="1186"/>
      <c r="CQ54" s="1186"/>
      <c r="CR54" s="1186"/>
      <c r="CS54" s="1186"/>
      <c r="CT54" s="1186"/>
      <c r="CU54" s="1186"/>
      <c r="CV54" s="1186"/>
      <c r="CW54" s="1186"/>
      <c r="CX54" s="1186"/>
      <c r="CY54" s="1186"/>
      <c r="CZ54" s="1186"/>
      <c r="DA54" s="1186"/>
      <c r="DB54" s="1186"/>
      <c r="DC54" s="1186"/>
      <c r="DD54" s="1186"/>
      <c r="DE54" s="1186"/>
      <c r="DF54" s="1186"/>
      <c r="DG54" s="1186"/>
      <c r="DH54" s="1186"/>
      <c r="DI54" s="1186"/>
      <c r="DJ54" s="1186"/>
      <c r="DK54" s="1186"/>
      <c r="DL54" s="1186"/>
      <c r="DM54" s="1186"/>
      <c r="DN54" s="1186"/>
      <c r="DO54" s="1186"/>
      <c r="DP54" s="1186"/>
      <c r="DQ54" s="1186"/>
      <c r="DR54" s="1186"/>
      <c r="DS54" s="1186"/>
      <c r="DT54" s="1186"/>
      <c r="DU54" s="1186"/>
      <c r="DV54" s="1186"/>
      <c r="DW54" s="1186"/>
      <c r="DX54" s="1186"/>
      <c r="DY54" s="1186"/>
      <c r="DZ54" s="1186"/>
      <c r="EA54" s="1186"/>
      <c r="EB54" s="1186"/>
      <c r="EC54" s="1186"/>
      <c r="ED54" s="1186"/>
      <c r="EE54" s="1186"/>
      <c r="EF54" s="1186"/>
      <c r="EG54" s="1186"/>
      <c r="EH54" s="1186"/>
      <c r="EI54" s="1186"/>
      <c r="EJ54" s="1186"/>
      <c r="EK54" s="1186"/>
      <c r="EL54" s="1186"/>
      <c r="EM54" s="1186"/>
      <c r="EN54" s="1186"/>
      <c r="EO54" s="1186"/>
      <c r="EP54" s="1186"/>
      <c r="EQ54" s="1186"/>
      <c r="ER54" s="1186"/>
      <c r="ES54" s="1186"/>
      <c r="ET54" s="1186"/>
      <c r="EU54" s="1186"/>
      <c r="EV54" s="1186"/>
      <c r="EW54" s="1186"/>
      <c r="EX54" s="1186"/>
      <c r="EY54" s="1186"/>
      <c r="EZ54" s="1186"/>
      <c r="FA54" s="1186"/>
      <c r="FB54" s="1186"/>
      <c r="FC54" s="1186"/>
      <c r="FD54" s="1186"/>
      <c r="FE54" s="1186"/>
      <c r="FF54" s="1186"/>
      <c r="FG54" s="1186"/>
      <c r="FH54" s="1186"/>
      <c r="FI54" s="1186"/>
      <c r="FJ54" s="1186"/>
      <c r="FK54" s="1186"/>
      <c r="FL54" s="1186"/>
      <c r="FM54" s="1186"/>
      <c r="FN54" s="1186"/>
      <c r="FO54" s="1186"/>
      <c r="FP54" s="1186"/>
      <c r="FQ54" s="1186"/>
      <c r="FR54" s="1186"/>
      <c r="FS54" s="1186"/>
      <c r="FT54" s="1186"/>
      <c r="FU54" s="1186"/>
      <c r="FV54" s="1186"/>
      <c r="FW54" s="1186"/>
      <c r="FX54" s="1186"/>
      <c r="FY54" s="1186"/>
      <c r="FZ54" s="1186"/>
      <c r="GA54" s="1186"/>
      <c r="GB54" s="1186"/>
      <c r="GC54" s="1186"/>
      <c r="GD54" s="1186"/>
      <c r="GE54" s="1186"/>
    </row>
    <row r="55" spans="1:187" s="1197" customFormat="1" ht="14.5" thickBot="1">
      <c r="A55" s="1196"/>
      <c r="B55" s="1198" t="s">
        <v>1429</v>
      </c>
      <c r="C55" s="2095"/>
      <c r="D55" s="2095"/>
      <c r="E55" s="1199" t="s">
        <v>1430</v>
      </c>
      <c r="F55" s="1199" t="s">
        <v>1431</v>
      </c>
      <c r="G55" s="1199" t="s">
        <v>1432</v>
      </c>
      <c r="H55" s="1200" t="s">
        <v>1433</v>
      </c>
      <c r="I55" s="1195"/>
      <c r="J55" s="1186"/>
      <c r="K55" s="1186"/>
      <c r="L55" s="1186"/>
      <c r="M55" s="1186"/>
      <c r="N55" s="1186"/>
      <c r="O55" s="1186"/>
      <c r="P55" s="1186"/>
      <c r="Q55" s="1186"/>
      <c r="R55" s="1186"/>
      <c r="S55" s="1186"/>
      <c r="T55" s="1186"/>
      <c r="U55" s="1186"/>
      <c r="V55" s="1186"/>
      <c r="W55" s="1186"/>
      <c r="X55" s="1186"/>
      <c r="Y55" s="1186"/>
      <c r="Z55" s="1186"/>
      <c r="AA55" s="1186"/>
      <c r="AB55" s="1186"/>
      <c r="AC55" s="1186"/>
      <c r="AD55" s="1186"/>
      <c r="AE55" s="1186"/>
      <c r="AF55" s="1186"/>
      <c r="AG55" s="1186"/>
      <c r="AH55" s="1186"/>
      <c r="AI55" s="1186"/>
      <c r="AJ55" s="1186"/>
      <c r="AK55" s="1186"/>
      <c r="AL55" s="1186"/>
      <c r="AM55" s="1186"/>
      <c r="AN55" s="1186"/>
      <c r="AO55" s="1186"/>
      <c r="AP55" s="1186"/>
      <c r="AQ55" s="1186"/>
      <c r="AR55" s="1186"/>
      <c r="AS55" s="1186"/>
      <c r="AT55" s="1186"/>
      <c r="AU55" s="1186"/>
      <c r="AV55" s="1186"/>
      <c r="AW55" s="1186"/>
      <c r="AX55" s="1186"/>
      <c r="AY55" s="1186"/>
      <c r="AZ55" s="1186"/>
      <c r="BA55" s="1186"/>
      <c r="BB55" s="1186"/>
      <c r="BC55" s="1186"/>
      <c r="BD55" s="1186"/>
      <c r="BE55" s="1186"/>
      <c r="BF55" s="1186"/>
      <c r="BG55" s="1186"/>
      <c r="BH55" s="1186"/>
      <c r="BI55" s="1186"/>
      <c r="BJ55" s="1186"/>
      <c r="BK55" s="1186"/>
      <c r="BL55" s="1186"/>
      <c r="BM55" s="1186"/>
      <c r="BN55" s="1186"/>
      <c r="BO55" s="1186"/>
      <c r="BP55" s="1186"/>
      <c r="BQ55" s="1186"/>
      <c r="BR55" s="1186"/>
      <c r="BS55" s="1186"/>
      <c r="BT55" s="1186"/>
      <c r="BU55" s="1186"/>
      <c r="BV55" s="1186"/>
      <c r="BW55" s="1186"/>
      <c r="BX55" s="1186"/>
      <c r="BY55" s="1186"/>
      <c r="BZ55" s="1186"/>
      <c r="CA55" s="1186"/>
      <c r="CB55" s="1186"/>
      <c r="CC55" s="1186"/>
      <c r="CD55" s="1186"/>
      <c r="CE55" s="1186"/>
      <c r="CF55" s="1186"/>
      <c r="CG55" s="1186"/>
      <c r="CH55" s="1186"/>
      <c r="CI55" s="1186"/>
      <c r="CJ55" s="1186"/>
      <c r="CK55" s="1186"/>
      <c r="CL55" s="1186"/>
      <c r="CM55" s="1186"/>
      <c r="CN55" s="1186"/>
      <c r="CO55" s="1186"/>
      <c r="CP55" s="1186"/>
      <c r="CQ55" s="1186"/>
      <c r="CR55" s="1186"/>
      <c r="CS55" s="1186"/>
      <c r="CT55" s="1186"/>
      <c r="CU55" s="1186"/>
      <c r="CV55" s="1186"/>
      <c r="CW55" s="1186"/>
      <c r="CX55" s="1186"/>
      <c r="CY55" s="1186"/>
      <c r="CZ55" s="1186"/>
      <c r="DA55" s="1186"/>
      <c r="DB55" s="1186"/>
      <c r="DC55" s="1186"/>
      <c r="DD55" s="1186"/>
      <c r="DE55" s="1186"/>
      <c r="DF55" s="1186"/>
      <c r="DG55" s="1186"/>
      <c r="DH55" s="1186"/>
      <c r="DI55" s="1186"/>
      <c r="DJ55" s="1186"/>
      <c r="DK55" s="1186"/>
      <c r="DL55" s="1186"/>
      <c r="DM55" s="1186"/>
      <c r="DN55" s="1186"/>
      <c r="DO55" s="1186"/>
      <c r="DP55" s="1186"/>
      <c r="DQ55" s="1186"/>
      <c r="DR55" s="1186"/>
      <c r="DS55" s="1186"/>
      <c r="DT55" s="1186"/>
      <c r="DU55" s="1186"/>
      <c r="DV55" s="1186"/>
      <c r="DW55" s="1186"/>
      <c r="DX55" s="1186"/>
      <c r="DY55" s="1186"/>
      <c r="DZ55" s="1186"/>
      <c r="EA55" s="1186"/>
      <c r="EB55" s="1186"/>
      <c r="EC55" s="1186"/>
      <c r="ED55" s="1186"/>
      <c r="EE55" s="1186"/>
      <c r="EF55" s="1186"/>
      <c r="EG55" s="1186"/>
      <c r="EH55" s="1186"/>
      <c r="EI55" s="1186"/>
      <c r="EJ55" s="1186"/>
      <c r="EK55" s="1186"/>
      <c r="EL55" s="1186"/>
      <c r="EM55" s="1186"/>
      <c r="EN55" s="1186"/>
      <c r="EO55" s="1186"/>
      <c r="EP55" s="1186"/>
      <c r="EQ55" s="1186"/>
      <c r="ER55" s="1186"/>
      <c r="ES55" s="1186"/>
      <c r="ET55" s="1186"/>
      <c r="EU55" s="1186"/>
      <c r="EV55" s="1186"/>
      <c r="EW55" s="1186"/>
      <c r="EX55" s="1186"/>
      <c r="EY55" s="1186"/>
      <c r="EZ55" s="1186"/>
      <c r="FA55" s="1186"/>
      <c r="FB55" s="1186"/>
      <c r="FC55" s="1186"/>
      <c r="FD55" s="1186"/>
      <c r="FE55" s="1186"/>
      <c r="FF55" s="1186"/>
      <c r="FG55" s="1186"/>
      <c r="FH55" s="1186"/>
      <c r="FI55" s="1186"/>
      <c r="FJ55" s="1186"/>
      <c r="FK55" s="1186"/>
      <c r="FL55" s="1186"/>
      <c r="FM55" s="1186"/>
      <c r="FN55" s="1186"/>
      <c r="FO55" s="1186"/>
      <c r="FP55" s="1186"/>
      <c r="FQ55" s="1186"/>
      <c r="FR55" s="1186"/>
      <c r="FS55" s="1186"/>
      <c r="FT55" s="1186"/>
      <c r="FU55" s="1186"/>
      <c r="FV55" s="1186"/>
      <c r="FW55" s="1186"/>
      <c r="FX55" s="1186"/>
      <c r="FY55" s="1186"/>
      <c r="FZ55" s="1186"/>
      <c r="GA55" s="1186"/>
      <c r="GB55" s="1186"/>
      <c r="GC55" s="1186"/>
      <c r="GD55" s="1186"/>
      <c r="GE55" s="1186"/>
    </row>
    <row r="56" spans="1:187" s="1197" customFormat="1" ht="14">
      <c r="A56" s="1196"/>
      <c r="B56" s="2115" t="s">
        <v>1434</v>
      </c>
      <c r="C56" s="2116"/>
      <c r="D56" s="2116"/>
      <c r="E56" s="2116"/>
      <c r="F56" s="2116"/>
      <c r="G56" s="2116"/>
      <c r="H56" s="2117"/>
      <c r="I56" s="1195"/>
      <c r="J56" s="1186"/>
      <c r="K56" s="1186"/>
      <c r="L56" s="1186"/>
      <c r="M56" s="1186"/>
      <c r="N56" s="1186"/>
      <c r="O56" s="1186"/>
      <c r="P56" s="1186"/>
      <c r="Q56" s="1186"/>
      <c r="R56" s="1186"/>
      <c r="S56" s="1186"/>
      <c r="T56" s="1186"/>
      <c r="U56" s="1186"/>
      <c r="V56" s="1186"/>
      <c r="W56" s="1186"/>
      <c r="X56" s="1186"/>
      <c r="Y56" s="1186"/>
      <c r="Z56" s="1186"/>
      <c r="AA56" s="1186"/>
      <c r="AB56" s="1186"/>
      <c r="AC56" s="1186"/>
      <c r="AD56" s="1186"/>
      <c r="AE56" s="1186"/>
      <c r="AF56" s="1186"/>
      <c r="AG56" s="1186"/>
      <c r="AH56" s="1186"/>
      <c r="AI56" s="1186"/>
      <c r="AJ56" s="1186"/>
      <c r="AK56" s="1186"/>
      <c r="AL56" s="1186"/>
      <c r="AM56" s="1186"/>
      <c r="AN56" s="1186"/>
      <c r="AO56" s="1186"/>
      <c r="AP56" s="1186"/>
      <c r="AQ56" s="1186"/>
      <c r="AR56" s="1186"/>
      <c r="AS56" s="1186"/>
      <c r="AT56" s="1186"/>
      <c r="AU56" s="1186"/>
      <c r="AV56" s="1186"/>
      <c r="AW56" s="1186"/>
      <c r="AX56" s="1186"/>
      <c r="AY56" s="1186"/>
      <c r="AZ56" s="1186"/>
      <c r="BA56" s="1186"/>
      <c r="BB56" s="1186"/>
      <c r="BC56" s="1186"/>
      <c r="BD56" s="1186"/>
      <c r="BE56" s="1186"/>
      <c r="BF56" s="1186"/>
      <c r="BG56" s="1186"/>
      <c r="BH56" s="1186"/>
      <c r="BI56" s="1186"/>
      <c r="BJ56" s="1186"/>
      <c r="BK56" s="1186"/>
      <c r="BL56" s="1186"/>
      <c r="BM56" s="1186"/>
      <c r="BN56" s="1186"/>
      <c r="BO56" s="1186"/>
      <c r="BP56" s="1186"/>
      <c r="BQ56" s="1186"/>
      <c r="BR56" s="1186"/>
      <c r="BS56" s="1186"/>
      <c r="BT56" s="1186"/>
      <c r="BU56" s="1186"/>
      <c r="BV56" s="1186"/>
      <c r="BW56" s="1186"/>
      <c r="BX56" s="1186"/>
      <c r="BY56" s="1186"/>
      <c r="BZ56" s="1186"/>
      <c r="CA56" s="1186"/>
      <c r="CB56" s="1186"/>
      <c r="CC56" s="1186"/>
      <c r="CD56" s="1186"/>
      <c r="CE56" s="1186"/>
      <c r="CF56" s="1186"/>
      <c r="CG56" s="1186"/>
      <c r="CH56" s="1186"/>
      <c r="CI56" s="1186"/>
      <c r="CJ56" s="1186"/>
      <c r="CK56" s="1186"/>
      <c r="CL56" s="1186"/>
      <c r="CM56" s="1186"/>
      <c r="CN56" s="1186"/>
      <c r="CO56" s="1186"/>
      <c r="CP56" s="1186"/>
      <c r="CQ56" s="1186"/>
      <c r="CR56" s="1186"/>
      <c r="CS56" s="1186"/>
      <c r="CT56" s="1186"/>
      <c r="CU56" s="1186"/>
      <c r="CV56" s="1186"/>
      <c r="CW56" s="1186"/>
      <c r="CX56" s="1186"/>
      <c r="CY56" s="1186"/>
      <c r="CZ56" s="1186"/>
      <c r="DA56" s="1186"/>
      <c r="DB56" s="1186"/>
      <c r="DC56" s="1186"/>
      <c r="DD56" s="1186"/>
      <c r="DE56" s="1186"/>
      <c r="DF56" s="1186"/>
      <c r="DG56" s="1186"/>
      <c r="DH56" s="1186"/>
      <c r="DI56" s="1186"/>
      <c r="DJ56" s="1186"/>
      <c r="DK56" s="1186"/>
      <c r="DL56" s="1186"/>
      <c r="DM56" s="1186"/>
      <c r="DN56" s="1186"/>
      <c r="DO56" s="1186"/>
      <c r="DP56" s="1186"/>
      <c r="DQ56" s="1186"/>
      <c r="DR56" s="1186"/>
      <c r="DS56" s="1186"/>
      <c r="DT56" s="1186"/>
      <c r="DU56" s="1186"/>
      <c r="DV56" s="1186"/>
      <c r="DW56" s="1186"/>
      <c r="DX56" s="1186"/>
      <c r="DY56" s="1186"/>
      <c r="DZ56" s="1186"/>
      <c r="EA56" s="1186"/>
      <c r="EB56" s="1186"/>
      <c r="EC56" s="1186"/>
      <c r="ED56" s="1186"/>
      <c r="EE56" s="1186"/>
      <c r="EF56" s="1186"/>
      <c r="EG56" s="1186"/>
      <c r="EH56" s="1186"/>
      <c r="EI56" s="1186"/>
      <c r="EJ56" s="1186"/>
      <c r="EK56" s="1186"/>
      <c r="EL56" s="1186"/>
      <c r="EM56" s="1186"/>
      <c r="EN56" s="1186"/>
      <c r="EO56" s="1186"/>
      <c r="EP56" s="1186"/>
      <c r="EQ56" s="1186"/>
      <c r="ER56" s="1186"/>
      <c r="ES56" s="1186"/>
      <c r="ET56" s="1186"/>
      <c r="EU56" s="1186"/>
      <c r="EV56" s="1186"/>
      <c r="EW56" s="1186"/>
      <c r="EX56" s="1186"/>
      <c r="EY56" s="1186"/>
      <c r="EZ56" s="1186"/>
      <c r="FA56" s="1186"/>
      <c r="FB56" s="1186"/>
      <c r="FC56" s="1186"/>
      <c r="FD56" s="1186"/>
      <c r="FE56" s="1186"/>
      <c r="FF56" s="1186"/>
      <c r="FG56" s="1186"/>
      <c r="FH56" s="1186"/>
      <c r="FI56" s="1186"/>
      <c r="FJ56" s="1186"/>
      <c r="FK56" s="1186"/>
      <c r="FL56" s="1186"/>
      <c r="FM56" s="1186"/>
      <c r="FN56" s="1186"/>
      <c r="FO56" s="1186"/>
      <c r="FP56" s="1186"/>
      <c r="FQ56" s="1186"/>
      <c r="FR56" s="1186"/>
      <c r="FS56" s="1186"/>
      <c r="FT56" s="1186"/>
      <c r="FU56" s="1186"/>
      <c r="FV56" s="1186"/>
      <c r="FW56" s="1186"/>
      <c r="FX56" s="1186"/>
      <c r="FY56" s="1186"/>
      <c r="FZ56" s="1186"/>
      <c r="GA56" s="1186"/>
      <c r="GB56" s="1186"/>
      <c r="GC56" s="1186"/>
      <c r="GD56" s="1186"/>
      <c r="GE56" s="1186"/>
    </row>
    <row r="57" spans="1:187" s="1197" customFormat="1" ht="75">
      <c r="A57" s="1196"/>
      <c r="B57" s="535">
        <v>1</v>
      </c>
      <c r="C57" s="1217" t="s">
        <v>1435</v>
      </c>
      <c r="D57" s="1206" t="s">
        <v>1097</v>
      </c>
      <c r="E57" s="1216">
        <f>+'1'!H38</f>
        <v>969517</v>
      </c>
      <c r="F57" s="1218">
        <v>1</v>
      </c>
      <c r="G57" s="1218">
        <v>0.5</v>
      </c>
      <c r="H57" s="1208">
        <f>IF(B57="","",ROUND(B57*E57*F57*G57,0))</f>
        <v>484759</v>
      </c>
      <c r="I57" s="1195"/>
      <c r="J57" s="1186"/>
      <c r="K57" s="1186"/>
      <c r="L57" s="1186"/>
      <c r="M57" s="1186"/>
      <c r="N57" s="1186"/>
      <c r="O57" s="1186"/>
      <c r="P57" s="1186"/>
      <c r="Q57" s="1186"/>
      <c r="R57" s="1186"/>
      <c r="S57" s="1186"/>
      <c r="T57" s="1186"/>
      <c r="U57" s="1186"/>
      <c r="V57" s="1186"/>
      <c r="W57" s="1186"/>
      <c r="X57" s="1186"/>
      <c r="Y57" s="1186"/>
      <c r="Z57" s="1186"/>
      <c r="AA57" s="1186"/>
      <c r="AB57" s="1186"/>
      <c r="AC57" s="1186"/>
      <c r="AD57" s="1186"/>
      <c r="AE57" s="1186"/>
      <c r="AF57" s="1186"/>
      <c r="AG57" s="1186"/>
      <c r="AH57" s="1186"/>
      <c r="AI57" s="1186"/>
      <c r="AJ57" s="1186"/>
      <c r="AK57" s="1186"/>
      <c r="AL57" s="1186"/>
      <c r="AM57" s="1186"/>
      <c r="AN57" s="1186"/>
      <c r="AO57" s="1186"/>
      <c r="AP57" s="1186"/>
      <c r="AQ57" s="1186"/>
      <c r="AR57" s="1186"/>
      <c r="AS57" s="1186"/>
      <c r="AT57" s="1186"/>
      <c r="AU57" s="1186"/>
      <c r="AV57" s="1186"/>
      <c r="AW57" s="1186"/>
      <c r="AX57" s="1186"/>
      <c r="AY57" s="1186"/>
      <c r="AZ57" s="1186"/>
      <c r="BA57" s="1186"/>
      <c r="BB57" s="1186"/>
      <c r="BC57" s="1186"/>
      <c r="BD57" s="1186"/>
      <c r="BE57" s="1186"/>
      <c r="BF57" s="1186"/>
      <c r="BG57" s="1186"/>
      <c r="BH57" s="1186"/>
      <c r="BI57" s="1186"/>
      <c r="BJ57" s="1186"/>
      <c r="BK57" s="1186"/>
      <c r="BL57" s="1186"/>
      <c r="BM57" s="1186"/>
      <c r="BN57" s="1186"/>
      <c r="BO57" s="1186"/>
      <c r="BP57" s="1186"/>
      <c r="BQ57" s="1186"/>
      <c r="BR57" s="1186"/>
      <c r="BS57" s="1186"/>
      <c r="BT57" s="1186"/>
      <c r="BU57" s="1186"/>
      <c r="BV57" s="1186"/>
      <c r="BW57" s="1186"/>
      <c r="BX57" s="1186"/>
      <c r="BY57" s="1186"/>
      <c r="BZ57" s="1186"/>
      <c r="CA57" s="1186"/>
      <c r="CB57" s="1186"/>
      <c r="CC57" s="1186"/>
      <c r="CD57" s="1186"/>
      <c r="CE57" s="1186"/>
      <c r="CF57" s="1186"/>
      <c r="CG57" s="1186"/>
      <c r="CH57" s="1186"/>
      <c r="CI57" s="1186"/>
      <c r="CJ57" s="1186"/>
      <c r="CK57" s="1186"/>
      <c r="CL57" s="1186"/>
      <c r="CM57" s="1186"/>
      <c r="CN57" s="1186"/>
      <c r="CO57" s="1186"/>
      <c r="CP57" s="1186"/>
      <c r="CQ57" s="1186"/>
      <c r="CR57" s="1186"/>
      <c r="CS57" s="1186"/>
      <c r="CT57" s="1186"/>
      <c r="CU57" s="1186"/>
      <c r="CV57" s="1186"/>
      <c r="CW57" s="1186"/>
      <c r="CX57" s="1186"/>
      <c r="CY57" s="1186"/>
      <c r="CZ57" s="1186"/>
      <c r="DA57" s="1186"/>
      <c r="DB57" s="1186"/>
      <c r="DC57" s="1186"/>
      <c r="DD57" s="1186"/>
      <c r="DE57" s="1186"/>
      <c r="DF57" s="1186"/>
      <c r="DG57" s="1186"/>
      <c r="DH57" s="1186"/>
      <c r="DI57" s="1186"/>
      <c r="DJ57" s="1186"/>
      <c r="DK57" s="1186"/>
      <c r="DL57" s="1186"/>
      <c r="DM57" s="1186"/>
      <c r="DN57" s="1186"/>
      <c r="DO57" s="1186"/>
      <c r="DP57" s="1186"/>
      <c r="DQ57" s="1186"/>
      <c r="DR57" s="1186"/>
      <c r="DS57" s="1186"/>
      <c r="DT57" s="1186"/>
      <c r="DU57" s="1186"/>
      <c r="DV57" s="1186"/>
      <c r="DW57" s="1186"/>
      <c r="DX57" s="1186"/>
      <c r="DY57" s="1186"/>
      <c r="DZ57" s="1186"/>
      <c r="EA57" s="1186"/>
      <c r="EB57" s="1186"/>
      <c r="EC57" s="1186"/>
      <c r="ED57" s="1186"/>
      <c r="EE57" s="1186"/>
      <c r="EF57" s="1186"/>
      <c r="EG57" s="1186"/>
      <c r="EH57" s="1186"/>
      <c r="EI57" s="1186"/>
      <c r="EJ57" s="1186"/>
      <c r="EK57" s="1186"/>
      <c r="EL57" s="1186"/>
      <c r="EM57" s="1186"/>
      <c r="EN57" s="1186"/>
      <c r="EO57" s="1186"/>
      <c r="EP57" s="1186"/>
      <c r="EQ57" s="1186"/>
      <c r="ER57" s="1186"/>
      <c r="ES57" s="1186"/>
      <c r="ET57" s="1186"/>
      <c r="EU57" s="1186"/>
      <c r="EV57" s="1186"/>
      <c r="EW57" s="1186"/>
      <c r="EX57" s="1186"/>
      <c r="EY57" s="1186"/>
      <c r="EZ57" s="1186"/>
      <c r="FA57" s="1186"/>
      <c r="FB57" s="1186"/>
      <c r="FC57" s="1186"/>
      <c r="FD57" s="1186"/>
      <c r="FE57" s="1186"/>
      <c r="FF57" s="1186"/>
      <c r="FG57" s="1186"/>
      <c r="FH57" s="1186"/>
      <c r="FI57" s="1186"/>
      <c r="FJ57" s="1186"/>
      <c r="FK57" s="1186"/>
      <c r="FL57" s="1186"/>
      <c r="FM57" s="1186"/>
      <c r="FN57" s="1186"/>
      <c r="FO57" s="1186"/>
      <c r="FP57" s="1186"/>
      <c r="FQ57" s="1186"/>
      <c r="FR57" s="1186"/>
      <c r="FS57" s="1186"/>
      <c r="FT57" s="1186"/>
      <c r="FU57" s="1186"/>
      <c r="FV57" s="1186"/>
      <c r="FW57" s="1186"/>
      <c r="FX57" s="1186"/>
      <c r="FY57" s="1186"/>
      <c r="FZ57" s="1186"/>
      <c r="GA57" s="1186"/>
      <c r="GB57" s="1186"/>
      <c r="GC57" s="1186"/>
      <c r="GD57" s="1186"/>
      <c r="GE57" s="1186"/>
    </row>
    <row r="58" spans="1:187" s="1197" customFormat="1" ht="14">
      <c r="A58" s="1196"/>
      <c r="B58" s="2092" t="s">
        <v>1383</v>
      </c>
      <c r="C58" s="2131" t="s">
        <v>505</v>
      </c>
      <c r="D58" s="2097" t="s">
        <v>193</v>
      </c>
      <c r="E58" s="2097" t="s">
        <v>1436</v>
      </c>
      <c r="F58" s="2120" t="s">
        <v>1437</v>
      </c>
      <c r="G58" s="2121"/>
      <c r="H58" s="2099" t="s">
        <v>488</v>
      </c>
      <c r="I58" s="1195"/>
      <c r="J58" s="1186"/>
      <c r="K58" s="1186"/>
      <c r="L58" s="1186"/>
      <c r="M58" s="1186"/>
      <c r="N58" s="1186"/>
      <c r="O58" s="1186"/>
      <c r="P58" s="1186"/>
      <c r="Q58" s="1186"/>
      <c r="R58" s="1186"/>
      <c r="S58" s="1186"/>
      <c r="T58" s="1186"/>
      <c r="U58" s="1186"/>
      <c r="V58" s="1186"/>
      <c r="W58" s="1186"/>
      <c r="X58" s="1186"/>
      <c r="Y58" s="1186"/>
      <c r="Z58" s="1186"/>
      <c r="AA58" s="1186"/>
      <c r="AB58" s="1186"/>
      <c r="AC58" s="1186"/>
      <c r="AD58" s="1186"/>
      <c r="AE58" s="1186"/>
      <c r="AF58" s="1186"/>
      <c r="AG58" s="1186"/>
      <c r="AH58" s="1186"/>
      <c r="AI58" s="1186"/>
      <c r="AJ58" s="1186"/>
      <c r="AK58" s="1186"/>
      <c r="AL58" s="1186"/>
      <c r="AM58" s="1186"/>
      <c r="AN58" s="1186"/>
      <c r="AO58" s="1186"/>
      <c r="AP58" s="1186"/>
      <c r="AQ58" s="1186"/>
      <c r="AR58" s="1186"/>
      <c r="AS58" s="1186"/>
      <c r="AT58" s="1186"/>
      <c r="AU58" s="1186"/>
      <c r="AV58" s="1186"/>
      <c r="AW58" s="1186"/>
      <c r="AX58" s="1186"/>
      <c r="AY58" s="1186"/>
      <c r="AZ58" s="1186"/>
      <c r="BA58" s="1186"/>
      <c r="BB58" s="1186"/>
      <c r="BC58" s="1186"/>
      <c r="BD58" s="1186"/>
      <c r="BE58" s="1186"/>
      <c r="BF58" s="1186"/>
      <c r="BG58" s="1186"/>
      <c r="BH58" s="1186"/>
      <c r="BI58" s="1186"/>
      <c r="BJ58" s="1186"/>
      <c r="BK58" s="1186"/>
      <c r="BL58" s="1186"/>
      <c r="BM58" s="1186"/>
      <c r="BN58" s="1186"/>
      <c r="BO58" s="1186"/>
      <c r="BP58" s="1186"/>
      <c r="BQ58" s="1186"/>
      <c r="BR58" s="1186"/>
      <c r="BS58" s="1186"/>
      <c r="BT58" s="1186"/>
      <c r="BU58" s="1186"/>
      <c r="BV58" s="1186"/>
      <c r="BW58" s="1186"/>
      <c r="BX58" s="1186"/>
      <c r="BY58" s="1186"/>
      <c r="BZ58" s="1186"/>
      <c r="CA58" s="1186"/>
      <c r="CB58" s="1186"/>
      <c r="CC58" s="1186"/>
      <c r="CD58" s="1186"/>
      <c r="CE58" s="1186"/>
      <c r="CF58" s="1186"/>
      <c r="CG58" s="1186"/>
      <c r="CH58" s="1186"/>
      <c r="CI58" s="1186"/>
      <c r="CJ58" s="1186"/>
      <c r="CK58" s="1186"/>
      <c r="CL58" s="1186"/>
      <c r="CM58" s="1186"/>
      <c r="CN58" s="1186"/>
      <c r="CO58" s="1186"/>
      <c r="CP58" s="1186"/>
      <c r="CQ58" s="1186"/>
      <c r="CR58" s="1186"/>
      <c r="CS58" s="1186"/>
      <c r="CT58" s="1186"/>
      <c r="CU58" s="1186"/>
      <c r="CV58" s="1186"/>
      <c r="CW58" s="1186"/>
      <c r="CX58" s="1186"/>
      <c r="CY58" s="1186"/>
      <c r="CZ58" s="1186"/>
      <c r="DA58" s="1186"/>
      <c r="DB58" s="1186"/>
      <c r="DC58" s="1186"/>
      <c r="DD58" s="1186"/>
      <c r="DE58" s="1186"/>
      <c r="DF58" s="1186"/>
      <c r="DG58" s="1186"/>
      <c r="DH58" s="1186"/>
      <c r="DI58" s="1186"/>
      <c r="DJ58" s="1186"/>
      <c r="DK58" s="1186"/>
      <c r="DL58" s="1186"/>
      <c r="DM58" s="1186"/>
      <c r="DN58" s="1186"/>
      <c r="DO58" s="1186"/>
      <c r="DP58" s="1186"/>
      <c r="DQ58" s="1186"/>
      <c r="DR58" s="1186"/>
      <c r="DS58" s="1186"/>
      <c r="DT58" s="1186"/>
      <c r="DU58" s="1186"/>
      <c r="DV58" s="1186"/>
      <c r="DW58" s="1186"/>
      <c r="DX58" s="1186"/>
      <c r="DY58" s="1186"/>
      <c r="DZ58" s="1186"/>
      <c r="EA58" s="1186"/>
      <c r="EB58" s="1186"/>
      <c r="EC58" s="1186"/>
      <c r="ED58" s="1186"/>
      <c r="EE58" s="1186"/>
      <c r="EF58" s="1186"/>
      <c r="EG58" s="1186"/>
      <c r="EH58" s="1186"/>
      <c r="EI58" s="1186"/>
      <c r="EJ58" s="1186"/>
      <c r="EK58" s="1186"/>
      <c r="EL58" s="1186"/>
      <c r="EM58" s="1186"/>
      <c r="EN58" s="1186"/>
      <c r="EO58" s="1186"/>
      <c r="EP58" s="1186"/>
      <c r="EQ58" s="1186"/>
      <c r="ER58" s="1186"/>
      <c r="ES58" s="1186"/>
      <c r="ET58" s="1186"/>
      <c r="EU58" s="1186"/>
      <c r="EV58" s="1186"/>
      <c r="EW58" s="1186"/>
      <c r="EX58" s="1186"/>
      <c r="EY58" s="1186"/>
      <c r="EZ58" s="1186"/>
      <c r="FA58" s="1186"/>
      <c r="FB58" s="1186"/>
      <c r="FC58" s="1186"/>
      <c r="FD58" s="1186"/>
      <c r="FE58" s="1186"/>
      <c r="FF58" s="1186"/>
      <c r="FG58" s="1186"/>
      <c r="FH58" s="1186"/>
      <c r="FI58" s="1186"/>
      <c r="FJ58" s="1186"/>
      <c r="FK58" s="1186"/>
      <c r="FL58" s="1186"/>
      <c r="FM58" s="1186"/>
      <c r="FN58" s="1186"/>
      <c r="FO58" s="1186"/>
      <c r="FP58" s="1186"/>
      <c r="FQ58" s="1186"/>
      <c r="FR58" s="1186"/>
      <c r="FS58" s="1186"/>
      <c r="FT58" s="1186"/>
      <c r="FU58" s="1186"/>
      <c r="FV58" s="1186"/>
      <c r="FW58" s="1186"/>
      <c r="FX58" s="1186"/>
      <c r="FY58" s="1186"/>
      <c r="FZ58" s="1186"/>
      <c r="GA58" s="1186"/>
      <c r="GB58" s="1186"/>
      <c r="GC58" s="1186"/>
      <c r="GD58" s="1186"/>
      <c r="GE58" s="1186"/>
    </row>
    <row r="59" spans="1:187" s="1197" customFormat="1" ht="14">
      <c r="A59" s="1196"/>
      <c r="B59" s="2130"/>
      <c r="C59" s="2132"/>
      <c r="D59" s="2133"/>
      <c r="E59" s="2133" t="s">
        <v>1413</v>
      </c>
      <c r="F59" s="2120"/>
      <c r="G59" s="2121"/>
      <c r="H59" s="2136" t="s">
        <v>1393</v>
      </c>
      <c r="I59" s="1195"/>
      <c r="J59" s="1186"/>
      <c r="K59" s="1186"/>
      <c r="L59" s="1186"/>
      <c r="M59" s="1186"/>
      <c r="N59" s="1186"/>
      <c r="O59" s="1186"/>
      <c r="P59" s="1186"/>
      <c r="Q59" s="1186"/>
      <c r="R59" s="1186"/>
      <c r="S59" s="1186"/>
      <c r="T59" s="1186"/>
      <c r="U59" s="1186"/>
      <c r="V59" s="1186"/>
      <c r="W59" s="1186"/>
      <c r="X59" s="1186"/>
      <c r="Y59" s="1186"/>
      <c r="Z59" s="1186"/>
      <c r="AA59" s="1186"/>
      <c r="AB59" s="1186"/>
      <c r="AC59" s="1186"/>
      <c r="AD59" s="1186"/>
      <c r="AE59" s="1186"/>
      <c r="AF59" s="1186"/>
      <c r="AG59" s="1186"/>
      <c r="AH59" s="1186"/>
      <c r="AI59" s="1186"/>
      <c r="AJ59" s="1186"/>
      <c r="AK59" s="1186"/>
      <c r="AL59" s="1186"/>
      <c r="AM59" s="1186"/>
      <c r="AN59" s="1186"/>
      <c r="AO59" s="1186"/>
      <c r="AP59" s="1186"/>
      <c r="AQ59" s="1186"/>
      <c r="AR59" s="1186"/>
      <c r="AS59" s="1186"/>
      <c r="AT59" s="1186"/>
      <c r="AU59" s="1186"/>
      <c r="AV59" s="1186"/>
      <c r="AW59" s="1186"/>
      <c r="AX59" s="1186"/>
      <c r="AY59" s="1186"/>
      <c r="AZ59" s="1186"/>
      <c r="BA59" s="1186"/>
      <c r="BB59" s="1186"/>
      <c r="BC59" s="1186"/>
      <c r="BD59" s="1186"/>
      <c r="BE59" s="1186"/>
      <c r="BF59" s="1186"/>
      <c r="BG59" s="1186"/>
      <c r="BH59" s="1186"/>
      <c r="BI59" s="1186"/>
      <c r="BJ59" s="1186"/>
      <c r="BK59" s="1186"/>
      <c r="BL59" s="1186"/>
      <c r="BM59" s="1186"/>
      <c r="BN59" s="1186"/>
      <c r="BO59" s="1186"/>
      <c r="BP59" s="1186"/>
      <c r="BQ59" s="1186"/>
      <c r="BR59" s="1186"/>
      <c r="BS59" s="1186"/>
      <c r="BT59" s="1186"/>
      <c r="BU59" s="1186"/>
      <c r="BV59" s="1186"/>
      <c r="BW59" s="1186"/>
      <c r="BX59" s="1186"/>
      <c r="BY59" s="1186"/>
      <c r="BZ59" s="1186"/>
      <c r="CA59" s="1186"/>
      <c r="CB59" s="1186"/>
      <c r="CC59" s="1186"/>
      <c r="CD59" s="1186"/>
      <c r="CE59" s="1186"/>
      <c r="CF59" s="1186"/>
      <c r="CG59" s="1186"/>
      <c r="CH59" s="1186"/>
      <c r="CI59" s="1186"/>
      <c r="CJ59" s="1186"/>
      <c r="CK59" s="1186"/>
      <c r="CL59" s="1186"/>
      <c r="CM59" s="1186"/>
      <c r="CN59" s="1186"/>
      <c r="CO59" s="1186"/>
      <c r="CP59" s="1186"/>
      <c r="CQ59" s="1186"/>
      <c r="CR59" s="1186"/>
      <c r="CS59" s="1186"/>
      <c r="CT59" s="1186"/>
      <c r="CU59" s="1186"/>
      <c r="CV59" s="1186"/>
      <c r="CW59" s="1186"/>
      <c r="CX59" s="1186"/>
      <c r="CY59" s="1186"/>
      <c r="CZ59" s="1186"/>
      <c r="DA59" s="1186"/>
      <c r="DB59" s="1186"/>
      <c r="DC59" s="1186"/>
      <c r="DD59" s="1186"/>
      <c r="DE59" s="1186"/>
      <c r="DF59" s="1186"/>
      <c r="DG59" s="1186"/>
      <c r="DH59" s="1186"/>
      <c r="DI59" s="1186"/>
      <c r="DJ59" s="1186"/>
      <c r="DK59" s="1186"/>
      <c r="DL59" s="1186"/>
      <c r="DM59" s="1186"/>
      <c r="DN59" s="1186"/>
      <c r="DO59" s="1186"/>
      <c r="DP59" s="1186"/>
      <c r="DQ59" s="1186"/>
      <c r="DR59" s="1186"/>
      <c r="DS59" s="1186"/>
      <c r="DT59" s="1186"/>
      <c r="DU59" s="1186"/>
      <c r="DV59" s="1186"/>
      <c r="DW59" s="1186"/>
      <c r="DX59" s="1186"/>
      <c r="DY59" s="1186"/>
      <c r="DZ59" s="1186"/>
      <c r="EA59" s="1186"/>
      <c r="EB59" s="1186"/>
      <c r="EC59" s="1186"/>
      <c r="ED59" s="1186"/>
      <c r="EE59" s="1186"/>
      <c r="EF59" s="1186"/>
      <c r="EG59" s="1186"/>
      <c r="EH59" s="1186"/>
      <c r="EI59" s="1186"/>
      <c r="EJ59" s="1186"/>
      <c r="EK59" s="1186"/>
      <c r="EL59" s="1186"/>
      <c r="EM59" s="1186"/>
      <c r="EN59" s="1186"/>
      <c r="EO59" s="1186"/>
      <c r="EP59" s="1186"/>
      <c r="EQ59" s="1186"/>
      <c r="ER59" s="1186"/>
      <c r="ES59" s="1186"/>
      <c r="ET59" s="1186"/>
      <c r="EU59" s="1186"/>
      <c r="EV59" s="1186"/>
      <c r="EW59" s="1186"/>
      <c r="EX59" s="1186"/>
      <c r="EY59" s="1186"/>
      <c r="EZ59" s="1186"/>
      <c r="FA59" s="1186"/>
      <c r="FB59" s="1186"/>
      <c r="FC59" s="1186"/>
      <c r="FD59" s="1186"/>
      <c r="FE59" s="1186"/>
      <c r="FF59" s="1186"/>
      <c r="FG59" s="1186"/>
      <c r="FH59" s="1186"/>
      <c r="FI59" s="1186"/>
      <c r="FJ59" s="1186"/>
      <c r="FK59" s="1186"/>
      <c r="FL59" s="1186"/>
      <c r="FM59" s="1186"/>
      <c r="FN59" s="1186"/>
      <c r="FO59" s="1186"/>
      <c r="FP59" s="1186"/>
      <c r="FQ59" s="1186"/>
      <c r="FR59" s="1186"/>
      <c r="FS59" s="1186"/>
      <c r="FT59" s="1186"/>
      <c r="FU59" s="1186"/>
      <c r="FV59" s="1186"/>
      <c r="FW59" s="1186"/>
      <c r="FX59" s="1186"/>
      <c r="FY59" s="1186"/>
      <c r="FZ59" s="1186"/>
      <c r="GA59" s="1186"/>
      <c r="GB59" s="1186"/>
      <c r="GC59" s="1186"/>
      <c r="GD59" s="1186"/>
      <c r="GE59" s="1186"/>
    </row>
    <row r="60" spans="1:187" s="1197" customFormat="1" ht="14">
      <c r="A60" s="1196"/>
      <c r="B60" s="1219" t="s">
        <v>1438</v>
      </c>
      <c r="C60" s="2132"/>
      <c r="D60" s="2133"/>
      <c r="E60" s="1220" t="s">
        <v>1439</v>
      </c>
      <c r="F60" s="2134"/>
      <c r="G60" s="2135"/>
      <c r="H60" s="1221" t="s">
        <v>1440</v>
      </c>
      <c r="I60" s="1195"/>
      <c r="J60" s="1186"/>
      <c r="K60" s="1186"/>
      <c r="L60" s="1186"/>
      <c r="M60" s="1186"/>
      <c r="N60" s="1186"/>
      <c r="O60" s="1186"/>
      <c r="P60" s="1186"/>
      <c r="Q60" s="1186"/>
      <c r="R60" s="1186"/>
      <c r="S60" s="1186"/>
      <c r="T60" s="1186"/>
      <c r="U60" s="1186"/>
      <c r="V60" s="1186"/>
      <c r="W60" s="1186"/>
      <c r="X60" s="1186"/>
      <c r="Y60" s="1186"/>
      <c r="Z60" s="1186"/>
      <c r="AA60" s="1186"/>
      <c r="AB60" s="1186"/>
      <c r="AC60" s="1186"/>
      <c r="AD60" s="1186"/>
      <c r="AE60" s="1186"/>
      <c r="AF60" s="1186"/>
      <c r="AG60" s="1186"/>
      <c r="AH60" s="1186"/>
      <c r="AI60" s="1186"/>
      <c r="AJ60" s="1186"/>
      <c r="AK60" s="1186"/>
      <c r="AL60" s="1186"/>
      <c r="AM60" s="1186"/>
      <c r="AN60" s="1186"/>
      <c r="AO60" s="1186"/>
      <c r="AP60" s="1186"/>
      <c r="AQ60" s="1186"/>
      <c r="AR60" s="1186"/>
      <c r="AS60" s="1186"/>
      <c r="AT60" s="1186"/>
      <c r="AU60" s="1186"/>
      <c r="AV60" s="1186"/>
      <c r="AW60" s="1186"/>
      <c r="AX60" s="1186"/>
      <c r="AY60" s="1186"/>
      <c r="AZ60" s="1186"/>
      <c r="BA60" s="1186"/>
      <c r="BB60" s="1186"/>
      <c r="BC60" s="1186"/>
      <c r="BD60" s="1186"/>
      <c r="BE60" s="1186"/>
      <c r="BF60" s="1186"/>
      <c r="BG60" s="1186"/>
      <c r="BH60" s="1186"/>
      <c r="BI60" s="1186"/>
      <c r="BJ60" s="1186"/>
      <c r="BK60" s="1186"/>
      <c r="BL60" s="1186"/>
      <c r="BM60" s="1186"/>
      <c r="BN60" s="1186"/>
      <c r="BO60" s="1186"/>
      <c r="BP60" s="1186"/>
      <c r="BQ60" s="1186"/>
      <c r="BR60" s="1186"/>
      <c r="BS60" s="1186"/>
      <c r="BT60" s="1186"/>
      <c r="BU60" s="1186"/>
      <c r="BV60" s="1186"/>
      <c r="BW60" s="1186"/>
      <c r="BX60" s="1186"/>
      <c r="BY60" s="1186"/>
      <c r="BZ60" s="1186"/>
      <c r="CA60" s="1186"/>
      <c r="CB60" s="1186"/>
      <c r="CC60" s="1186"/>
      <c r="CD60" s="1186"/>
      <c r="CE60" s="1186"/>
      <c r="CF60" s="1186"/>
      <c r="CG60" s="1186"/>
      <c r="CH60" s="1186"/>
      <c r="CI60" s="1186"/>
      <c r="CJ60" s="1186"/>
      <c r="CK60" s="1186"/>
      <c r="CL60" s="1186"/>
      <c r="CM60" s="1186"/>
      <c r="CN60" s="1186"/>
      <c r="CO60" s="1186"/>
      <c r="CP60" s="1186"/>
      <c r="CQ60" s="1186"/>
      <c r="CR60" s="1186"/>
      <c r="CS60" s="1186"/>
      <c r="CT60" s="1186"/>
      <c r="CU60" s="1186"/>
      <c r="CV60" s="1186"/>
      <c r="CW60" s="1186"/>
      <c r="CX60" s="1186"/>
      <c r="CY60" s="1186"/>
      <c r="CZ60" s="1186"/>
      <c r="DA60" s="1186"/>
      <c r="DB60" s="1186"/>
      <c r="DC60" s="1186"/>
      <c r="DD60" s="1186"/>
      <c r="DE60" s="1186"/>
      <c r="DF60" s="1186"/>
      <c r="DG60" s="1186"/>
      <c r="DH60" s="1186"/>
      <c r="DI60" s="1186"/>
      <c r="DJ60" s="1186"/>
      <c r="DK60" s="1186"/>
      <c r="DL60" s="1186"/>
      <c r="DM60" s="1186"/>
      <c r="DN60" s="1186"/>
      <c r="DO60" s="1186"/>
      <c r="DP60" s="1186"/>
      <c r="DQ60" s="1186"/>
      <c r="DR60" s="1186"/>
      <c r="DS60" s="1186"/>
      <c r="DT60" s="1186"/>
      <c r="DU60" s="1186"/>
      <c r="DV60" s="1186"/>
      <c r="DW60" s="1186"/>
      <c r="DX60" s="1186"/>
      <c r="DY60" s="1186"/>
      <c r="DZ60" s="1186"/>
      <c r="EA60" s="1186"/>
      <c r="EB60" s="1186"/>
      <c r="EC60" s="1186"/>
      <c r="ED60" s="1186"/>
      <c r="EE60" s="1186"/>
      <c r="EF60" s="1186"/>
      <c r="EG60" s="1186"/>
      <c r="EH60" s="1186"/>
      <c r="EI60" s="1186"/>
      <c r="EJ60" s="1186"/>
      <c r="EK60" s="1186"/>
      <c r="EL60" s="1186"/>
      <c r="EM60" s="1186"/>
      <c r="EN60" s="1186"/>
      <c r="EO60" s="1186"/>
      <c r="EP60" s="1186"/>
      <c r="EQ60" s="1186"/>
      <c r="ER60" s="1186"/>
      <c r="ES60" s="1186"/>
      <c r="ET60" s="1186"/>
      <c r="EU60" s="1186"/>
      <c r="EV60" s="1186"/>
      <c r="EW60" s="1186"/>
      <c r="EX60" s="1186"/>
      <c r="EY60" s="1186"/>
      <c r="EZ60" s="1186"/>
      <c r="FA60" s="1186"/>
      <c r="FB60" s="1186"/>
      <c r="FC60" s="1186"/>
      <c r="FD60" s="1186"/>
      <c r="FE60" s="1186"/>
      <c r="FF60" s="1186"/>
      <c r="FG60" s="1186"/>
      <c r="FH60" s="1186"/>
      <c r="FI60" s="1186"/>
      <c r="FJ60" s="1186"/>
      <c r="FK60" s="1186"/>
      <c r="FL60" s="1186"/>
      <c r="FM60" s="1186"/>
      <c r="FN60" s="1186"/>
      <c r="FO60" s="1186"/>
      <c r="FP60" s="1186"/>
      <c r="FQ60" s="1186"/>
      <c r="FR60" s="1186"/>
      <c r="FS60" s="1186"/>
      <c r="FT60" s="1186"/>
      <c r="FU60" s="1186"/>
      <c r="FV60" s="1186"/>
      <c r="FW60" s="1186"/>
      <c r="FX60" s="1186"/>
      <c r="FY60" s="1186"/>
      <c r="FZ60" s="1186"/>
      <c r="GA60" s="1186"/>
      <c r="GB60" s="1186"/>
      <c r="GC60" s="1186"/>
      <c r="GD60" s="1186"/>
      <c r="GE60" s="1186"/>
    </row>
    <row r="61" spans="1:187" s="1197" customFormat="1" ht="14.5" customHeight="1">
      <c r="A61" s="1196"/>
      <c r="B61" s="2115" t="s">
        <v>1441</v>
      </c>
      <c r="C61" s="2116"/>
      <c r="D61" s="2116"/>
      <c r="E61" s="2116"/>
      <c r="F61" s="2116"/>
      <c r="G61" s="2116"/>
      <c r="H61" s="2117"/>
      <c r="I61" s="1195"/>
      <c r="J61" s="1186"/>
      <c r="K61" s="1186"/>
      <c r="L61" s="1186"/>
      <c r="M61" s="1186"/>
      <c r="N61" s="1186"/>
      <c r="O61" s="1186"/>
      <c r="P61" s="1186"/>
      <c r="Q61" s="1186"/>
      <c r="R61" s="1186"/>
      <c r="S61" s="1186"/>
      <c r="T61" s="1186"/>
      <c r="U61" s="1186"/>
      <c r="V61" s="1186"/>
      <c r="W61" s="1186"/>
      <c r="X61" s="1186"/>
      <c r="Y61" s="1186"/>
      <c r="Z61" s="1186"/>
      <c r="AA61" s="1186"/>
      <c r="AB61" s="1186"/>
      <c r="AC61" s="1186"/>
      <c r="AD61" s="1186"/>
      <c r="AE61" s="1186"/>
      <c r="AF61" s="1186"/>
      <c r="AG61" s="1186"/>
      <c r="AH61" s="1186"/>
      <c r="AI61" s="1186"/>
      <c r="AJ61" s="1186"/>
      <c r="AK61" s="1186"/>
      <c r="AL61" s="1186"/>
      <c r="AM61" s="1186"/>
      <c r="AN61" s="1186"/>
      <c r="AO61" s="1186"/>
      <c r="AP61" s="1186"/>
      <c r="AQ61" s="1186"/>
      <c r="AR61" s="1186"/>
      <c r="AS61" s="1186"/>
      <c r="AT61" s="1186"/>
      <c r="AU61" s="1186"/>
      <c r="AV61" s="1186"/>
      <c r="AW61" s="1186"/>
      <c r="AX61" s="1186"/>
      <c r="AY61" s="1186"/>
      <c r="AZ61" s="1186"/>
      <c r="BA61" s="1186"/>
      <c r="BB61" s="1186"/>
      <c r="BC61" s="1186"/>
      <c r="BD61" s="1186"/>
      <c r="BE61" s="1186"/>
      <c r="BF61" s="1186"/>
      <c r="BG61" s="1186"/>
      <c r="BH61" s="1186"/>
      <c r="BI61" s="1186"/>
      <c r="BJ61" s="1186"/>
      <c r="BK61" s="1186"/>
      <c r="BL61" s="1186"/>
      <c r="BM61" s="1186"/>
      <c r="BN61" s="1186"/>
      <c r="BO61" s="1186"/>
      <c r="BP61" s="1186"/>
      <c r="BQ61" s="1186"/>
      <c r="BR61" s="1186"/>
      <c r="BS61" s="1186"/>
      <c r="BT61" s="1186"/>
      <c r="BU61" s="1186"/>
      <c r="BV61" s="1186"/>
      <c r="BW61" s="1186"/>
      <c r="BX61" s="1186"/>
      <c r="BY61" s="1186"/>
      <c r="BZ61" s="1186"/>
      <c r="CA61" s="1186"/>
      <c r="CB61" s="1186"/>
      <c r="CC61" s="1186"/>
      <c r="CD61" s="1186"/>
      <c r="CE61" s="1186"/>
      <c r="CF61" s="1186"/>
      <c r="CG61" s="1186"/>
      <c r="CH61" s="1186"/>
      <c r="CI61" s="1186"/>
      <c r="CJ61" s="1186"/>
      <c r="CK61" s="1186"/>
      <c r="CL61" s="1186"/>
      <c r="CM61" s="1186"/>
      <c r="CN61" s="1186"/>
      <c r="CO61" s="1186"/>
      <c r="CP61" s="1186"/>
      <c r="CQ61" s="1186"/>
      <c r="CR61" s="1186"/>
      <c r="CS61" s="1186"/>
      <c r="CT61" s="1186"/>
      <c r="CU61" s="1186"/>
      <c r="CV61" s="1186"/>
      <c r="CW61" s="1186"/>
      <c r="CX61" s="1186"/>
      <c r="CY61" s="1186"/>
      <c r="CZ61" s="1186"/>
      <c r="DA61" s="1186"/>
      <c r="DB61" s="1186"/>
      <c r="DC61" s="1186"/>
      <c r="DD61" s="1186"/>
      <c r="DE61" s="1186"/>
      <c r="DF61" s="1186"/>
      <c r="DG61" s="1186"/>
      <c r="DH61" s="1186"/>
      <c r="DI61" s="1186"/>
      <c r="DJ61" s="1186"/>
      <c r="DK61" s="1186"/>
      <c r="DL61" s="1186"/>
      <c r="DM61" s="1186"/>
      <c r="DN61" s="1186"/>
      <c r="DO61" s="1186"/>
      <c r="DP61" s="1186"/>
      <c r="DQ61" s="1186"/>
      <c r="DR61" s="1186"/>
      <c r="DS61" s="1186"/>
      <c r="DT61" s="1186"/>
      <c r="DU61" s="1186"/>
      <c r="DV61" s="1186"/>
      <c r="DW61" s="1186"/>
      <c r="DX61" s="1186"/>
      <c r="DY61" s="1186"/>
      <c r="DZ61" s="1186"/>
      <c r="EA61" s="1186"/>
      <c r="EB61" s="1186"/>
      <c r="EC61" s="1186"/>
      <c r="ED61" s="1186"/>
      <c r="EE61" s="1186"/>
      <c r="EF61" s="1186"/>
      <c r="EG61" s="1186"/>
      <c r="EH61" s="1186"/>
      <c r="EI61" s="1186"/>
      <c r="EJ61" s="1186"/>
      <c r="EK61" s="1186"/>
      <c r="EL61" s="1186"/>
      <c r="EM61" s="1186"/>
      <c r="EN61" s="1186"/>
      <c r="EO61" s="1186"/>
      <c r="EP61" s="1186"/>
      <c r="EQ61" s="1186"/>
      <c r="ER61" s="1186"/>
      <c r="ES61" s="1186"/>
      <c r="ET61" s="1186"/>
      <c r="EU61" s="1186"/>
      <c r="EV61" s="1186"/>
      <c r="EW61" s="1186"/>
      <c r="EX61" s="1186"/>
      <c r="EY61" s="1186"/>
      <c r="EZ61" s="1186"/>
      <c r="FA61" s="1186"/>
      <c r="FB61" s="1186"/>
      <c r="FC61" s="1186"/>
      <c r="FD61" s="1186"/>
      <c r="FE61" s="1186"/>
      <c r="FF61" s="1186"/>
      <c r="FG61" s="1186"/>
      <c r="FH61" s="1186"/>
      <c r="FI61" s="1186"/>
      <c r="FJ61" s="1186"/>
      <c r="FK61" s="1186"/>
      <c r="FL61" s="1186"/>
      <c r="FM61" s="1186"/>
      <c r="FN61" s="1186"/>
      <c r="FO61" s="1186"/>
      <c r="FP61" s="1186"/>
      <c r="FQ61" s="1186"/>
      <c r="FR61" s="1186"/>
      <c r="FS61" s="1186"/>
      <c r="FT61" s="1186"/>
      <c r="FU61" s="1186"/>
      <c r="FV61" s="1186"/>
      <c r="FW61" s="1186"/>
      <c r="FX61" s="1186"/>
      <c r="FY61" s="1186"/>
      <c r="FZ61" s="1186"/>
      <c r="GA61" s="1186"/>
      <c r="GB61" s="1186"/>
      <c r="GC61" s="1186"/>
      <c r="GD61" s="1186"/>
      <c r="GE61" s="1186"/>
    </row>
    <row r="62" spans="1:187" s="1197" customFormat="1" ht="25">
      <c r="A62" s="1196"/>
      <c r="B62" s="535">
        <v>1</v>
      </c>
      <c r="C62" s="1215" t="s">
        <v>724</v>
      </c>
      <c r="D62" s="1206" t="s">
        <v>319</v>
      </c>
      <c r="E62" s="1216">
        <v>0</v>
      </c>
      <c r="F62" s="2118" t="s">
        <v>1437</v>
      </c>
      <c r="G62" s="2119"/>
      <c r="H62" s="1208">
        <f>IF(B62="","",ROUND(B62*E62,0))</f>
        <v>0</v>
      </c>
      <c r="I62" s="1195"/>
      <c r="J62" s="1186"/>
      <c r="K62" s="1186"/>
      <c r="L62" s="1186"/>
      <c r="M62" s="1186"/>
      <c r="N62" s="1186"/>
      <c r="O62" s="1186"/>
      <c r="P62" s="1186"/>
      <c r="Q62" s="1186"/>
      <c r="R62" s="1186"/>
      <c r="S62" s="1186"/>
      <c r="T62" s="1186"/>
      <c r="U62" s="1186"/>
      <c r="V62" s="1186"/>
      <c r="W62" s="1186"/>
      <c r="X62" s="1186"/>
      <c r="Y62" s="1186"/>
      <c r="Z62" s="1186"/>
      <c r="AA62" s="1186"/>
      <c r="AB62" s="1186"/>
      <c r="AC62" s="1186"/>
      <c r="AD62" s="1186"/>
      <c r="AE62" s="1186"/>
      <c r="AF62" s="1186"/>
      <c r="AG62" s="1186"/>
      <c r="AH62" s="1186"/>
      <c r="AI62" s="1186"/>
      <c r="AJ62" s="1186"/>
      <c r="AK62" s="1186"/>
      <c r="AL62" s="1186"/>
      <c r="AM62" s="1186"/>
      <c r="AN62" s="1186"/>
      <c r="AO62" s="1186"/>
      <c r="AP62" s="1186"/>
      <c r="AQ62" s="1186"/>
      <c r="AR62" s="1186"/>
      <c r="AS62" s="1186"/>
      <c r="AT62" s="1186"/>
      <c r="AU62" s="1186"/>
      <c r="AV62" s="1186"/>
      <c r="AW62" s="1186"/>
      <c r="AX62" s="1186"/>
      <c r="AY62" s="1186"/>
      <c r="AZ62" s="1186"/>
      <c r="BA62" s="1186"/>
      <c r="BB62" s="1186"/>
      <c r="BC62" s="1186"/>
      <c r="BD62" s="1186"/>
      <c r="BE62" s="1186"/>
      <c r="BF62" s="1186"/>
      <c r="BG62" s="1186"/>
      <c r="BH62" s="1186"/>
      <c r="BI62" s="1186"/>
      <c r="BJ62" s="1186"/>
      <c r="BK62" s="1186"/>
      <c r="BL62" s="1186"/>
      <c r="BM62" s="1186"/>
      <c r="BN62" s="1186"/>
      <c r="BO62" s="1186"/>
      <c r="BP62" s="1186"/>
      <c r="BQ62" s="1186"/>
      <c r="BR62" s="1186"/>
      <c r="BS62" s="1186"/>
      <c r="BT62" s="1186"/>
      <c r="BU62" s="1186"/>
      <c r="BV62" s="1186"/>
      <c r="BW62" s="1186"/>
      <c r="BX62" s="1186"/>
      <c r="BY62" s="1186"/>
      <c r="BZ62" s="1186"/>
      <c r="CA62" s="1186"/>
      <c r="CB62" s="1186"/>
      <c r="CC62" s="1186"/>
      <c r="CD62" s="1186"/>
      <c r="CE62" s="1186"/>
      <c r="CF62" s="1186"/>
      <c r="CG62" s="1186"/>
      <c r="CH62" s="1186"/>
      <c r="CI62" s="1186"/>
      <c r="CJ62" s="1186"/>
      <c r="CK62" s="1186"/>
      <c r="CL62" s="1186"/>
      <c r="CM62" s="1186"/>
      <c r="CN62" s="1186"/>
      <c r="CO62" s="1186"/>
      <c r="CP62" s="1186"/>
      <c r="CQ62" s="1186"/>
      <c r="CR62" s="1186"/>
      <c r="CS62" s="1186"/>
      <c r="CT62" s="1186"/>
      <c r="CU62" s="1186"/>
      <c r="CV62" s="1186"/>
      <c r="CW62" s="1186"/>
      <c r="CX62" s="1186"/>
      <c r="CY62" s="1186"/>
      <c r="CZ62" s="1186"/>
      <c r="DA62" s="1186"/>
      <c r="DB62" s="1186"/>
      <c r="DC62" s="1186"/>
      <c r="DD62" s="1186"/>
      <c r="DE62" s="1186"/>
      <c r="DF62" s="1186"/>
      <c r="DG62" s="1186"/>
      <c r="DH62" s="1186"/>
      <c r="DI62" s="1186"/>
      <c r="DJ62" s="1186"/>
      <c r="DK62" s="1186"/>
      <c r="DL62" s="1186"/>
      <c r="DM62" s="1186"/>
      <c r="DN62" s="1186"/>
      <c r="DO62" s="1186"/>
      <c r="DP62" s="1186"/>
      <c r="DQ62" s="1186"/>
      <c r="DR62" s="1186"/>
      <c r="DS62" s="1186"/>
      <c r="DT62" s="1186"/>
      <c r="DU62" s="1186"/>
      <c r="DV62" s="1186"/>
      <c r="DW62" s="1186"/>
      <c r="DX62" s="1186"/>
      <c r="DY62" s="1186"/>
      <c r="DZ62" s="1186"/>
      <c r="EA62" s="1186"/>
      <c r="EB62" s="1186"/>
      <c r="EC62" s="1186"/>
      <c r="ED62" s="1186"/>
      <c r="EE62" s="1186"/>
      <c r="EF62" s="1186"/>
      <c r="EG62" s="1186"/>
      <c r="EH62" s="1186"/>
      <c r="EI62" s="1186"/>
      <c r="EJ62" s="1186"/>
      <c r="EK62" s="1186"/>
      <c r="EL62" s="1186"/>
      <c r="EM62" s="1186"/>
      <c r="EN62" s="1186"/>
      <c r="EO62" s="1186"/>
      <c r="EP62" s="1186"/>
      <c r="EQ62" s="1186"/>
      <c r="ER62" s="1186"/>
      <c r="ES62" s="1186"/>
      <c r="ET62" s="1186"/>
      <c r="EU62" s="1186"/>
      <c r="EV62" s="1186"/>
      <c r="EW62" s="1186"/>
      <c r="EX62" s="1186"/>
      <c r="EY62" s="1186"/>
      <c r="EZ62" s="1186"/>
      <c r="FA62" s="1186"/>
      <c r="FB62" s="1186"/>
      <c r="FC62" s="1186"/>
      <c r="FD62" s="1186"/>
      <c r="FE62" s="1186"/>
      <c r="FF62" s="1186"/>
      <c r="FG62" s="1186"/>
      <c r="FH62" s="1186"/>
      <c r="FI62" s="1186"/>
      <c r="FJ62" s="1186"/>
      <c r="FK62" s="1186"/>
      <c r="FL62" s="1186"/>
      <c r="FM62" s="1186"/>
      <c r="FN62" s="1186"/>
      <c r="FO62" s="1186"/>
      <c r="FP62" s="1186"/>
      <c r="FQ62" s="1186"/>
      <c r="FR62" s="1186"/>
      <c r="FS62" s="1186"/>
      <c r="FT62" s="1186"/>
      <c r="FU62" s="1186"/>
      <c r="FV62" s="1186"/>
      <c r="FW62" s="1186"/>
      <c r="FX62" s="1186"/>
      <c r="FY62" s="1186"/>
      <c r="FZ62" s="1186"/>
      <c r="GA62" s="1186"/>
      <c r="GB62" s="1186"/>
      <c r="GC62" s="1186"/>
      <c r="GD62" s="1186"/>
      <c r="GE62" s="1186"/>
    </row>
    <row r="63" spans="1:187" s="1197" customFormat="1" ht="14">
      <c r="A63" s="1196"/>
      <c r="B63" s="2115" t="s">
        <v>1442</v>
      </c>
      <c r="C63" s="2116"/>
      <c r="D63" s="2116"/>
      <c r="E63" s="2116"/>
      <c r="F63" s="2116"/>
      <c r="G63" s="2116"/>
      <c r="H63" s="2117"/>
      <c r="I63" s="1195"/>
      <c r="J63" s="1186"/>
      <c r="K63" s="1186"/>
      <c r="L63" s="1186"/>
      <c r="M63" s="1186"/>
      <c r="N63" s="1186"/>
      <c r="O63" s="1186"/>
      <c r="P63" s="1186"/>
      <c r="Q63" s="1186"/>
      <c r="R63" s="1186"/>
      <c r="S63" s="1186"/>
      <c r="T63" s="1186"/>
      <c r="U63" s="1186"/>
      <c r="V63" s="1186"/>
      <c r="W63" s="1186"/>
      <c r="X63" s="1186"/>
      <c r="Y63" s="1186"/>
      <c r="Z63" s="1186"/>
      <c r="AA63" s="1186"/>
      <c r="AB63" s="1186"/>
      <c r="AC63" s="1186"/>
      <c r="AD63" s="1186"/>
      <c r="AE63" s="1186"/>
      <c r="AF63" s="1186"/>
      <c r="AG63" s="1186"/>
      <c r="AH63" s="1186"/>
      <c r="AI63" s="1186"/>
      <c r="AJ63" s="1186"/>
      <c r="AK63" s="1186"/>
      <c r="AL63" s="1186"/>
      <c r="AM63" s="1186"/>
      <c r="AN63" s="1186"/>
      <c r="AO63" s="1186"/>
      <c r="AP63" s="1186"/>
      <c r="AQ63" s="1186"/>
      <c r="AR63" s="1186"/>
      <c r="AS63" s="1186"/>
      <c r="AT63" s="1186"/>
      <c r="AU63" s="1186"/>
      <c r="AV63" s="1186"/>
      <c r="AW63" s="1186"/>
      <c r="AX63" s="1186"/>
      <c r="AY63" s="1186"/>
      <c r="AZ63" s="1186"/>
      <c r="BA63" s="1186"/>
      <c r="BB63" s="1186"/>
      <c r="BC63" s="1186"/>
      <c r="BD63" s="1186"/>
      <c r="BE63" s="1186"/>
      <c r="BF63" s="1186"/>
      <c r="BG63" s="1186"/>
      <c r="BH63" s="1186"/>
      <c r="BI63" s="1186"/>
      <c r="BJ63" s="1186"/>
      <c r="BK63" s="1186"/>
      <c r="BL63" s="1186"/>
      <c r="BM63" s="1186"/>
      <c r="BN63" s="1186"/>
      <c r="BO63" s="1186"/>
      <c r="BP63" s="1186"/>
      <c r="BQ63" s="1186"/>
      <c r="BR63" s="1186"/>
      <c r="BS63" s="1186"/>
      <c r="BT63" s="1186"/>
      <c r="BU63" s="1186"/>
      <c r="BV63" s="1186"/>
      <c r="BW63" s="1186"/>
      <c r="BX63" s="1186"/>
      <c r="BY63" s="1186"/>
      <c r="BZ63" s="1186"/>
      <c r="CA63" s="1186"/>
      <c r="CB63" s="1186"/>
      <c r="CC63" s="1186"/>
      <c r="CD63" s="1186"/>
      <c r="CE63" s="1186"/>
      <c r="CF63" s="1186"/>
      <c r="CG63" s="1186"/>
      <c r="CH63" s="1186"/>
      <c r="CI63" s="1186"/>
      <c r="CJ63" s="1186"/>
      <c r="CK63" s="1186"/>
      <c r="CL63" s="1186"/>
      <c r="CM63" s="1186"/>
      <c r="CN63" s="1186"/>
      <c r="CO63" s="1186"/>
      <c r="CP63" s="1186"/>
      <c r="CQ63" s="1186"/>
      <c r="CR63" s="1186"/>
      <c r="CS63" s="1186"/>
      <c r="CT63" s="1186"/>
      <c r="CU63" s="1186"/>
      <c r="CV63" s="1186"/>
      <c r="CW63" s="1186"/>
      <c r="CX63" s="1186"/>
      <c r="CY63" s="1186"/>
      <c r="CZ63" s="1186"/>
      <c r="DA63" s="1186"/>
      <c r="DB63" s="1186"/>
      <c r="DC63" s="1186"/>
      <c r="DD63" s="1186"/>
      <c r="DE63" s="1186"/>
      <c r="DF63" s="1186"/>
      <c r="DG63" s="1186"/>
      <c r="DH63" s="1186"/>
      <c r="DI63" s="1186"/>
      <c r="DJ63" s="1186"/>
      <c r="DK63" s="1186"/>
      <c r="DL63" s="1186"/>
      <c r="DM63" s="1186"/>
      <c r="DN63" s="1186"/>
      <c r="DO63" s="1186"/>
      <c r="DP63" s="1186"/>
      <c r="DQ63" s="1186"/>
      <c r="DR63" s="1186"/>
      <c r="DS63" s="1186"/>
      <c r="DT63" s="1186"/>
      <c r="DU63" s="1186"/>
      <c r="DV63" s="1186"/>
      <c r="DW63" s="1186"/>
      <c r="DX63" s="1186"/>
      <c r="DY63" s="1186"/>
      <c r="DZ63" s="1186"/>
      <c r="EA63" s="1186"/>
      <c r="EB63" s="1186"/>
      <c r="EC63" s="1186"/>
      <c r="ED63" s="1186"/>
      <c r="EE63" s="1186"/>
      <c r="EF63" s="1186"/>
      <c r="EG63" s="1186"/>
      <c r="EH63" s="1186"/>
      <c r="EI63" s="1186"/>
      <c r="EJ63" s="1186"/>
      <c r="EK63" s="1186"/>
      <c r="EL63" s="1186"/>
      <c r="EM63" s="1186"/>
      <c r="EN63" s="1186"/>
      <c r="EO63" s="1186"/>
      <c r="EP63" s="1186"/>
      <c r="EQ63" s="1186"/>
      <c r="ER63" s="1186"/>
      <c r="ES63" s="1186"/>
      <c r="ET63" s="1186"/>
      <c r="EU63" s="1186"/>
      <c r="EV63" s="1186"/>
      <c r="EW63" s="1186"/>
      <c r="EX63" s="1186"/>
      <c r="EY63" s="1186"/>
      <c r="EZ63" s="1186"/>
      <c r="FA63" s="1186"/>
      <c r="FB63" s="1186"/>
      <c r="FC63" s="1186"/>
      <c r="FD63" s="1186"/>
      <c r="FE63" s="1186"/>
      <c r="FF63" s="1186"/>
      <c r="FG63" s="1186"/>
      <c r="FH63" s="1186"/>
      <c r="FI63" s="1186"/>
      <c r="FJ63" s="1186"/>
      <c r="FK63" s="1186"/>
      <c r="FL63" s="1186"/>
      <c r="FM63" s="1186"/>
      <c r="FN63" s="1186"/>
      <c r="FO63" s="1186"/>
      <c r="FP63" s="1186"/>
      <c r="FQ63" s="1186"/>
      <c r="FR63" s="1186"/>
      <c r="FS63" s="1186"/>
      <c r="FT63" s="1186"/>
      <c r="FU63" s="1186"/>
      <c r="FV63" s="1186"/>
      <c r="FW63" s="1186"/>
      <c r="FX63" s="1186"/>
      <c r="FY63" s="1186"/>
      <c r="FZ63" s="1186"/>
      <c r="GA63" s="1186"/>
      <c r="GB63" s="1186"/>
      <c r="GC63" s="1186"/>
      <c r="GD63" s="1186"/>
      <c r="GE63" s="1186"/>
    </row>
    <row r="64" spans="1:187" s="1197" customFormat="1" ht="14" hidden="1">
      <c r="A64" s="1196"/>
      <c r="B64" s="535">
        <v>1</v>
      </c>
      <c r="C64" s="1222" t="s">
        <v>1443</v>
      </c>
      <c r="D64" s="1223" t="s">
        <v>1444</v>
      </c>
      <c r="E64" s="1206"/>
      <c r="F64" s="2118" t="s">
        <v>1437</v>
      </c>
      <c r="G64" s="2119"/>
      <c r="H64" s="1208">
        <f t="shared" ref="H64:H68" si="4">IF(B64="","",ROUND(B64*E64,0))</f>
        <v>0</v>
      </c>
      <c r="I64" s="1195"/>
      <c r="J64" s="1186"/>
      <c r="K64" s="1186"/>
      <c r="L64" s="1186"/>
      <c r="M64" s="1186"/>
      <c r="N64" s="1186"/>
      <c r="O64" s="1186"/>
      <c r="P64" s="1186"/>
      <c r="Q64" s="1186"/>
      <c r="R64" s="1186"/>
      <c r="S64" s="1186"/>
      <c r="T64" s="1186"/>
      <c r="U64" s="1186"/>
      <c r="V64" s="1186"/>
      <c r="W64" s="1186"/>
      <c r="X64" s="1186"/>
      <c r="Y64" s="1186"/>
      <c r="Z64" s="1186"/>
      <c r="AA64" s="1186"/>
      <c r="AB64" s="1186"/>
      <c r="AC64" s="1186"/>
      <c r="AD64" s="1186"/>
      <c r="AE64" s="1186"/>
      <c r="AF64" s="1186"/>
      <c r="AG64" s="1186"/>
      <c r="AH64" s="1186"/>
      <c r="AI64" s="1186"/>
      <c r="AJ64" s="1186"/>
      <c r="AK64" s="1186"/>
      <c r="AL64" s="1186"/>
      <c r="AM64" s="1186"/>
      <c r="AN64" s="1186"/>
      <c r="AO64" s="1186"/>
      <c r="AP64" s="1186"/>
      <c r="AQ64" s="1186"/>
      <c r="AR64" s="1186"/>
      <c r="AS64" s="1186"/>
      <c r="AT64" s="1186"/>
      <c r="AU64" s="1186"/>
      <c r="AV64" s="1186"/>
      <c r="AW64" s="1186"/>
      <c r="AX64" s="1186"/>
      <c r="AY64" s="1186"/>
      <c r="AZ64" s="1186"/>
      <c r="BA64" s="1186"/>
      <c r="BB64" s="1186"/>
      <c r="BC64" s="1186"/>
      <c r="BD64" s="1186"/>
      <c r="BE64" s="1186"/>
      <c r="BF64" s="1186"/>
      <c r="BG64" s="1186"/>
      <c r="BH64" s="1186"/>
      <c r="BI64" s="1186"/>
      <c r="BJ64" s="1186"/>
      <c r="BK64" s="1186"/>
      <c r="BL64" s="1186"/>
      <c r="BM64" s="1186"/>
      <c r="BN64" s="1186"/>
      <c r="BO64" s="1186"/>
      <c r="BP64" s="1186"/>
      <c r="BQ64" s="1186"/>
      <c r="BR64" s="1186"/>
      <c r="BS64" s="1186"/>
      <c r="BT64" s="1186"/>
      <c r="BU64" s="1186"/>
      <c r="BV64" s="1186"/>
      <c r="BW64" s="1186"/>
      <c r="BX64" s="1186"/>
      <c r="BY64" s="1186"/>
      <c r="BZ64" s="1186"/>
      <c r="CA64" s="1186"/>
      <c r="CB64" s="1186"/>
      <c r="CC64" s="1186"/>
      <c r="CD64" s="1186"/>
      <c r="CE64" s="1186"/>
      <c r="CF64" s="1186"/>
      <c r="CG64" s="1186"/>
      <c r="CH64" s="1186"/>
      <c r="CI64" s="1186"/>
      <c r="CJ64" s="1186"/>
      <c r="CK64" s="1186"/>
      <c r="CL64" s="1186"/>
      <c r="CM64" s="1186"/>
      <c r="CN64" s="1186"/>
      <c r="CO64" s="1186"/>
      <c r="CP64" s="1186"/>
      <c r="CQ64" s="1186"/>
      <c r="CR64" s="1186"/>
      <c r="CS64" s="1186"/>
      <c r="CT64" s="1186"/>
      <c r="CU64" s="1186"/>
      <c r="CV64" s="1186"/>
      <c r="CW64" s="1186"/>
      <c r="CX64" s="1186"/>
      <c r="CY64" s="1186"/>
      <c r="CZ64" s="1186"/>
      <c r="DA64" s="1186"/>
      <c r="DB64" s="1186"/>
      <c r="DC64" s="1186"/>
      <c r="DD64" s="1186"/>
      <c r="DE64" s="1186"/>
      <c r="DF64" s="1186"/>
      <c r="DG64" s="1186"/>
      <c r="DH64" s="1186"/>
      <c r="DI64" s="1186"/>
      <c r="DJ64" s="1186"/>
      <c r="DK64" s="1186"/>
      <c r="DL64" s="1186"/>
      <c r="DM64" s="1186"/>
      <c r="DN64" s="1186"/>
      <c r="DO64" s="1186"/>
      <c r="DP64" s="1186"/>
      <c r="DQ64" s="1186"/>
      <c r="DR64" s="1186"/>
      <c r="DS64" s="1186"/>
      <c r="DT64" s="1186"/>
      <c r="DU64" s="1186"/>
      <c r="DV64" s="1186"/>
      <c r="DW64" s="1186"/>
      <c r="DX64" s="1186"/>
      <c r="DY64" s="1186"/>
      <c r="DZ64" s="1186"/>
      <c r="EA64" s="1186"/>
      <c r="EB64" s="1186"/>
      <c r="EC64" s="1186"/>
      <c r="ED64" s="1186"/>
      <c r="EE64" s="1186"/>
      <c r="EF64" s="1186"/>
      <c r="EG64" s="1186"/>
      <c r="EH64" s="1186"/>
      <c r="EI64" s="1186"/>
      <c r="EJ64" s="1186"/>
      <c r="EK64" s="1186"/>
      <c r="EL64" s="1186"/>
      <c r="EM64" s="1186"/>
      <c r="EN64" s="1186"/>
      <c r="EO64" s="1186"/>
      <c r="EP64" s="1186"/>
      <c r="EQ64" s="1186"/>
      <c r="ER64" s="1186"/>
      <c r="ES64" s="1186"/>
      <c r="ET64" s="1186"/>
      <c r="EU64" s="1186"/>
      <c r="EV64" s="1186"/>
      <c r="EW64" s="1186"/>
      <c r="EX64" s="1186"/>
      <c r="EY64" s="1186"/>
      <c r="EZ64" s="1186"/>
      <c r="FA64" s="1186"/>
      <c r="FB64" s="1186"/>
      <c r="FC64" s="1186"/>
      <c r="FD64" s="1186"/>
      <c r="FE64" s="1186"/>
      <c r="FF64" s="1186"/>
      <c r="FG64" s="1186"/>
      <c r="FH64" s="1186"/>
      <c r="FI64" s="1186"/>
      <c r="FJ64" s="1186"/>
      <c r="FK64" s="1186"/>
      <c r="FL64" s="1186"/>
      <c r="FM64" s="1186"/>
      <c r="FN64" s="1186"/>
      <c r="FO64" s="1186"/>
      <c r="FP64" s="1186"/>
      <c r="FQ64" s="1186"/>
      <c r="FR64" s="1186"/>
      <c r="FS64" s="1186"/>
      <c r="FT64" s="1186"/>
      <c r="FU64" s="1186"/>
      <c r="FV64" s="1186"/>
      <c r="FW64" s="1186"/>
      <c r="FX64" s="1186"/>
      <c r="FY64" s="1186"/>
      <c r="FZ64" s="1186"/>
      <c r="GA64" s="1186"/>
      <c r="GB64" s="1186"/>
      <c r="GC64" s="1186"/>
      <c r="GD64" s="1186"/>
      <c r="GE64" s="1186"/>
    </row>
    <row r="65" spans="1:187" s="1197" customFormat="1" ht="25">
      <c r="A65" s="1196"/>
      <c r="B65" s="535">
        <v>1</v>
      </c>
      <c r="C65" s="1222" t="s">
        <v>1445</v>
      </c>
      <c r="D65" s="1223" t="s">
        <v>1444</v>
      </c>
      <c r="E65" s="1206">
        <v>1500000</v>
      </c>
      <c r="F65" s="2120"/>
      <c r="G65" s="2121"/>
      <c r="H65" s="1208">
        <f t="shared" si="4"/>
        <v>1500000</v>
      </c>
      <c r="I65" s="1195"/>
      <c r="J65" s="1186"/>
      <c r="K65" s="1186"/>
      <c r="L65" s="1186"/>
      <c r="M65" s="1186"/>
      <c r="N65" s="1186"/>
      <c r="O65" s="1186"/>
      <c r="P65" s="1186"/>
      <c r="Q65" s="1186"/>
      <c r="R65" s="1186"/>
      <c r="S65" s="1186"/>
      <c r="T65" s="1186"/>
      <c r="U65" s="1186"/>
      <c r="V65" s="1186"/>
      <c r="W65" s="1186"/>
      <c r="X65" s="1186"/>
      <c r="Y65" s="1186"/>
      <c r="Z65" s="1186"/>
      <c r="AA65" s="1186"/>
      <c r="AB65" s="1186"/>
      <c r="AC65" s="1186"/>
      <c r="AD65" s="1186"/>
      <c r="AE65" s="1186"/>
      <c r="AF65" s="1186"/>
      <c r="AG65" s="1186"/>
      <c r="AH65" s="1186"/>
      <c r="AI65" s="1186"/>
      <c r="AJ65" s="1186"/>
      <c r="AK65" s="1186"/>
      <c r="AL65" s="1186"/>
      <c r="AM65" s="1186"/>
      <c r="AN65" s="1186"/>
      <c r="AO65" s="1186"/>
      <c r="AP65" s="1186"/>
      <c r="AQ65" s="1186"/>
      <c r="AR65" s="1186"/>
      <c r="AS65" s="1186"/>
      <c r="AT65" s="1186"/>
      <c r="AU65" s="1186"/>
      <c r="AV65" s="1186"/>
      <c r="AW65" s="1186"/>
      <c r="AX65" s="1186"/>
      <c r="AY65" s="1186"/>
      <c r="AZ65" s="1186"/>
      <c r="BA65" s="1186"/>
      <c r="BB65" s="1186"/>
      <c r="BC65" s="1186"/>
      <c r="BD65" s="1186"/>
      <c r="BE65" s="1186"/>
      <c r="BF65" s="1186"/>
      <c r="BG65" s="1186"/>
      <c r="BH65" s="1186"/>
      <c r="BI65" s="1186"/>
      <c r="BJ65" s="1186"/>
      <c r="BK65" s="1186"/>
      <c r="BL65" s="1186"/>
      <c r="BM65" s="1186"/>
      <c r="BN65" s="1186"/>
      <c r="BO65" s="1186"/>
      <c r="BP65" s="1186"/>
      <c r="BQ65" s="1186"/>
      <c r="BR65" s="1186"/>
      <c r="BS65" s="1186"/>
      <c r="BT65" s="1186"/>
      <c r="BU65" s="1186"/>
      <c r="BV65" s="1186"/>
      <c r="BW65" s="1186"/>
      <c r="BX65" s="1186"/>
      <c r="BY65" s="1186"/>
      <c r="BZ65" s="1186"/>
      <c r="CA65" s="1186"/>
      <c r="CB65" s="1186"/>
      <c r="CC65" s="1186"/>
      <c r="CD65" s="1186"/>
      <c r="CE65" s="1186"/>
      <c r="CF65" s="1186"/>
      <c r="CG65" s="1186"/>
      <c r="CH65" s="1186"/>
      <c r="CI65" s="1186"/>
      <c r="CJ65" s="1186"/>
      <c r="CK65" s="1186"/>
      <c r="CL65" s="1186"/>
      <c r="CM65" s="1186"/>
      <c r="CN65" s="1186"/>
      <c r="CO65" s="1186"/>
      <c r="CP65" s="1186"/>
      <c r="CQ65" s="1186"/>
      <c r="CR65" s="1186"/>
      <c r="CS65" s="1186"/>
      <c r="CT65" s="1186"/>
      <c r="CU65" s="1186"/>
      <c r="CV65" s="1186"/>
      <c r="CW65" s="1186"/>
      <c r="CX65" s="1186"/>
      <c r="CY65" s="1186"/>
      <c r="CZ65" s="1186"/>
      <c r="DA65" s="1186"/>
      <c r="DB65" s="1186"/>
      <c r="DC65" s="1186"/>
      <c r="DD65" s="1186"/>
      <c r="DE65" s="1186"/>
      <c r="DF65" s="1186"/>
      <c r="DG65" s="1186"/>
      <c r="DH65" s="1186"/>
      <c r="DI65" s="1186"/>
      <c r="DJ65" s="1186"/>
      <c r="DK65" s="1186"/>
      <c r="DL65" s="1186"/>
      <c r="DM65" s="1186"/>
      <c r="DN65" s="1186"/>
      <c r="DO65" s="1186"/>
      <c r="DP65" s="1186"/>
      <c r="DQ65" s="1186"/>
      <c r="DR65" s="1186"/>
      <c r="DS65" s="1186"/>
      <c r="DT65" s="1186"/>
      <c r="DU65" s="1186"/>
      <c r="DV65" s="1186"/>
      <c r="DW65" s="1186"/>
      <c r="DX65" s="1186"/>
      <c r="DY65" s="1186"/>
      <c r="DZ65" s="1186"/>
      <c r="EA65" s="1186"/>
      <c r="EB65" s="1186"/>
      <c r="EC65" s="1186"/>
      <c r="ED65" s="1186"/>
      <c r="EE65" s="1186"/>
      <c r="EF65" s="1186"/>
      <c r="EG65" s="1186"/>
      <c r="EH65" s="1186"/>
      <c r="EI65" s="1186"/>
      <c r="EJ65" s="1186"/>
      <c r="EK65" s="1186"/>
      <c r="EL65" s="1186"/>
      <c r="EM65" s="1186"/>
      <c r="EN65" s="1186"/>
      <c r="EO65" s="1186"/>
      <c r="EP65" s="1186"/>
      <c r="EQ65" s="1186"/>
      <c r="ER65" s="1186"/>
      <c r="ES65" s="1186"/>
      <c r="ET65" s="1186"/>
      <c r="EU65" s="1186"/>
      <c r="EV65" s="1186"/>
      <c r="EW65" s="1186"/>
      <c r="EX65" s="1186"/>
      <c r="EY65" s="1186"/>
      <c r="EZ65" s="1186"/>
      <c r="FA65" s="1186"/>
      <c r="FB65" s="1186"/>
      <c r="FC65" s="1186"/>
      <c r="FD65" s="1186"/>
      <c r="FE65" s="1186"/>
      <c r="FF65" s="1186"/>
      <c r="FG65" s="1186"/>
      <c r="FH65" s="1186"/>
      <c r="FI65" s="1186"/>
      <c r="FJ65" s="1186"/>
      <c r="FK65" s="1186"/>
      <c r="FL65" s="1186"/>
      <c r="FM65" s="1186"/>
      <c r="FN65" s="1186"/>
      <c r="FO65" s="1186"/>
      <c r="FP65" s="1186"/>
      <c r="FQ65" s="1186"/>
      <c r="FR65" s="1186"/>
      <c r="FS65" s="1186"/>
      <c r="FT65" s="1186"/>
      <c r="FU65" s="1186"/>
      <c r="FV65" s="1186"/>
      <c r="FW65" s="1186"/>
      <c r="FX65" s="1186"/>
      <c r="FY65" s="1186"/>
      <c r="FZ65" s="1186"/>
      <c r="GA65" s="1186"/>
      <c r="GB65" s="1186"/>
      <c r="GC65" s="1186"/>
      <c r="GD65" s="1186"/>
      <c r="GE65" s="1186"/>
    </row>
    <row r="66" spans="1:187" s="1197" customFormat="1" ht="37.5">
      <c r="A66" s="1196"/>
      <c r="B66" s="535">
        <v>1</v>
      </c>
      <c r="C66" s="1222" t="s">
        <v>1446</v>
      </c>
      <c r="D66" s="1223" t="s">
        <v>1444</v>
      </c>
      <c r="E66" s="1206">
        <v>1000000</v>
      </c>
      <c r="F66" s="2120"/>
      <c r="G66" s="2121"/>
      <c r="H66" s="1208">
        <f t="shared" si="4"/>
        <v>1000000</v>
      </c>
      <c r="I66" s="1195"/>
      <c r="J66" s="1224"/>
      <c r="K66" s="1186"/>
      <c r="L66" s="1186"/>
      <c r="M66" s="1186"/>
      <c r="N66" s="1186"/>
      <c r="O66" s="1186"/>
      <c r="P66" s="1186"/>
      <c r="Q66" s="1186"/>
      <c r="R66" s="1186"/>
      <c r="S66" s="1186"/>
      <c r="T66" s="1186"/>
      <c r="U66" s="1186"/>
      <c r="V66" s="1186"/>
      <c r="W66" s="1186"/>
      <c r="X66" s="1186"/>
      <c r="Y66" s="1186"/>
      <c r="Z66" s="1186"/>
      <c r="AA66" s="1186"/>
      <c r="AB66" s="1186"/>
      <c r="AC66" s="1186"/>
      <c r="AD66" s="1186"/>
      <c r="AE66" s="1186"/>
      <c r="AF66" s="1186"/>
      <c r="AG66" s="1186"/>
      <c r="AH66" s="1186"/>
      <c r="AI66" s="1186"/>
      <c r="AJ66" s="1186"/>
      <c r="AK66" s="1186"/>
      <c r="AL66" s="1186"/>
      <c r="AM66" s="1186"/>
      <c r="AN66" s="1186"/>
      <c r="AO66" s="1186"/>
      <c r="AP66" s="1186"/>
      <c r="AQ66" s="1186"/>
      <c r="AR66" s="1186"/>
      <c r="AS66" s="1186"/>
      <c r="AT66" s="1186"/>
      <c r="AU66" s="1186"/>
      <c r="AV66" s="1186"/>
      <c r="AW66" s="1186"/>
      <c r="AX66" s="1186"/>
      <c r="AY66" s="1186"/>
      <c r="AZ66" s="1186"/>
      <c r="BA66" s="1186"/>
      <c r="BB66" s="1186"/>
      <c r="BC66" s="1186"/>
      <c r="BD66" s="1186"/>
      <c r="BE66" s="1186"/>
      <c r="BF66" s="1186"/>
      <c r="BG66" s="1186"/>
      <c r="BH66" s="1186"/>
      <c r="BI66" s="1186"/>
      <c r="BJ66" s="1186"/>
      <c r="BK66" s="1186"/>
      <c r="BL66" s="1186"/>
      <c r="BM66" s="1186"/>
      <c r="BN66" s="1186"/>
      <c r="BO66" s="1186"/>
      <c r="BP66" s="1186"/>
      <c r="BQ66" s="1186"/>
      <c r="BR66" s="1186"/>
      <c r="BS66" s="1186"/>
      <c r="BT66" s="1186"/>
      <c r="BU66" s="1186"/>
      <c r="BV66" s="1186"/>
      <c r="BW66" s="1186"/>
      <c r="BX66" s="1186"/>
      <c r="BY66" s="1186"/>
      <c r="BZ66" s="1186"/>
      <c r="CA66" s="1186"/>
      <c r="CB66" s="1186"/>
      <c r="CC66" s="1186"/>
      <c r="CD66" s="1186"/>
      <c r="CE66" s="1186"/>
      <c r="CF66" s="1186"/>
      <c r="CG66" s="1186"/>
      <c r="CH66" s="1186"/>
      <c r="CI66" s="1186"/>
      <c r="CJ66" s="1186"/>
      <c r="CK66" s="1186"/>
      <c r="CL66" s="1186"/>
      <c r="CM66" s="1186"/>
      <c r="CN66" s="1186"/>
      <c r="CO66" s="1186"/>
      <c r="CP66" s="1186"/>
      <c r="CQ66" s="1186"/>
      <c r="CR66" s="1186"/>
      <c r="CS66" s="1186"/>
      <c r="CT66" s="1186"/>
      <c r="CU66" s="1186"/>
      <c r="CV66" s="1186"/>
      <c r="CW66" s="1186"/>
      <c r="CX66" s="1186"/>
      <c r="CY66" s="1186"/>
      <c r="CZ66" s="1186"/>
      <c r="DA66" s="1186"/>
      <c r="DB66" s="1186"/>
      <c r="DC66" s="1186"/>
      <c r="DD66" s="1186"/>
      <c r="DE66" s="1186"/>
      <c r="DF66" s="1186"/>
      <c r="DG66" s="1186"/>
      <c r="DH66" s="1186"/>
      <c r="DI66" s="1186"/>
      <c r="DJ66" s="1186"/>
      <c r="DK66" s="1186"/>
      <c r="DL66" s="1186"/>
      <c r="DM66" s="1186"/>
      <c r="DN66" s="1186"/>
      <c r="DO66" s="1186"/>
      <c r="DP66" s="1186"/>
      <c r="DQ66" s="1186"/>
      <c r="DR66" s="1186"/>
      <c r="DS66" s="1186"/>
      <c r="DT66" s="1186"/>
      <c r="DU66" s="1186"/>
      <c r="DV66" s="1186"/>
      <c r="DW66" s="1186"/>
      <c r="DX66" s="1186"/>
      <c r="DY66" s="1186"/>
      <c r="DZ66" s="1186"/>
      <c r="EA66" s="1186"/>
      <c r="EB66" s="1186"/>
      <c r="EC66" s="1186"/>
      <c r="ED66" s="1186"/>
      <c r="EE66" s="1186"/>
      <c r="EF66" s="1186"/>
      <c r="EG66" s="1186"/>
      <c r="EH66" s="1186"/>
      <c r="EI66" s="1186"/>
      <c r="EJ66" s="1186"/>
      <c r="EK66" s="1186"/>
      <c r="EL66" s="1186"/>
      <c r="EM66" s="1186"/>
      <c r="EN66" s="1186"/>
      <c r="EO66" s="1186"/>
      <c r="EP66" s="1186"/>
      <c r="EQ66" s="1186"/>
      <c r="ER66" s="1186"/>
      <c r="ES66" s="1186"/>
      <c r="ET66" s="1186"/>
      <c r="EU66" s="1186"/>
      <c r="EV66" s="1186"/>
      <c r="EW66" s="1186"/>
      <c r="EX66" s="1186"/>
      <c r="EY66" s="1186"/>
      <c r="EZ66" s="1186"/>
      <c r="FA66" s="1186"/>
      <c r="FB66" s="1186"/>
      <c r="FC66" s="1186"/>
      <c r="FD66" s="1186"/>
      <c r="FE66" s="1186"/>
      <c r="FF66" s="1186"/>
      <c r="FG66" s="1186"/>
      <c r="FH66" s="1186"/>
      <c r="FI66" s="1186"/>
      <c r="FJ66" s="1186"/>
      <c r="FK66" s="1186"/>
      <c r="FL66" s="1186"/>
      <c r="FM66" s="1186"/>
      <c r="FN66" s="1186"/>
      <c r="FO66" s="1186"/>
      <c r="FP66" s="1186"/>
      <c r="FQ66" s="1186"/>
      <c r="FR66" s="1186"/>
      <c r="FS66" s="1186"/>
      <c r="FT66" s="1186"/>
      <c r="FU66" s="1186"/>
      <c r="FV66" s="1186"/>
      <c r="FW66" s="1186"/>
      <c r="FX66" s="1186"/>
      <c r="FY66" s="1186"/>
      <c r="FZ66" s="1186"/>
      <c r="GA66" s="1186"/>
      <c r="GB66" s="1186"/>
      <c r="GC66" s="1186"/>
      <c r="GD66" s="1186"/>
      <c r="GE66" s="1186"/>
    </row>
    <row r="67" spans="1:187" s="1197" customFormat="1">
      <c r="A67" s="1196"/>
      <c r="B67" s="535">
        <v>1</v>
      </c>
      <c r="C67" s="1222" t="s">
        <v>1447</v>
      </c>
      <c r="D67" s="1223" t="s">
        <v>1444</v>
      </c>
      <c r="E67" s="1206">
        <v>800000</v>
      </c>
      <c r="F67" s="2120"/>
      <c r="G67" s="2121"/>
      <c r="H67" s="1208">
        <f>IF(B67="","",(B67*E67))</f>
        <v>800000</v>
      </c>
      <c r="I67" s="1195"/>
      <c r="J67" s="1224"/>
      <c r="K67" s="1186"/>
      <c r="L67" s="1186"/>
      <c r="M67" s="1186"/>
      <c r="N67" s="1186"/>
      <c r="O67" s="1186"/>
      <c r="P67" s="1186"/>
      <c r="Q67" s="1186"/>
      <c r="R67" s="1186"/>
      <c r="S67" s="1186"/>
      <c r="T67" s="1186"/>
      <c r="U67" s="1186"/>
      <c r="V67" s="1186"/>
      <c r="W67" s="1186"/>
      <c r="X67" s="1186"/>
      <c r="Y67" s="1186"/>
      <c r="Z67" s="1186"/>
      <c r="AA67" s="1186"/>
      <c r="AB67" s="1186"/>
      <c r="AC67" s="1186"/>
      <c r="AD67" s="1186"/>
      <c r="AE67" s="1186"/>
      <c r="AF67" s="1186"/>
      <c r="AG67" s="1186"/>
      <c r="AH67" s="1186"/>
      <c r="AI67" s="1186"/>
      <c r="AJ67" s="1186"/>
      <c r="AK67" s="1186"/>
      <c r="AL67" s="1186"/>
      <c r="AM67" s="1186"/>
      <c r="AN67" s="1186"/>
      <c r="AO67" s="1186"/>
      <c r="AP67" s="1186"/>
      <c r="AQ67" s="1186"/>
      <c r="AR67" s="1186"/>
      <c r="AS67" s="1186"/>
      <c r="AT67" s="1186"/>
      <c r="AU67" s="1186"/>
      <c r="AV67" s="1186"/>
      <c r="AW67" s="1186"/>
      <c r="AX67" s="1186"/>
      <c r="AY67" s="1186"/>
      <c r="AZ67" s="1186"/>
      <c r="BA67" s="1186"/>
      <c r="BB67" s="1186"/>
      <c r="BC67" s="1186"/>
      <c r="BD67" s="1186"/>
      <c r="BE67" s="1186"/>
      <c r="BF67" s="1186"/>
      <c r="BG67" s="1186"/>
      <c r="BH67" s="1186"/>
      <c r="BI67" s="1186"/>
      <c r="BJ67" s="1186"/>
      <c r="BK67" s="1186"/>
      <c r="BL67" s="1186"/>
      <c r="BM67" s="1186"/>
      <c r="BN67" s="1186"/>
      <c r="BO67" s="1186"/>
      <c r="BP67" s="1186"/>
      <c r="BQ67" s="1186"/>
      <c r="BR67" s="1186"/>
      <c r="BS67" s="1186"/>
      <c r="BT67" s="1186"/>
      <c r="BU67" s="1186"/>
      <c r="BV67" s="1186"/>
      <c r="BW67" s="1186"/>
      <c r="BX67" s="1186"/>
      <c r="BY67" s="1186"/>
      <c r="BZ67" s="1186"/>
      <c r="CA67" s="1186"/>
      <c r="CB67" s="1186"/>
      <c r="CC67" s="1186"/>
      <c r="CD67" s="1186"/>
      <c r="CE67" s="1186"/>
      <c r="CF67" s="1186"/>
      <c r="CG67" s="1186"/>
      <c r="CH67" s="1186"/>
      <c r="CI67" s="1186"/>
      <c r="CJ67" s="1186"/>
      <c r="CK67" s="1186"/>
      <c r="CL67" s="1186"/>
      <c r="CM67" s="1186"/>
      <c r="CN67" s="1186"/>
      <c r="CO67" s="1186"/>
      <c r="CP67" s="1186"/>
      <c r="CQ67" s="1186"/>
      <c r="CR67" s="1186"/>
      <c r="CS67" s="1186"/>
      <c r="CT67" s="1186"/>
      <c r="CU67" s="1186"/>
      <c r="CV67" s="1186"/>
      <c r="CW67" s="1186"/>
      <c r="CX67" s="1186"/>
      <c r="CY67" s="1186"/>
      <c r="CZ67" s="1186"/>
      <c r="DA67" s="1186"/>
      <c r="DB67" s="1186"/>
      <c r="DC67" s="1186"/>
      <c r="DD67" s="1186"/>
      <c r="DE67" s="1186"/>
      <c r="DF67" s="1186"/>
      <c r="DG67" s="1186"/>
      <c r="DH67" s="1186"/>
      <c r="DI67" s="1186"/>
      <c r="DJ67" s="1186"/>
      <c r="DK67" s="1186"/>
      <c r="DL67" s="1186"/>
      <c r="DM67" s="1186"/>
      <c r="DN67" s="1186"/>
      <c r="DO67" s="1186"/>
      <c r="DP67" s="1186"/>
      <c r="DQ67" s="1186"/>
      <c r="DR67" s="1186"/>
      <c r="DS67" s="1186"/>
      <c r="DT67" s="1186"/>
      <c r="DU67" s="1186"/>
      <c r="DV67" s="1186"/>
      <c r="DW67" s="1186"/>
      <c r="DX67" s="1186"/>
      <c r="DY67" s="1186"/>
      <c r="DZ67" s="1186"/>
      <c r="EA67" s="1186"/>
      <c r="EB67" s="1186"/>
      <c r="EC67" s="1186"/>
      <c r="ED67" s="1186"/>
      <c r="EE67" s="1186"/>
      <c r="EF67" s="1186"/>
      <c r="EG67" s="1186"/>
      <c r="EH67" s="1186"/>
      <c r="EI67" s="1186"/>
      <c r="EJ67" s="1186"/>
      <c r="EK67" s="1186"/>
      <c r="EL67" s="1186"/>
      <c r="EM67" s="1186"/>
      <c r="EN67" s="1186"/>
      <c r="EO67" s="1186"/>
      <c r="EP67" s="1186"/>
      <c r="EQ67" s="1186"/>
      <c r="ER67" s="1186"/>
      <c r="ES67" s="1186"/>
      <c r="ET67" s="1186"/>
      <c r="EU67" s="1186"/>
      <c r="EV67" s="1186"/>
      <c r="EW67" s="1186"/>
      <c r="EX67" s="1186"/>
      <c r="EY67" s="1186"/>
      <c r="EZ67" s="1186"/>
      <c r="FA67" s="1186"/>
      <c r="FB67" s="1186"/>
      <c r="FC67" s="1186"/>
      <c r="FD67" s="1186"/>
      <c r="FE67" s="1186"/>
      <c r="FF67" s="1186"/>
      <c r="FG67" s="1186"/>
      <c r="FH67" s="1186"/>
      <c r="FI67" s="1186"/>
      <c r="FJ67" s="1186"/>
      <c r="FK67" s="1186"/>
      <c r="FL67" s="1186"/>
      <c r="FM67" s="1186"/>
      <c r="FN67" s="1186"/>
      <c r="FO67" s="1186"/>
      <c r="FP67" s="1186"/>
      <c r="FQ67" s="1186"/>
      <c r="FR67" s="1186"/>
      <c r="FS67" s="1186"/>
      <c r="FT67" s="1186"/>
      <c r="FU67" s="1186"/>
      <c r="FV67" s="1186"/>
      <c r="FW67" s="1186"/>
      <c r="FX67" s="1186"/>
      <c r="FY67" s="1186"/>
      <c r="FZ67" s="1186"/>
      <c r="GA67" s="1186"/>
      <c r="GB67" s="1186"/>
      <c r="GC67" s="1186"/>
      <c r="GD67" s="1186"/>
      <c r="GE67" s="1186"/>
    </row>
    <row r="68" spans="1:187" s="1197" customFormat="1" hidden="1">
      <c r="A68" s="1196"/>
      <c r="B68" s="550"/>
      <c r="C68" s="1222" t="s">
        <v>1447</v>
      </c>
      <c r="D68" s="1225"/>
      <c r="E68" s="1226"/>
      <c r="F68" s="2120"/>
      <c r="G68" s="2121"/>
      <c r="H68" s="1208" t="str">
        <f t="shared" si="4"/>
        <v/>
      </c>
      <c r="I68" s="1195"/>
      <c r="J68" s="1224"/>
      <c r="K68" s="1186"/>
      <c r="L68" s="1186"/>
      <c r="M68" s="1186"/>
      <c r="N68" s="1186"/>
      <c r="O68" s="1186"/>
      <c r="P68" s="1186"/>
      <c r="Q68" s="1186"/>
      <c r="R68" s="1186"/>
      <c r="S68" s="1186"/>
      <c r="T68" s="1186"/>
      <c r="U68" s="1186"/>
      <c r="V68" s="1186"/>
      <c r="W68" s="1186"/>
      <c r="X68" s="1186"/>
      <c r="Y68" s="1186"/>
      <c r="Z68" s="1186"/>
      <c r="AA68" s="1186"/>
      <c r="AB68" s="1186"/>
      <c r="AC68" s="1186"/>
      <c r="AD68" s="1186"/>
      <c r="AE68" s="1186"/>
      <c r="AF68" s="1186"/>
      <c r="AG68" s="1186"/>
      <c r="AH68" s="1186"/>
      <c r="AI68" s="1186"/>
      <c r="AJ68" s="1186"/>
      <c r="AK68" s="1186"/>
      <c r="AL68" s="1186"/>
      <c r="AM68" s="1186"/>
      <c r="AN68" s="1186"/>
      <c r="AO68" s="1186"/>
      <c r="AP68" s="1186"/>
      <c r="AQ68" s="1186"/>
      <c r="AR68" s="1186"/>
      <c r="AS68" s="1186"/>
      <c r="AT68" s="1186"/>
      <c r="AU68" s="1186"/>
      <c r="AV68" s="1186"/>
      <c r="AW68" s="1186"/>
      <c r="AX68" s="1186"/>
      <c r="AY68" s="1186"/>
      <c r="AZ68" s="1186"/>
      <c r="BA68" s="1186"/>
      <c r="BB68" s="1186"/>
      <c r="BC68" s="1186"/>
      <c r="BD68" s="1186"/>
      <c r="BE68" s="1186"/>
      <c r="BF68" s="1186"/>
      <c r="BG68" s="1186"/>
      <c r="BH68" s="1186"/>
      <c r="BI68" s="1186"/>
      <c r="BJ68" s="1186"/>
      <c r="BK68" s="1186"/>
      <c r="BL68" s="1186"/>
      <c r="BM68" s="1186"/>
      <c r="BN68" s="1186"/>
      <c r="BO68" s="1186"/>
      <c r="BP68" s="1186"/>
      <c r="BQ68" s="1186"/>
      <c r="BR68" s="1186"/>
      <c r="BS68" s="1186"/>
      <c r="BT68" s="1186"/>
      <c r="BU68" s="1186"/>
      <c r="BV68" s="1186"/>
      <c r="BW68" s="1186"/>
      <c r="BX68" s="1186"/>
      <c r="BY68" s="1186"/>
      <c r="BZ68" s="1186"/>
      <c r="CA68" s="1186"/>
      <c r="CB68" s="1186"/>
      <c r="CC68" s="1186"/>
      <c r="CD68" s="1186"/>
      <c r="CE68" s="1186"/>
      <c r="CF68" s="1186"/>
      <c r="CG68" s="1186"/>
      <c r="CH68" s="1186"/>
      <c r="CI68" s="1186"/>
      <c r="CJ68" s="1186"/>
      <c r="CK68" s="1186"/>
      <c r="CL68" s="1186"/>
      <c r="CM68" s="1186"/>
      <c r="CN68" s="1186"/>
      <c r="CO68" s="1186"/>
      <c r="CP68" s="1186"/>
      <c r="CQ68" s="1186"/>
      <c r="CR68" s="1186"/>
      <c r="CS68" s="1186"/>
      <c r="CT68" s="1186"/>
      <c r="CU68" s="1186"/>
      <c r="CV68" s="1186"/>
      <c r="CW68" s="1186"/>
      <c r="CX68" s="1186"/>
      <c r="CY68" s="1186"/>
      <c r="CZ68" s="1186"/>
      <c r="DA68" s="1186"/>
      <c r="DB68" s="1186"/>
      <c r="DC68" s="1186"/>
      <c r="DD68" s="1186"/>
      <c r="DE68" s="1186"/>
      <c r="DF68" s="1186"/>
      <c r="DG68" s="1186"/>
      <c r="DH68" s="1186"/>
      <c r="DI68" s="1186"/>
      <c r="DJ68" s="1186"/>
      <c r="DK68" s="1186"/>
      <c r="DL68" s="1186"/>
      <c r="DM68" s="1186"/>
      <c r="DN68" s="1186"/>
      <c r="DO68" s="1186"/>
      <c r="DP68" s="1186"/>
      <c r="DQ68" s="1186"/>
      <c r="DR68" s="1186"/>
      <c r="DS68" s="1186"/>
      <c r="DT68" s="1186"/>
      <c r="DU68" s="1186"/>
      <c r="DV68" s="1186"/>
      <c r="DW68" s="1186"/>
      <c r="DX68" s="1186"/>
      <c r="DY68" s="1186"/>
      <c r="DZ68" s="1186"/>
      <c r="EA68" s="1186"/>
      <c r="EB68" s="1186"/>
      <c r="EC68" s="1186"/>
      <c r="ED68" s="1186"/>
      <c r="EE68" s="1186"/>
      <c r="EF68" s="1186"/>
      <c r="EG68" s="1186"/>
      <c r="EH68" s="1186"/>
      <c r="EI68" s="1186"/>
      <c r="EJ68" s="1186"/>
      <c r="EK68" s="1186"/>
      <c r="EL68" s="1186"/>
      <c r="EM68" s="1186"/>
      <c r="EN68" s="1186"/>
      <c r="EO68" s="1186"/>
      <c r="EP68" s="1186"/>
      <c r="EQ68" s="1186"/>
      <c r="ER68" s="1186"/>
      <c r="ES68" s="1186"/>
      <c r="ET68" s="1186"/>
      <c r="EU68" s="1186"/>
      <c r="EV68" s="1186"/>
      <c r="EW68" s="1186"/>
      <c r="EX68" s="1186"/>
      <c r="EY68" s="1186"/>
      <c r="EZ68" s="1186"/>
      <c r="FA68" s="1186"/>
      <c r="FB68" s="1186"/>
      <c r="FC68" s="1186"/>
      <c r="FD68" s="1186"/>
      <c r="FE68" s="1186"/>
      <c r="FF68" s="1186"/>
      <c r="FG68" s="1186"/>
      <c r="FH68" s="1186"/>
      <c r="FI68" s="1186"/>
      <c r="FJ68" s="1186"/>
      <c r="FK68" s="1186"/>
      <c r="FL68" s="1186"/>
      <c r="FM68" s="1186"/>
      <c r="FN68" s="1186"/>
      <c r="FO68" s="1186"/>
      <c r="FP68" s="1186"/>
      <c r="FQ68" s="1186"/>
      <c r="FR68" s="1186"/>
      <c r="FS68" s="1186"/>
      <c r="FT68" s="1186"/>
      <c r="FU68" s="1186"/>
      <c r="FV68" s="1186"/>
      <c r="FW68" s="1186"/>
      <c r="FX68" s="1186"/>
      <c r="FY68" s="1186"/>
      <c r="FZ68" s="1186"/>
      <c r="GA68" s="1186"/>
      <c r="GB68" s="1186"/>
      <c r="GC68" s="1186"/>
      <c r="GD68" s="1186"/>
      <c r="GE68" s="1186"/>
    </row>
    <row r="69" spans="1:187" s="1197" customFormat="1" ht="16" thickBot="1">
      <c r="A69" s="1196"/>
      <c r="B69" s="535">
        <v>1</v>
      </c>
      <c r="C69" s="1222" t="s">
        <v>223</v>
      </c>
      <c r="D69" s="1223" t="s">
        <v>1444</v>
      </c>
      <c r="E69" s="1206">
        <f>+'POLIZAS INTREV'!H16</f>
        <v>1110293</v>
      </c>
      <c r="F69" s="2120"/>
      <c r="G69" s="2121"/>
      <c r="H69" s="1208">
        <f>IF(B69="","",ROUND(B69*E69,0))</f>
        <v>1110293</v>
      </c>
      <c r="I69" s="1195"/>
      <c r="J69" s="1224"/>
      <c r="K69" s="1186"/>
      <c r="L69" s="1186"/>
      <c r="M69" s="1186"/>
      <c r="N69" s="1186"/>
      <c r="O69" s="1186"/>
      <c r="P69" s="1186"/>
      <c r="Q69" s="1186"/>
      <c r="R69" s="1186"/>
      <c r="S69" s="1186"/>
      <c r="T69" s="1186"/>
      <c r="U69" s="1186"/>
      <c r="V69" s="1186"/>
      <c r="W69" s="1186"/>
      <c r="X69" s="1186"/>
      <c r="Y69" s="1186"/>
      <c r="Z69" s="1186"/>
      <c r="AA69" s="1186"/>
      <c r="AB69" s="1186"/>
      <c r="AC69" s="1186"/>
      <c r="AD69" s="1186"/>
      <c r="AE69" s="1186"/>
      <c r="AF69" s="1186"/>
      <c r="AG69" s="1186"/>
      <c r="AH69" s="1186"/>
      <c r="AI69" s="1186"/>
      <c r="AJ69" s="1186"/>
      <c r="AK69" s="1186"/>
      <c r="AL69" s="1186"/>
      <c r="AM69" s="1186"/>
      <c r="AN69" s="1186"/>
      <c r="AO69" s="1186"/>
      <c r="AP69" s="1186"/>
      <c r="AQ69" s="1186"/>
      <c r="AR69" s="1186"/>
      <c r="AS69" s="1186"/>
      <c r="AT69" s="1186"/>
      <c r="AU69" s="1186"/>
      <c r="AV69" s="1186"/>
      <c r="AW69" s="1186"/>
      <c r="AX69" s="1186"/>
      <c r="AY69" s="1186"/>
      <c r="AZ69" s="1186"/>
      <c r="BA69" s="1186"/>
      <c r="BB69" s="1186"/>
      <c r="BC69" s="1186"/>
      <c r="BD69" s="1186"/>
      <c r="BE69" s="1186"/>
      <c r="BF69" s="1186"/>
      <c r="BG69" s="1186"/>
      <c r="BH69" s="1186"/>
      <c r="BI69" s="1186"/>
      <c r="BJ69" s="1186"/>
      <c r="BK69" s="1186"/>
      <c r="BL69" s="1186"/>
      <c r="BM69" s="1186"/>
      <c r="BN69" s="1186"/>
      <c r="BO69" s="1186"/>
      <c r="BP69" s="1186"/>
      <c r="BQ69" s="1186"/>
      <c r="BR69" s="1186"/>
      <c r="BS69" s="1186"/>
      <c r="BT69" s="1186"/>
      <c r="BU69" s="1186"/>
      <c r="BV69" s="1186"/>
      <c r="BW69" s="1186"/>
      <c r="BX69" s="1186"/>
      <c r="BY69" s="1186"/>
      <c r="BZ69" s="1186"/>
      <c r="CA69" s="1186"/>
      <c r="CB69" s="1186"/>
      <c r="CC69" s="1186"/>
      <c r="CD69" s="1186"/>
      <c r="CE69" s="1186"/>
      <c r="CF69" s="1186"/>
      <c r="CG69" s="1186"/>
      <c r="CH69" s="1186"/>
      <c r="CI69" s="1186"/>
      <c r="CJ69" s="1186"/>
      <c r="CK69" s="1186"/>
      <c r="CL69" s="1186"/>
      <c r="CM69" s="1186"/>
      <c r="CN69" s="1186"/>
      <c r="CO69" s="1186"/>
      <c r="CP69" s="1186"/>
      <c r="CQ69" s="1186"/>
      <c r="CR69" s="1186"/>
      <c r="CS69" s="1186"/>
      <c r="CT69" s="1186"/>
      <c r="CU69" s="1186"/>
      <c r="CV69" s="1186"/>
      <c r="CW69" s="1186"/>
      <c r="CX69" s="1186"/>
      <c r="CY69" s="1186"/>
      <c r="CZ69" s="1186"/>
      <c r="DA69" s="1186"/>
      <c r="DB69" s="1186"/>
      <c r="DC69" s="1186"/>
      <c r="DD69" s="1186"/>
      <c r="DE69" s="1186"/>
      <c r="DF69" s="1186"/>
      <c r="DG69" s="1186"/>
      <c r="DH69" s="1186"/>
      <c r="DI69" s="1186"/>
      <c r="DJ69" s="1186"/>
      <c r="DK69" s="1186"/>
      <c r="DL69" s="1186"/>
      <c r="DM69" s="1186"/>
      <c r="DN69" s="1186"/>
      <c r="DO69" s="1186"/>
      <c r="DP69" s="1186"/>
      <c r="DQ69" s="1186"/>
      <c r="DR69" s="1186"/>
      <c r="DS69" s="1186"/>
      <c r="DT69" s="1186"/>
      <c r="DU69" s="1186"/>
      <c r="DV69" s="1186"/>
      <c r="DW69" s="1186"/>
      <c r="DX69" s="1186"/>
      <c r="DY69" s="1186"/>
      <c r="DZ69" s="1186"/>
      <c r="EA69" s="1186"/>
      <c r="EB69" s="1186"/>
      <c r="EC69" s="1186"/>
      <c r="ED69" s="1186"/>
      <c r="EE69" s="1186"/>
      <c r="EF69" s="1186"/>
      <c r="EG69" s="1186"/>
      <c r="EH69" s="1186"/>
      <c r="EI69" s="1186"/>
      <c r="EJ69" s="1186"/>
      <c r="EK69" s="1186"/>
      <c r="EL69" s="1186"/>
      <c r="EM69" s="1186"/>
      <c r="EN69" s="1186"/>
      <c r="EO69" s="1186"/>
      <c r="EP69" s="1186"/>
      <c r="EQ69" s="1186"/>
      <c r="ER69" s="1186"/>
      <c r="ES69" s="1186"/>
      <c r="ET69" s="1186"/>
      <c r="EU69" s="1186"/>
      <c r="EV69" s="1186"/>
      <c r="EW69" s="1186"/>
      <c r="EX69" s="1186"/>
      <c r="EY69" s="1186"/>
      <c r="EZ69" s="1186"/>
      <c r="FA69" s="1186"/>
      <c r="FB69" s="1186"/>
      <c r="FC69" s="1186"/>
      <c r="FD69" s="1186"/>
      <c r="FE69" s="1186"/>
      <c r="FF69" s="1186"/>
      <c r="FG69" s="1186"/>
      <c r="FH69" s="1186"/>
      <c r="FI69" s="1186"/>
      <c r="FJ69" s="1186"/>
      <c r="FK69" s="1186"/>
      <c r="FL69" s="1186"/>
      <c r="FM69" s="1186"/>
      <c r="FN69" s="1186"/>
      <c r="FO69" s="1186"/>
      <c r="FP69" s="1186"/>
      <c r="FQ69" s="1186"/>
      <c r="FR69" s="1186"/>
      <c r="FS69" s="1186"/>
      <c r="FT69" s="1186"/>
      <c r="FU69" s="1186"/>
      <c r="FV69" s="1186"/>
      <c r="FW69" s="1186"/>
      <c r="FX69" s="1186"/>
      <c r="FY69" s="1186"/>
      <c r="FZ69" s="1186"/>
      <c r="GA69" s="1186"/>
      <c r="GB69" s="1186"/>
      <c r="GC69" s="1186"/>
      <c r="GD69" s="1186"/>
      <c r="GE69" s="1186"/>
    </row>
    <row r="70" spans="1:187" s="1197" customFormat="1" ht="16" hidden="1" thickBot="1">
      <c r="A70" s="1196"/>
      <c r="B70" s="554" t="s">
        <v>66</v>
      </c>
      <c r="C70" s="1227" t="s">
        <v>1448</v>
      </c>
      <c r="D70" s="1228" t="s">
        <v>1444</v>
      </c>
      <c r="E70" s="1229"/>
      <c r="F70" s="2122"/>
      <c r="G70" s="2123"/>
      <c r="H70" s="1208"/>
      <c r="I70" s="1195"/>
      <c r="J70" s="1224"/>
      <c r="K70" s="1186"/>
      <c r="L70" s="1186"/>
      <c r="M70" s="1186"/>
      <c r="N70" s="1186"/>
      <c r="O70" s="1186"/>
      <c r="P70" s="1186"/>
      <c r="Q70" s="1186"/>
      <c r="R70" s="1186"/>
      <c r="S70" s="1186"/>
      <c r="T70" s="1186"/>
      <c r="U70" s="1186"/>
      <c r="V70" s="1186"/>
      <c r="W70" s="1186"/>
      <c r="X70" s="1186"/>
      <c r="Y70" s="1186"/>
      <c r="Z70" s="1186"/>
      <c r="AA70" s="1186"/>
      <c r="AB70" s="1186"/>
      <c r="AC70" s="1186"/>
      <c r="AD70" s="1186"/>
      <c r="AE70" s="1186"/>
      <c r="AF70" s="1186"/>
      <c r="AG70" s="1186"/>
      <c r="AH70" s="1186"/>
      <c r="AI70" s="1186"/>
      <c r="AJ70" s="1186"/>
      <c r="AK70" s="1186"/>
      <c r="AL70" s="1186"/>
      <c r="AM70" s="1186"/>
      <c r="AN70" s="1186"/>
      <c r="AO70" s="1186"/>
      <c r="AP70" s="1186"/>
      <c r="AQ70" s="1186"/>
      <c r="AR70" s="1186"/>
      <c r="AS70" s="1186"/>
      <c r="AT70" s="1186"/>
      <c r="AU70" s="1186"/>
      <c r="AV70" s="1186"/>
      <c r="AW70" s="1186"/>
      <c r="AX70" s="1186"/>
      <c r="AY70" s="1186"/>
      <c r="AZ70" s="1186"/>
      <c r="BA70" s="1186"/>
      <c r="BB70" s="1186"/>
      <c r="BC70" s="1186"/>
      <c r="BD70" s="1186"/>
      <c r="BE70" s="1186"/>
      <c r="BF70" s="1186"/>
      <c r="BG70" s="1186"/>
      <c r="BH70" s="1186"/>
      <c r="BI70" s="1186"/>
      <c r="BJ70" s="1186"/>
      <c r="BK70" s="1186"/>
      <c r="BL70" s="1186"/>
      <c r="BM70" s="1186"/>
      <c r="BN70" s="1186"/>
      <c r="BO70" s="1186"/>
      <c r="BP70" s="1186"/>
      <c r="BQ70" s="1186"/>
      <c r="BR70" s="1186"/>
      <c r="BS70" s="1186"/>
      <c r="BT70" s="1186"/>
      <c r="BU70" s="1186"/>
      <c r="BV70" s="1186"/>
      <c r="BW70" s="1186"/>
      <c r="BX70" s="1186"/>
      <c r="BY70" s="1186"/>
      <c r="BZ70" s="1186"/>
      <c r="CA70" s="1186"/>
      <c r="CB70" s="1186"/>
      <c r="CC70" s="1186"/>
      <c r="CD70" s="1186"/>
      <c r="CE70" s="1186"/>
      <c r="CF70" s="1186"/>
      <c r="CG70" s="1186"/>
      <c r="CH70" s="1186"/>
      <c r="CI70" s="1186"/>
      <c r="CJ70" s="1186"/>
      <c r="CK70" s="1186"/>
      <c r="CL70" s="1186"/>
      <c r="CM70" s="1186"/>
      <c r="CN70" s="1186"/>
      <c r="CO70" s="1186"/>
      <c r="CP70" s="1186"/>
      <c r="CQ70" s="1186"/>
      <c r="CR70" s="1186"/>
      <c r="CS70" s="1186"/>
      <c r="CT70" s="1186"/>
      <c r="CU70" s="1186"/>
      <c r="CV70" s="1186"/>
      <c r="CW70" s="1186"/>
      <c r="CX70" s="1186"/>
      <c r="CY70" s="1186"/>
      <c r="CZ70" s="1186"/>
      <c r="DA70" s="1186"/>
      <c r="DB70" s="1186"/>
      <c r="DC70" s="1186"/>
      <c r="DD70" s="1186"/>
      <c r="DE70" s="1186"/>
      <c r="DF70" s="1186"/>
      <c r="DG70" s="1186"/>
      <c r="DH70" s="1186"/>
      <c r="DI70" s="1186"/>
      <c r="DJ70" s="1186"/>
      <c r="DK70" s="1186"/>
      <c r="DL70" s="1186"/>
      <c r="DM70" s="1186"/>
      <c r="DN70" s="1186"/>
      <c r="DO70" s="1186"/>
      <c r="DP70" s="1186"/>
      <c r="DQ70" s="1186"/>
      <c r="DR70" s="1186"/>
      <c r="DS70" s="1186"/>
      <c r="DT70" s="1186"/>
      <c r="DU70" s="1186"/>
      <c r="DV70" s="1186"/>
      <c r="DW70" s="1186"/>
      <c r="DX70" s="1186"/>
      <c r="DY70" s="1186"/>
      <c r="DZ70" s="1186"/>
      <c r="EA70" s="1186"/>
      <c r="EB70" s="1186"/>
      <c r="EC70" s="1186"/>
      <c r="ED70" s="1186"/>
      <c r="EE70" s="1186"/>
      <c r="EF70" s="1186"/>
      <c r="EG70" s="1186"/>
      <c r="EH70" s="1186"/>
      <c r="EI70" s="1186"/>
      <c r="EJ70" s="1186"/>
      <c r="EK70" s="1186"/>
      <c r="EL70" s="1186"/>
      <c r="EM70" s="1186"/>
      <c r="EN70" s="1186"/>
      <c r="EO70" s="1186"/>
      <c r="EP70" s="1186"/>
      <c r="EQ70" s="1186"/>
      <c r="ER70" s="1186"/>
      <c r="ES70" s="1186"/>
      <c r="ET70" s="1186"/>
      <c r="EU70" s="1186"/>
      <c r="EV70" s="1186"/>
      <c r="EW70" s="1186"/>
      <c r="EX70" s="1186"/>
      <c r="EY70" s="1186"/>
      <c r="EZ70" s="1186"/>
      <c r="FA70" s="1186"/>
      <c r="FB70" s="1186"/>
      <c r="FC70" s="1186"/>
      <c r="FD70" s="1186"/>
      <c r="FE70" s="1186"/>
      <c r="FF70" s="1186"/>
      <c r="FG70" s="1186"/>
      <c r="FH70" s="1186"/>
      <c r="FI70" s="1186"/>
      <c r="FJ70" s="1186"/>
      <c r="FK70" s="1186"/>
      <c r="FL70" s="1186"/>
      <c r="FM70" s="1186"/>
      <c r="FN70" s="1186"/>
      <c r="FO70" s="1186"/>
      <c r="FP70" s="1186"/>
      <c r="FQ70" s="1186"/>
      <c r="FR70" s="1186"/>
      <c r="FS70" s="1186"/>
      <c r="FT70" s="1186"/>
      <c r="FU70" s="1186"/>
      <c r="FV70" s="1186"/>
      <c r="FW70" s="1186"/>
      <c r="FX70" s="1186"/>
      <c r="FY70" s="1186"/>
      <c r="FZ70" s="1186"/>
      <c r="GA70" s="1186"/>
      <c r="GB70" s="1186"/>
      <c r="GC70" s="1186"/>
      <c r="GD70" s="1186"/>
      <c r="GE70" s="1186"/>
    </row>
    <row r="71" spans="1:187" s="1197" customFormat="1" ht="24" customHeight="1">
      <c r="A71" s="1196"/>
      <c r="B71" s="2124" t="s">
        <v>1449</v>
      </c>
      <c r="C71" s="2125"/>
      <c r="D71" s="2125"/>
      <c r="E71" s="2125"/>
      <c r="F71" s="2125"/>
      <c r="G71" s="2126"/>
      <c r="H71" s="1231">
        <f>SUM(H40:H43)+SUM(H45:H47)+SUM(H49:H52)+SUM(H57:H57)+SUM(H62:H62)+SUM(H64:H70)</f>
        <v>6214785</v>
      </c>
      <c r="I71" s="1230"/>
      <c r="J71" s="1186"/>
      <c r="K71" s="1186"/>
      <c r="L71" s="1186"/>
      <c r="M71" s="1186"/>
      <c r="N71" s="1186"/>
      <c r="O71" s="1186"/>
      <c r="P71" s="1186"/>
      <c r="Q71" s="1186"/>
      <c r="R71" s="1186"/>
      <c r="S71" s="1186"/>
      <c r="T71" s="1186"/>
      <c r="U71" s="1186"/>
      <c r="V71" s="1186"/>
      <c r="W71" s="1186"/>
      <c r="X71" s="1186"/>
      <c r="Y71" s="1186"/>
      <c r="Z71" s="1186"/>
      <c r="AA71" s="1186"/>
      <c r="AB71" s="1186"/>
      <c r="AC71" s="1186"/>
      <c r="AD71" s="1186"/>
      <c r="AE71" s="1186"/>
      <c r="AF71" s="1186"/>
      <c r="AG71" s="1186"/>
      <c r="AH71" s="1186"/>
      <c r="AI71" s="1186"/>
      <c r="AJ71" s="1186"/>
      <c r="AK71" s="1186"/>
      <c r="AL71" s="1186"/>
      <c r="AM71" s="1186"/>
      <c r="AN71" s="1186"/>
      <c r="AO71" s="1186"/>
      <c r="AP71" s="1186"/>
      <c r="AQ71" s="1186"/>
      <c r="AR71" s="1186"/>
      <c r="AS71" s="1186"/>
      <c r="AT71" s="1186"/>
      <c r="AU71" s="1186"/>
      <c r="AV71" s="1186"/>
      <c r="AW71" s="1186"/>
      <c r="AX71" s="1186"/>
      <c r="AY71" s="1186"/>
      <c r="AZ71" s="1186"/>
      <c r="BA71" s="1186"/>
      <c r="BB71" s="1186"/>
      <c r="BC71" s="1186"/>
      <c r="BD71" s="1186"/>
      <c r="BE71" s="1186"/>
      <c r="BF71" s="1186"/>
      <c r="BG71" s="1186"/>
      <c r="BH71" s="1186"/>
      <c r="BI71" s="1186"/>
      <c r="BJ71" s="1186"/>
      <c r="BK71" s="1186"/>
      <c r="BL71" s="1186"/>
      <c r="BM71" s="1186"/>
      <c r="BN71" s="1186"/>
      <c r="BO71" s="1186"/>
      <c r="BP71" s="1186"/>
      <c r="BQ71" s="1186"/>
      <c r="BR71" s="1186"/>
      <c r="BS71" s="1186"/>
      <c r="BT71" s="1186"/>
      <c r="BU71" s="1186"/>
      <c r="BV71" s="1186"/>
      <c r="BW71" s="1186"/>
      <c r="BX71" s="1186"/>
      <c r="BY71" s="1186"/>
      <c r="BZ71" s="1186"/>
      <c r="CA71" s="1186"/>
      <c r="CB71" s="1186"/>
      <c r="CC71" s="1186"/>
      <c r="CD71" s="1186"/>
      <c r="CE71" s="1186"/>
      <c r="CF71" s="1186"/>
      <c r="CG71" s="1186"/>
      <c r="CH71" s="1186"/>
      <c r="CI71" s="1186"/>
      <c r="CJ71" s="1186"/>
      <c r="CK71" s="1186"/>
      <c r="CL71" s="1186"/>
      <c r="CM71" s="1186"/>
      <c r="CN71" s="1186"/>
      <c r="CO71" s="1186"/>
      <c r="CP71" s="1186"/>
      <c r="CQ71" s="1186"/>
      <c r="CR71" s="1186"/>
      <c r="CS71" s="1186"/>
      <c r="CT71" s="1186"/>
      <c r="CU71" s="1186"/>
      <c r="CV71" s="1186"/>
      <c r="CW71" s="1186"/>
      <c r="CX71" s="1186"/>
      <c r="CY71" s="1186"/>
      <c r="CZ71" s="1186"/>
      <c r="DA71" s="1186"/>
      <c r="DB71" s="1186"/>
      <c r="DC71" s="1186"/>
      <c r="DD71" s="1186"/>
      <c r="DE71" s="1186"/>
      <c r="DF71" s="1186"/>
      <c r="DG71" s="1186"/>
      <c r="DH71" s="1186"/>
      <c r="DI71" s="1186"/>
      <c r="DJ71" s="1186"/>
      <c r="DK71" s="1186"/>
      <c r="DL71" s="1186"/>
      <c r="DM71" s="1186"/>
      <c r="DN71" s="1186"/>
      <c r="DO71" s="1186"/>
      <c r="DP71" s="1186"/>
      <c r="DQ71" s="1186"/>
      <c r="DR71" s="1186"/>
      <c r="DS71" s="1186"/>
      <c r="DT71" s="1186"/>
      <c r="DU71" s="1186"/>
      <c r="DV71" s="1186"/>
      <c r="DW71" s="1186"/>
      <c r="DX71" s="1186"/>
      <c r="DY71" s="1186"/>
      <c r="DZ71" s="1186"/>
      <c r="EA71" s="1186"/>
      <c r="EB71" s="1186"/>
      <c r="EC71" s="1186"/>
      <c r="ED71" s="1186"/>
      <c r="EE71" s="1186"/>
      <c r="EF71" s="1186"/>
      <c r="EG71" s="1186"/>
      <c r="EH71" s="1186"/>
      <c r="EI71" s="1186"/>
      <c r="EJ71" s="1186"/>
      <c r="EK71" s="1186"/>
      <c r="EL71" s="1186"/>
      <c r="EM71" s="1186"/>
      <c r="EN71" s="1186"/>
      <c r="EO71" s="1186"/>
      <c r="EP71" s="1186"/>
      <c r="EQ71" s="1186"/>
      <c r="ER71" s="1186"/>
      <c r="ES71" s="1186"/>
      <c r="ET71" s="1186"/>
      <c r="EU71" s="1186"/>
      <c r="EV71" s="1186"/>
      <c r="EW71" s="1186"/>
      <c r="EX71" s="1186"/>
      <c r="EY71" s="1186"/>
      <c r="EZ71" s="1186"/>
      <c r="FA71" s="1186"/>
      <c r="FB71" s="1186"/>
      <c r="FC71" s="1186"/>
      <c r="FD71" s="1186"/>
      <c r="FE71" s="1186"/>
      <c r="FF71" s="1186"/>
      <c r="FG71" s="1186"/>
      <c r="FH71" s="1186"/>
      <c r="FI71" s="1186"/>
      <c r="FJ71" s="1186"/>
      <c r="FK71" s="1186"/>
      <c r="FL71" s="1186"/>
      <c r="FM71" s="1186"/>
      <c r="FN71" s="1186"/>
      <c r="FO71" s="1186"/>
      <c r="FP71" s="1186"/>
      <c r="FQ71" s="1186"/>
      <c r="FR71" s="1186"/>
      <c r="FS71" s="1186"/>
      <c r="FT71" s="1186"/>
      <c r="FU71" s="1186"/>
      <c r="FV71" s="1186"/>
      <c r="FW71" s="1186"/>
      <c r="FX71" s="1186"/>
      <c r="FY71" s="1186"/>
      <c r="FZ71" s="1186"/>
      <c r="GA71" s="1186"/>
      <c r="GB71" s="1186"/>
      <c r="GC71" s="1186"/>
      <c r="GD71" s="1186"/>
      <c r="GE71" s="1186"/>
    </row>
    <row r="72" spans="1:187" s="1197" customFormat="1" ht="24" customHeight="1">
      <c r="A72" s="1196"/>
      <c r="B72" s="2127" t="s">
        <v>1450</v>
      </c>
      <c r="C72" s="2128"/>
      <c r="D72" s="2128"/>
      <c r="E72" s="2128"/>
      <c r="F72" s="2128"/>
      <c r="G72" s="2129"/>
      <c r="H72" s="1231">
        <f ca="1">+H34+H71</f>
        <v>33952785</v>
      </c>
      <c r="I72" s="1232"/>
      <c r="J72" s="1186"/>
      <c r="K72" s="1186"/>
      <c r="L72" s="1186"/>
      <c r="M72" s="1186"/>
      <c r="N72" s="1186"/>
      <c r="O72" s="1186"/>
      <c r="P72" s="1186"/>
      <c r="Q72" s="1186"/>
      <c r="R72" s="1186"/>
      <c r="S72" s="1186"/>
      <c r="T72" s="1186"/>
      <c r="U72" s="1186"/>
      <c r="V72" s="1186"/>
      <c r="W72" s="1186"/>
      <c r="X72" s="1186"/>
      <c r="Y72" s="1186"/>
      <c r="Z72" s="1186"/>
      <c r="AA72" s="1186"/>
      <c r="AB72" s="1186"/>
      <c r="AC72" s="1186"/>
      <c r="AD72" s="1186"/>
      <c r="AE72" s="1186"/>
      <c r="AF72" s="1186"/>
      <c r="AG72" s="1186"/>
      <c r="AH72" s="1186"/>
      <c r="AI72" s="1186"/>
      <c r="AJ72" s="1186"/>
      <c r="AK72" s="1186"/>
      <c r="AL72" s="1186"/>
      <c r="AM72" s="1186"/>
      <c r="AN72" s="1186"/>
      <c r="AO72" s="1186"/>
      <c r="AP72" s="1186"/>
      <c r="AQ72" s="1186"/>
      <c r="AR72" s="1186"/>
      <c r="AS72" s="1186"/>
      <c r="AT72" s="1186"/>
      <c r="AU72" s="1186"/>
      <c r="AV72" s="1186"/>
      <c r="AW72" s="1186"/>
      <c r="AX72" s="1186"/>
      <c r="AY72" s="1186"/>
      <c r="AZ72" s="1186"/>
      <c r="BA72" s="1186"/>
      <c r="BB72" s="1186"/>
      <c r="BC72" s="1186"/>
      <c r="BD72" s="1186"/>
      <c r="BE72" s="1186"/>
      <c r="BF72" s="1186"/>
      <c r="BG72" s="1186"/>
      <c r="BH72" s="1186"/>
      <c r="BI72" s="1186"/>
      <c r="BJ72" s="1186"/>
      <c r="BK72" s="1186"/>
      <c r="BL72" s="1186"/>
      <c r="BM72" s="1186"/>
      <c r="BN72" s="1186"/>
      <c r="BO72" s="1186"/>
      <c r="BP72" s="1186"/>
      <c r="BQ72" s="1186"/>
      <c r="BR72" s="1186"/>
      <c r="BS72" s="1186"/>
      <c r="BT72" s="1186"/>
      <c r="BU72" s="1186"/>
      <c r="BV72" s="1186"/>
      <c r="BW72" s="1186"/>
      <c r="BX72" s="1186"/>
      <c r="BY72" s="1186"/>
      <c r="BZ72" s="1186"/>
      <c r="CA72" s="1186"/>
      <c r="CB72" s="1186"/>
      <c r="CC72" s="1186"/>
      <c r="CD72" s="1186"/>
      <c r="CE72" s="1186"/>
      <c r="CF72" s="1186"/>
      <c r="CG72" s="1186"/>
      <c r="CH72" s="1186"/>
      <c r="CI72" s="1186"/>
      <c r="CJ72" s="1186"/>
      <c r="CK72" s="1186"/>
      <c r="CL72" s="1186"/>
      <c r="CM72" s="1186"/>
      <c r="CN72" s="1186"/>
      <c r="CO72" s="1186"/>
      <c r="CP72" s="1186"/>
      <c r="CQ72" s="1186"/>
      <c r="CR72" s="1186"/>
      <c r="CS72" s="1186"/>
      <c r="CT72" s="1186"/>
      <c r="CU72" s="1186"/>
      <c r="CV72" s="1186"/>
      <c r="CW72" s="1186"/>
      <c r="CX72" s="1186"/>
      <c r="CY72" s="1186"/>
      <c r="CZ72" s="1186"/>
      <c r="DA72" s="1186"/>
      <c r="DB72" s="1186"/>
      <c r="DC72" s="1186"/>
      <c r="DD72" s="1186"/>
      <c r="DE72" s="1186"/>
      <c r="DF72" s="1186"/>
      <c r="DG72" s="1186"/>
      <c r="DH72" s="1186"/>
      <c r="DI72" s="1186"/>
      <c r="DJ72" s="1186"/>
      <c r="DK72" s="1186"/>
      <c r="DL72" s="1186"/>
      <c r="DM72" s="1186"/>
      <c r="DN72" s="1186"/>
      <c r="DO72" s="1186"/>
      <c r="DP72" s="1186"/>
      <c r="DQ72" s="1186"/>
      <c r="DR72" s="1186"/>
      <c r="DS72" s="1186"/>
      <c r="DT72" s="1186"/>
      <c r="DU72" s="1186"/>
      <c r="DV72" s="1186"/>
      <c r="DW72" s="1186"/>
      <c r="DX72" s="1186"/>
      <c r="DY72" s="1186"/>
      <c r="DZ72" s="1186"/>
      <c r="EA72" s="1186"/>
      <c r="EB72" s="1186"/>
      <c r="EC72" s="1186"/>
      <c r="ED72" s="1186"/>
      <c r="EE72" s="1186"/>
      <c r="EF72" s="1186"/>
      <c r="EG72" s="1186"/>
      <c r="EH72" s="1186"/>
      <c r="EI72" s="1186"/>
      <c r="EJ72" s="1186"/>
      <c r="EK72" s="1186"/>
      <c r="EL72" s="1186"/>
      <c r="EM72" s="1186"/>
      <c r="EN72" s="1186"/>
      <c r="EO72" s="1186"/>
      <c r="EP72" s="1186"/>
      <c r="EQ72" s="1186"/>
      <c r="ER72" s="1186"/>
      <c r="ES72" s="1186"/>
      <c r="ET72" s="1186"/>
      <c r="EU72" s="1186"/>
      <c r="EV72" s="1186"/>
      <c r="EW72" s="1186"/>
      <c r="EX72" s="1186"/>
      <c r="EY72" s="1186"/>
      <c r="EZ72" s="1186"/>
      <c r="FA72" s="1186"/>
      <c r="FB72" s="1186"/>
      <c r="FC72" s="1186"/>
      <c r="FD72" s="1186"/>
      <c r="FE72" s="1186"/>
      <c r="FF72" s="1186"/>
      <c r="FG72" s="1186"/>
      <c r="FH72" s="1186"/>
      <c r="FI72" s="1186"/>
      <c r="FJ72" s="1186"/>
      <c r="FK72" s="1186"/>
      <c r="FL72" s="1186"/>
      <c r="FM72" s="1186"/>
      <c r="FN72" s="1186"/>
      <c r="FO72" s="1186"/>
      <c r="FP72" s="1186"/>
      <c r="FQ72" s="1186"/>
      <c r="FR72" s="1186"/>
      <c r="FS72" s="1186"/>
      <c r="FT72" s="1186"/>
      <c r="FU72" s="1186"/>
      <c r="FV72" s="1186"/>
      <c r="FW72" s="1186"/>
      <c r="FX72" s="1186"/>
      <c r="FY72" s="1186"/>
      <c r="FZ72" s="1186"/>
      <c r="GA72" s="1186"/>
      <c r="GB72" s="1186"/>
      <c r="GC72" s="1186"/>
      <c r="GD72" s="1186"/>
      <c r="GE72" s="1186"/>
    </row>
    <row r="73" spans="1:187" s="1197" customFormat="1" ht="24" customHeight="1">
      <c r="A73" s="1196"/>
      <c r="B73" s="2127" t="s">
        <v>1451</v>
      </c>
      <c r="C73" s="2128"/>
      <c r="D73" s="2128"/>
      <c r="E73" s="2128"/>
      <c r="F73" s="2128"/>
      <c r="G73" s="2129"/>
      <c r="H73" s="1233">
        <f ca="1">(H72*19%)</f>
        <v>6451029.1500000004</v>
      </c>
      <c r="I73" s="1234"/>
      <c r="J73" s="1186"/>
      <c r="K73" s="1186"/>
      <c r="L73" s="1186"/>
      <c r="M73" s="1186"/>
      <c r="N73" s="1186"/>
      <c r="O73" s="1186"/>
      <c r="P73" s="1186"/>
      <c r="Q73" s="1186"/>
      <c r="R73" s="1186"/>
      <c r="S73" s="1186"/>
      <c r="T73" s="1186"/>
      <c r="U73" s="1186"/>
      <c r="V73" s="1186"/>
      <c r="W73" s="1186"/>
      <c r="X73" s="1186"/>
      <c r="Y73" s="1186"/>
      <c r="Z73" s="1186"/>
      <c r="AA73" s="1186"/>
      <c r="AB73" s="1186"/>
      <c r="AC73" s="1186"/>
      <c r="AD73" s="1186"/>
      <c r="AE73" s="1186"/>
      <c r="AF73" s="1186"/>
      <c r="AG73" s="1186"/>
      <c r="AH73" s="1186"/>
      <c r="AI73" s="1186"/>
      <c r="AJ73" s="1186"/>
      <c r="AK73" s="1186"/>
      <c r="AL73" s="1186"/>
      <c r="AM73" s="1186"/>
      <c r="AN73" s="1186"/>
      <c r="AO73" s="1186"/>
      <c r="AP73" s="1186"/>
      <c r="AQ73" s="1186"/>
      <c r="AR73" s="1186"/>
      <c r="AS73" s="1186"/>
      <c r="AT73" s="1186"/>
      <c r="AU73" s="1186"/>
      <c r="AV73" s="1186"/>
      <c r="AW73" s="1186"/>
      <c r="AX73" s="1186"/>
      <c r="AY73" s="1186"/>
      <c r="AZ73" s="1186"/>
      <c r="BA73" s="1186"/>
      <c r="BB73" s="1186"/>
      <c r="BC73" s="1186"/>
      <c r="BD73" s="1186"/>
      <c r="BE73" s="1186"/>
      <c r="BF73" s="1186"/>
      <c r="BG73" s="1186"/>
      <c r="BH73" s="1186"/>
      <c r="BI73" s="1186"/>
      <c r="BJ73" s="1186"/>
      <c r="BK73" s="1186"/>
      <c r="BL73" s="1186"/>
      <c r="BM73" s="1186"/>
      <c r="BN73" s="1186"/>
      <c r="BO73" s="1186"/>
      <c r="BP73" s="1186"/>
      <c r="BQ73" s="1186"/>
      <c r="BR73" s="1186"/>
      <c r="BS73" s="1186"/>
      <c r="BT73" s="1186"/>
      <c r="BU73" s="1186"/>
      <c r="BV73" s="1186"/>
      <c r="BW73" s="1186"/>
      <c r="BX73" s="1186"/>
      <c r="BY73" s="1186"/>
      <c r="BZ73" s="1186"/>
      <c r="CA73" s="1186"/>
      <c r="CB73" s="1186"/>
      <c r="CC73" s="1186"/>
      <c r="CD73" s="1186"/>
      <c r="CE73" s="1186"/>
      <c r="CF73" s="1186"/>
      <c r="CG73" s="1186"/>
      <c r="CH73" s="1186"/>
      <c r="CI73" s="1186"/>
      <c r="CJ73" s="1186"/>
      <c r="CK73" s="1186"/>
      <c r="CL73" s="1186"/>
      <c r="CM73" s="1186"/>
      <c r="CN73" s="1186"/>
      <c r="CO73" s="1186"/>
      <c r="CP73" s="1186"/>
      <c r="CQ73" s="1186"/>
      <c r="CR73" s="1186"/>
      <c r="CS73" s="1186"/>
      <c r="CT73" s="1186"/>
      <c r="CU73" s="1186"/>
      <c r="CV73" s="1186"/>
      <c r="CW73" s="1186"/>
      <c r="CX73" s="1186"/>
      <c r="CY73" s="1186"/>
      <c r="CZ73" s="1186"/>
      <c r="DA73" s="1186"/>
      <c r="DB73" s="1186"/>
      <c r="DC73" s="1186"/>
      <c r="DD73" s="1186"/>
      <c r="DE73" s="1186"/>
      <c r="DF73" s="1186"/>
      <c r="DG73" s="1186"/>
      <c r="DH73" s="1186"/>
      <c r="DI73" s="1186"/>
      <c r="DJ73" s="1186"/>
      <c r="DK73" s="1186"/>
      <c r="DL73" s="1186"/>
      <c r="DM73" s="1186"/>
      <c r="DN73" s="1186"/>
      <c r="DO73" s="1186"/>
      <c r="DP73" s="1186"/>
      <c r="DQ73" s="1186"/>
      <c r="DR73" s="1186"/>
      <c r="DS73" s="1186"/>
      <c r="DT73" s="1186"/>
      <c r="DU73" s="1186"/>
      <c r="DV73" s="1186"/>
      <c r="DW73" s="1186"/>
      <c r="DX73" s="1186"/>
      <c r="DY73" s="1186"/>
      <c r="DZ73" s="1186"/>
      <c r="EA73" s="1186"/>
      <c r="EB73" s="1186"/>
      <c r="EC73" s="1186"/>
      <c r="ED73" s="1186"/>
      <c r="EE73" s="1186"/>
      <c r="EF73" s="1186"/>
      <c r="EG73" s="1186"/>
      <c r="EH73" s="1186"/>
      <c r="EI73" s="1186"/>
      <c r="EJ73" s="1186"/>
      <c r="EK73" s="1186"/>
      <c r="EL73" s="1186"/>
      <c r="EM73" s="1186"/>
      <c r="EN73" s="1186"/>
      <c r="EO73" s="1186"/>
      <c r="EP73" s="1186"/>
      <c r="EQ73" s="1186"/>
      <c r="ER73" s="1186"/>
      <c r="ES73" s="1186"/>
      <c r="ET73" s="1186"/>
      <c r="EU73" s="1186"/>
      <c r="EV73" s="1186"/>
      <c r="EW73" s="1186"/>
      <c r="EX73" s="1186"/>
      <c r="EY73" s="1186"/>
      <c r="EZ73" s="1186"/>
      <c r="FA73" s="1186"/>
      <c r="FB73" s="1186"/>
      <c r="FC73" s="1186"/>
      <c r="FD73" s="1186"/>
      <c r="FE73" s="1186"/>
      <c r="FF73" s="1186"/>
      <c r="FG73" s="1186"/>
      <c r="FH73" s="1186"/>
      <c r="FI73" s="1186"/>
      <c r="FJ73" s="1186"/>
      <c r="FK73" s="1186"/>
      <c r="FL73" s="1186"/>
      <c r="FM73" s="1186"/>
      <c r="FN73" s="1186"/>
      <c r="FO73" s="1186"/>
      <c r="FP73" s="1186"/>
      <c r="FQ73" s="1186"/>
      <c r="FR73" s="1186"/>
      <c r="FS73" s="1186"/>
      <c r="FT73" s="1186"/>
      <c r="FU73" s="1186"/>
      <c r="FV73" s="1186"/>
      <c r="FW73" s="1186"/>
      <c r="FX73" s="1186"/>
      <c r="FY73" s="1186"/>
      <c r="FZ73" s="1186"/>
      <c r="GA73" s="1186"/>
      <c r="GB73" s="1186"/>
      <c r="GC73" s="1186"/>
      <c r="GD73" s="1186"/>
      <c r="GE73" s="1186"/>
    </row>
    <row r="74" spans="1:187" s="1197" customFormat="1" ht="24" customHeight="1" thickBot="1">
      <c r="A74" s="1196"/>
      <c r="B74" s="2147" t="s">
        <v>1452</v>
      </c>
      <c r="C74" s="2148"/>
      <c r="D74" s="2148"/>
      <c r="E74" s="2148"/>
      <c r="F74" s="2148"/>
      <c r="G74" s="2149"/>
      <c r="H74" s="1235">
        <f ca="1">ROUND(H72+H73,0)</f>
        <v>40403814</v>
      </c>
      <c r="I74" s="1232"/>
      <c r="J74" s="1236"/>
      <c r="K74" s="1186"/>
      <c r="L74" s="1186"/>
      <c r="M74" s="1186"/>
      <c r="N74" s="1186"/>
      <c r="O74" s="1186"/>
      <c r="P74" s="1186"/>
      <c r="Q74" s="1186"/>
      <c r="R74" s="1186"/>
      <c r="S74" s="1186"/>
      <c r="T74" s="1186"/>
      <c r="U74" s="1186"/>
      <c r="V74" s="1186"/>
      <c r="W74" s="1186"/>
      <c r="X74" s="1186"/>
      <c r="Y74" s="1186"/>
      <c r="Z74" s="1186"/>
      <c r="AA74" s="1186"/>
      <c r="AB74" s="1186"/>
      <c r="AC74" s="1186"/>
      <c r="AD74" s="1186"/>
      <c r="AE74" s="1186"/>
      <c r="AF74" s="1186"/>
      <c r="AG74" s="1186"/>
      <c r="AH74" s="1186"/>
      <c r="AI74" s="1186"/>
      <c r="AJ74" s="1186"/>
      <c r="AK74" s="1186"/>
      <c r="AL74" s="1186"/>
      <c r="AM74" s="1186"/>
      <c r="AN74" s="1186"/>
      <c r="AO74" s="1186"/>
      <c r="AP74" s="1186"/>
      <c r="AQ74" s="1186"/>
      <c r="AR74" s="1186"/>
      <c r="AS74" s="1186"/>
      <c r="AT74" s="1186"/>
      <c r="AU74" s="1186"/>
      <c r="AV74" s="1186"/>
      <c r="AW74" s="1186"/>
      <c r="AX74" s="1186"/>
      <c r="AY74" s="1186"/>
      <c r="AZ74" s="1186"/>
      <c r="BA74" s="1186"/>
      <c r="BB74" s="1186"/>
      <c r="BC74" s="1186"/>
      <c r="BD74" s="1186"/>
      <c r="BE74" s="1186"/>
      <c r="BF74" s="1186"/>
      <c r="BG74" s="1186"/>
      <c r="BH74" s="1186"/>
      <c r="BI74" s="1186"/>
      <c r="BJ74" s="1186"/>
      <c r="BK74" s="1186"/>
      <c r="BL74" s="1186"/>
      <c r="BM74" s="1186"/>
      <c r="BN74" s="1186"/>
      <c r="BO74" s="1186"/>
      <c r="BP74" s="1186"/>
      <c r="BQ74" s="1186"/>
      <c r="BR74" s="1186"/>
      <c r="BS74" s="1186"/>
      <c r="BT74" s="1186"/>
      <c r="BU74" s="1186"/>
      <c r="BV74" s="1186"/>
      <c r="BW74" s="1186"/>
      <c r="BX74" s="1186"/>
      <c r="BY74" s="1186"/>
      <c r="BZ74" s="1186"/>
      <c r="CA74" s="1186"/>
      <c r="CB74" s="1186"/>
      <c r="CC74" s="1186"/>
      <c r="CD74" s="1186"/>
      <c r="CE74" s="1186"/>
      <c r="CF74" s="1186"/>
      <c r="CG74" s="1186"/>
      <c r="CH74" s="1186"/>
      <c r="CI74" s="1186"/>
      <c r="CJ74" s="1186"/>
      <c r="CK74" s="1186"/>
      <c r="CL74" s="1186"/>
      <c r="CM74" s="1186"/>
      <c r="CN74" s="1186"/>
      <c r="CO74" s="1186"/>
      <c r="CP74" s="1186"/>
      <c r="CQ74" s="1186"/>
      <c r="CR74" s="1186"/>
      <c r="CS74" s="1186"/>
      <c r="CT74" s="1186"/>
      <c r="CU74" s="1186"/>
      <c r="CV74" s="1186"/>
      <c r="CW74" s="1186"/>
      <c r="CX74" s="1186"/>
      <c r="CY74" s="1186"/>
      <c r="CZ74" s="1186"/>
      <c r="DA74" s="1186"/>
      <c r="DB74" s="1186"/>
      <c r="DC74" s="1186"/>
      <c r="DD74" s="1186"/>
      <c r="DE74" s="1186"/>
      <c r="DF74" s="1186"/>
      <c r="DG74" s="1186"/>
      <c r="DH74" s="1186"/>
      <c r="DI74" s="1186"/>
      <c r="DJ74" s="1186"/>
      <c r="DK74" s="1186"/>
      <c r="DL74" s="1186"/>
      <c r="DM74" s="1186"/>
      <c r="DN74" s="1186"/>
      <c r="DO74" s="1186"/>
      <c r="DP74" s="1186"/>
      <c r="DQ74" s="1186"/>
      <c r="DR74" s="1186"/>
      <c r="DS74" s="1186"/>
      <c r="DT74" s="1186"/>
      <c r="DU74" s="1186"/>
      <c r="DV74" s="1186"/>
      <c r="DW74" s="1186"/>
      <c r="DX74" s="1186"/>
      <c r="DY74" s="1186"/>
      <c r="DZ74" s="1186"/>
      <c r="EA74" s="1186"/>
      <c r="EB74" s="1186"/>
      <c r="EC74" s="1186"/>
      <c r="ED74" s="1186"/>
      <c r="EE74" s="1186"/>
      <c r="EF74" s="1186"/>
      <c r="EG74" s="1186"/>
      <c r="EH74" s="1186"/>
      <c r="EI74" s="1186"/>
      <c r="EJ74" s="1186"/>
      <c r="EK74" s="1186"/>
      <c r="EL74" s="1186"/>
      <c r="EM74" s="1186"/>
      <c r="EN74" s="1186"/>
      <c r="EO74" s="1186"/>
      <c r="EP74" s="1186"/>
      <c r="EQ74" s="1186"/>
      <c r="ER74" s="1186"/>
      <c r="ES74" s="1186"/>
      <c r="ET74" s="1186"/>
      <c r="EU74" s="1186"/>
      <c r="EV74" s="1186"/>
      <c r="EW74" s="1186"/>
      <c r="EX74" s="1186"/>
      <c r="EY74" s="1186"/>
      <c r="EZ74" s="1186"/>
      <c r="FA74" s="1186"/>
      <c r="FB74" s="1186"/>
      <c r="FC74" s="1186"/>
      <c r="FD74" s="1186"/>
      <c r="FE74" s="1186"/>
      <c r="FF74" s="1186"/>
      <c r="FG74" s="1186"/>
      <c r="FH74" s="1186"/>
      <c r="FI74" s="1186"/>
      <c r="FJ74" s="1186"/>
      <c r="FK74" s="1186"/>
      <c r="FL74" s="1186"/>
      <c r="FM74" s="1186"/>
      <c r="FN74" s="1186"/>
      <c r="FO74" s="1186"/>
      <c r="FP74" s="1186"/>
      <c r="FQ74" s="1186"/>
      <c r="FR74" s="1186"/>
      <c r="FS74" s="1186"/>
      <c r="FT74" s="1186"/>
      <c r="FU74" s="1186"/>
      <c r="FV74" s="1186"/>
      <c r="FW74" s="1186"/>
      <c r="FX74" s="1186"/>
      <c r="FY74" s="1186"/>
      <c r="FZ74" s="1186"/>
      <c r="GA74" s="1186"/>
      <c r="GB74" s="1186"/>
      <c r="GC74" s="1186"/>
      <c r="GD74" s="1186"/>
      <c r="GE74" s="1186"/>
    </row>
    <row r="75" spans="1:187" ht="12.5" customHeight="1">
      <c r="A75" s="1190"/>
      <c r="B75" s="1237"/>
      <c r="C75" s="1238"/>
      <c r="D75" s="1238"/>
      <c r="E75" s="1238"/>
      <c r="F75" s="1238"/>
      <c r="G75" s="1238"/>
      <c r="H75" s="1239"/>
      <c r="I75" s="1195"/>
      <c r="J75" s="950"/>
      <c r="K75" s="558"/>
    </row>
    <row r="76" spans="1:187" ht="16" thickBot="1">
      <c r="A76" s="1190"/>
      <c r="B76" s="1131"/>
      <c r="C76" s="1132"/>
      <c r="D76" s="1132"/>
      <c r="E76" s="952"/>
      <c r="F76" s="1132"/>
      <c r="G76" s="1240"/>
      <c r="H76" s="1241"/>
      <c r="I76" s="1195"/>
      <c r="J76" s="1185"/>
      <c r="K76" s="1185"/>
      <c r="L76" s="1185"/>
      <c r="M76" s="1185"/>
      <c r="N76" s="1185"/>
      <c r="O76" s="1185"/>
      <c r="P76" s="1185"/>
      <c r="Q76" s="1185"/>
      <c r="R76" s="1185"/>
      <c r="S76" s="1185"/>
      <c r="T76" s="1185"/>
      <c r="U76" s="1185"/>
      <c r="V76" s="1185"/>
      <c r="W76" s="1185"/>
      <c r="X76" s="1185"/>
      <c r="Y76" s="1185"/>
      <c r="Z76" s="1185"/>
      <c r="AA76" s="1185"/>
      <c r="AB76" s="1185"/>
      <c r="AC76" s="1185"/>
      <c r="AD76" s="1185"/>
      <c r="AE76" s="1185"/>
      <c r="AF76" s="1185"/>
      <c r="AG76" s="1185"/>
      <c r="AH76" s="1185"/>
      <c r="AI76" s="1185"/>
      <c r="AJ76" s="1185"/>
      <c r="AK76" s="1185"/>
      <c r="AL76" s="1185"/>
      <c r="AM76" s="1185"/>
      <c r="AN76" s="1185"/>
      <c r="AO76" s="1185"/>
      <c r="AP76" s="1185"/>
      <c r="AQ76" s="1185"/>
      <c r="AR76" s="1185"/>
      <c r="AS76" s="1185"/>
      <c r="AT76" s="1185"/>
      <c r="AU76" s="1185"/>
      <c r="AV76" s="1185"/>
      <c r="AW76" s="1185"/>
      <c r="AX76" s="1185"/>
      <c r="AY76" s="1185"/>
      <c r="AZ76" s="1185"/>
      <c r="BA76" s="1185"/>
      <c r="BB76" s="1185"/>
      <c r="BC76" s="1185"/>
      <c r="BD76" s="1185"/>
      <c r="BE76" s="1185"/>
      <c r="BF76" s="1185"/>
      <c r="BG76" s="1185"/>
      <c r="BH76" s="1185"/>
      <c r="BI76" s="1185"/>
      <c r="BJ76" s="1185"/>
      <c r="BK76" s="1185"/>
      <c r="BL76" s="1185"/>
      <c r="BM76" s="1185"/>
      <c r="BN76" s="1185"/>
      <c r="BO76" s="1185"/>
      <c r="BP76" s="1185"/>
      <c r="BQ76" s="1185"/>
      <c r="BR76" s="1185"/>
      <c r="BS76" s="1185"/>
      <c r="BT76" s="1185"/>
      <c r="BU76" s="1185"/>
      <c r="BV76" s="1185"/>
      <c r="BW76" s="1185"/>
      <c r="BX76" s="1185"/>
      <c r="BY76" s="1185"/>
      <c r="BZ76" s="1185"/>
      <c r="CA76" s="1185"/>
      <c r="CB76" s="1185"/>
      <c r="CC76" s="1185"/>
      <c r="CD76" s="1185"/>
      <c r="CE76" s="1185"/>
      <c r="CF76" s="1185"/>
      <c r="CG76" s="1185"/>
      <c r="CH76" s="1185"/>
      <c r="CI76" s="1185"/>
      <c r="CJ76" s="1185"/>
      <c r="CK76" s="1185"/>
      <c r="CL76" s="1185"/>
      <c r="CM76" s="1185"/>
      <c r="CN76" s="1185"/>
      <c r="CO76" s="1185"/>
      <c r="CP76" s="1185"/>
      <c r="CQ76" s="1185"/>
      <c r="CR76" s="1185"/>
      <c r="CS76" s="1185"/>
      <c r="CT76" s="1185"/>
      <c r="CU76" s="1185"/>
      <c r="CV76" s="1185"/>
      <c r="CW76" s="1185"/>
      <c r="CX76" s="1185"/>
      <c r="CY76" s="1185"/>
      <c r="CZ76" s="1185"/>
      <c r="DA76" s="1185"/>
      <c r="DB76" s="1185"/>
      <c r="DC76" s="1185"/>
      <c r="DD76" s="1185"/>
      <c r="DE76" s="1185"/>
      <c r="DF76" s="1185"/>
      <c r="DG76" s="1185"/>
      <c r="DH76" s="1185"/>
      <c r="DI76" s="1185"/>
      <c r="DJ76" s="1185"/>
      <c r="DK76" s="1185"/>
      <c r="DL76" s="1185"/>
      <c r="DM76" s="1185"/>
      <c r="DN76" s="1185"/>
      <c r="DO76" s="1185"/>
      <c r="DP76" s="1185"/>
      <c r="DQ76" s="1185"/>
      <c r="DR76" s="1185"/>
      <c r="DS76" s="1185"/>
      <c r="DT76" s="1185"/>
      <c r="DU76" s="1185"/>
      <c r="DV76" s="1185"/>
      <c r="DW76" s="1185"/>
      <c r="DX76" s="1185"/>
      <c r="DY76" s="1185"/>
      <c r="DZ76" s="1185"/>
      <c r="EA76" s="1185"/>
      <c r="EB76" s="1185"/>
      <c r="EC76" s="1185"/>
      <c r="ED76" s="1185"/>
      <c r="EE76" s="1185"/>
      <c r="EF76" s="1185"/>
      <c r="EG76" s="1185"/>
      <c r="EH76" s="1185"/>
      <c r="EI76" s="1185"/>
      <c r="EJ76" s="1185"/>
      <c r="EK76" s="1185"/>
      <c r="EL76" s="1185"/>
      <c r="EM76" s="1185"/>
      <c r="EN76" s="1185"/>
      <c r="EO76" s="1185"/>
      <c r="EP76" s="1185"/>
      <c r="EQ76" s="1185"/>
      <c r="ER76" s="1185"/>
      <c r="ES76" s="1185"/>
      <c r="ET76" s="1185"/>
      <c r="EU76" s="1185"/>
      <c r="EV76" s="1185"/>
      <c r="EW76" s="1185"/>
      <c r="EX76" s="1185"/>
      <c r="EY76" s="1185"/>
      <c r="EZ76" s="1185"/>
      <c r="FA76" s="1185"/>
      <c r="FB76" s="1185"/>
      <c r="FC76" s="1185"/>
      <c r="FD76" s="1185"/>
      <c r="FE76" s="1185"/>
      <c r="FF76" s="1185"/>
      <c r="FG76" s="1185"/>
      <c r="FH76" s="1185"/>
      <c r="FI76" s="1185"/>
      <c r="FJ76" s="1185"/>
      <c r="FK76" s="1185"/>
      <c r="FL76" s="1185"/>
      <c r="FM76" s="1185"/>
      <c r="FN76" s="1185"/>
      <c r="FO76" s="1185"/>
      <c r="FP76" s="1185"/>
      <c r="FQ76" s="1185"/>
      <c r="FR76" s="1185"/>
      <c r="FS76" s="1185"/>
      <c r="FT76" s="1185"/>
      <c r="FU76" s="1185"/>
      <c r="FV76" s="1185"/>
      <c r="FW76" s="1185"/>
      <c r="FX76" s="1185"/>
      <c r="FY76" s="1185"/>
      <c r="FZ76" s="1185"/>
      <c r="GA76" s="1185"/>
      <c r="GB76" s="1185"/>
      <c r="GC76" s="1185"/>
      <c r="GD76" s="1185"/>
      <c r="GE76" s="1185"/>
    </row>
    <row r="77" spans="1:187" ht="16" thickBot="1">
      <c r="I77" s="1242"/>
    </row>
    <row r="78" spans="1:187" ht="6.75" customHeight="1">
      <c r="B78" s="1243"/>
      <c r="C78" s="1187"/>
      <c r="D78" s="1187"/>
      <c r="E78" s="1188"/>
      <c r="F78" s="1189"/>
      <c r="G78" s="1189"/>
      <c r="H78" s="1244"/>
      <c r="I78" s="1244"/>
    </row>
    <row r="79" spans="1:187" ht="15" customHeight="1">
      <c r="B79" s="2141" t="s">
        <v>1453</v>
      </c>
      <c r="C79" s="2142"/>
      <c r="D79" s="2142"/>
      <c r="E79" s="2142"/>
      <c r="F79" s="2142"/>
      <c r="G79" s="2142"/>
      <c r="H79" s="2143"/>
      <c r="I79" s="1195"/>
    </row>
    <row r="80" spans="1:187" ht="37.25" customHeight="1">
      <c r="B80" s="2144" t="s">
        <v>1454</v>
      </c>
      <c r="C80" s="2145"/>
      <c r="D80" s="2145"/>
      <c r="E80" s="2145"/>
      <c r="F80" s="2145"/>
      <c r="G80" s="2145"/>
      <c r="H80" s="2146"/>
      <c r="I80" s="1195"/>
    </row>
    <row r="81" spans="1:16315" ht="31.25" customHeight="1">
      <c r="B81" s="2141" t="s">
        <v>1455</v>
      </c>
      <c r="C81" s="2142"/>
      <c r="D81" s="2142"/>
      <c r="E81" s="2142"/>
      <c r="F81" s="2142"/>
      <c r="G81" s="2142"/>
      <c r="H81" s="2143"/>
      <c r="I81" s="1195"/>
    </row>
    <row r="82" spans="1:16315" ht="38" customHeight="1">
      <c r="B82" s="2141" t="s">
        <v>1456</v>
      </c>
      <c r="C82" s="2142"/>
      <c r="D82" s="2142"/>
      <c r="E82" s="2142"/>
      <c r="F82" s="2142"/>
      <c r="G82" s="2142"/>
      <c r="H82" s="2143"/>
      <c r="I82" s="1195"/>
    </row>
    <row r="83" spans="1:16315" ht="22.25" customHeight="1">
      <c r="B83" s="2144" t="s">
        <v>1457</v>
      </c>
      <c r="C83" s="2145"/>
      <c r="D83" s="2145"/>
      <c r="E83" s="2145"/>
      <c r="F83" s="2145"/>
      <c r="G83" s="2145"/>
      <c r="H83" s="2146"/>
      <c r="I83" s="1195"/>
    </row>
    <row r="84" spans="1:16315" s="1186" customFormat="1" ht="57" customHeight="1">
      <c r="B84" s="2141" t="s">
        <v>1458</v>
      </c>
      <c r="C84" s="2142"/>
      <c r="D84" s="2142"/>
      <c r="E84" s="2142"/>
      <c r="F84" s="2142"/>
      <c r="G84" s="2142"/>
      <c r="H84" s="2143"/>
      <c r="I84" s="1195"/>
      <c r="GF84" s="1185"/>
      <c r="GG84" s="1185"/>
      <c r="GH84" s="1185"/>
      <c r="GI84" s="1185"/>
      <c r="GJ84" s="1185"/>
      <c r="GK84" s="1185"/>
      <c r="GL84" s="1185"/>
      <c r="GM84" s="1185"/>
      <c r="GN84" s="1185"/>
      <c r="GO84" s="1185"/>
      <c r="GP84" s="1185"/>
      <c r="GQ84" s="1185"/>
      <c r="GR84" s="1185"/>
      <c r="GS84" s="1185"/>
      <c r="GT84" s="1185"/>
      <c r="GU84" s="1185"/>
      <c r="GV84" s="1185"/>
      <c r="GW84" s="1185"/>
      <c r="GX84" s="1185"/>
      <c r="GY84" s="1185"/>
      <c r="GZ84" s="1185"/>
      <c r="HA84" s="1185"/>
      <c r="HB84" s="1185"/>
      <c r="HC84" s="1185"/>
      <c r="HD84" s="1185"/>
      <c r="HE84" s="1185"/>
      <c r="HF84" s="1185"/>
      <c r="HG84" s="1185"/>
      <c r="HH84" s="1185"/>
      <c r="HI84" s="1185"/>
      <c r="HJ84" s="1185"/>
      <c r="HK84" s="1185"/>
      <c r="HL84" s="1185"/>
      <c r="HM84" s="1185"/>
      <c r="HN84" s="1185"/>
      <c r="HO84" s="1185"/>
      <c r="HP84" s="1185"/>
      <c r="HQ84" s="1185"/>
      <c r="HR84" s="1185"/>
      <c r="HS84" s="1185"/>
      <c r="HT84" s="1185"/>
      <c r="HU84" s="1185"/>
      <c r="HV84" s="1185"/>
      <c r="HW84" s="1185"/>
      <c r="HX84" s="1185"/>
      <c r="HY84" s="1185"/>
      <c r="HZ84" s="1185"/>
      <c r="IA84" s="1185"/>
      <c r="IB84" s="1185"/>
      <c r="IC84" s="1185"/>
      <c r="ID84" s="1185"/>
      <c r="IE84" s="1185"/>
      <c r="IF84" s="1185"/>
      <c r="IG84" s="1185"/>
      <c r="IH84" s="1185"/>
      <c r="II84" s="1185"/>
      <c r="IJ84" s="1185"/>
      <c r="IK84" s="1185"/>
      <c r="IL84" s="1185"/>
      <c r="IM84" s="1185"/>
      <c r="IN84" s="1185"/>
      <c r="IO84" s="1185"/>
      <c r="IP84" s="1185"/>
      <c r="IQ84" s="1185"/>
      <c r="IR84" s="1185"/>
      <c r="IS84" s="1185"/>
      <c r="IT84" s="1185"/>
      <c r="IU84" s="1185"/>
      <c r="IV84" s="1185"/>
      <c r="IW84" s="1185"/>
      <c r="IX84" s="1185"/>
      <c r="IY84" s="1185"/>
      <c r="IZ84" s="1185"/>
      <c r="JA84" s="1185"/>
      <c r="JB84" s="1185"/>
      <c r="JC84" s="1185"/>
      <c r="JD84" s="1185"/>
      <c r="JE84" s="1185"/>
      <c r="JF84" s="1185"/>
      <c r="JG84" s="1185"/>
      <c r="JH84" s="1185"/>
      <c r="JI84" s="1185"/>
      <c r="JJ84" s="1185"/>
      <c r="JK84" s="1185"/>
      <c r="JL84" s="1185"/>
      <c r="JM84" s="1185"/>
      <c r="JN84" s="1185"/>
      <c r="JO84" s="1185"/>
      <c r="JP84" s="1185"/>
      <c r="JQ84" s="1185"/>
      <c r="JR84" s="1185"/>
      <c r="JS84" s="1185"/>
      <c r="JT84" s="1185"/>
      <c r="JU84" s="1185"/>
      <c r="JV84" s="1185"/>
      <c r="JW84" s="1185"/>
      <c r="JX84" s="1185"/>
      <c r="JY84" s="1185"/>
      <c r="JZ84" s="1185"/>
      <c r="KA84" s="1185"/>
      <c r="KB84" s="1185"/>
      <c r="KC84" s="1185"/>
      <c r="KD84" s="1185"/>
      <c r="KE84" s="1185"/>
      <c r="KF84" s="1185"/>
      <c r="KG84" s="1185"/>
      <c r="KH84" s="1185"/>
      <c r="KI84" s="1185"/>
      <c r="KJ84" s="1185"/>
      <c r="KK84" s="1185"/>
      <c r="KL84" s="1185"/>
      <c r="KM84" s="1185"/>
      <c r="KN84" s="1185"/>
      <c r="KO84" s="1185"/>
      <c r="KP84" s="1185"/>
      <c r="KQ84" s="1185"/>
      <c r="KR84" s="1185"/>
      <c r="KS84" s="1185"/>
      <c r="KT84" s="1185"/>
      <c r="KU84" s="1185"/>
      <c r="KV84" s="1185"/>
      <c r="KW84" s="1185"/>
      <c r="KX84" s="1185"/>
      <c r="KY84" s="1185"/>
      <c r="KZ84" s="1185"/>
      <c r="LA84" s="1185"/>
      <c r="LB84" s="1185"/>
      <c r="LC84" s="1185"/>
      <c r="LD84" s="1185"/>
      <c r="LE84" s="1185"/>
      <c r="LF84" s="1185"/>
      <c r="LG84" s="1185"/>
      <c r="LH84" s="1185"/>
      <c r="LI84" s="1185"/>
      <c r="LJ84" s="1185"/>
      <c r="LK84" s="1185"/>
      <c r="LL84" s="1185"/>
      <c r="LM84" s="1185"/>
      <c r="LN84" s="1185"/>
      <c r="LO84" s="1185"/>
      <c r="LP84" s="1185"/>
      <c r="LQ84" s="1185"/>
      <c r="LR84" s="1185"/>
      <c r="LS84" s="1185"/>
      <c r="LT84" s="1185"/>
      <c r="LU84" s="1185"/>
      <c r="LV84" s="1185"/>
      <c r="LW84" s="1185"/>
      <c r="LX84" s="1185"/>
      <c r="LY84" s="1185"/>
      <c r="LZ84" s="1185"/>
      <c r="MA84" s="1185"/>
      <c r="MB84" s="1185"/>
      <c r="MC84" s="1185"/>
      <c r="MD84" s="1185"/>
      <c r="ME84" s="1185"/>
      <c r="MF84" s="1185"/>
      <c r="MG84" s="1185"/>
      <c r="MH84" s="1185"/>
      <c r="MI84" s="1185"/>
      <c r="MJ84" s="1185"/>
      <c r="MK84" s="1185"/>
      <c r="ML84" s="1185"/>
      <c r="MM84" s="1185"/>
      <c r="MN84" s="1185"/>
      <c r="MO84" s="1185"/>
      <c r="MP84" s="1185"/>
      <c r="MQ84" s="1185"/>
      <c r="MR84" s="1185"/>
      <c r="MS84" s="1185"/>
      <c r="MT84" s="1185"/>
      <c r="MU84" s="1185"/>
      <c r="MV84" s="1185"/>
      <c r="MW84" s="1185"/>
      <c r="MX84" s="1185"/>
      <c r="MY84" s="1185"/>
      <c r="MZ84" s="1185"/>
      <c r="NA84" s="1185"/>
      <c r="NB84" s="1185"/>
      <c r="NC84" s="1185"/>
      <c r="ND84" s="1185"/>
      <c r="NE84" s="1185"/>
      <c r="NF84" s="1185"/>
      <c r="NG84" s="1185"/>
      <c r="NH84" s="1185"/>
      <c r="NI84" s="1185"/>
      <c r="NJ84" s="1185"/>
      <c r="NK84" s="1185"/>
      <c r="NL84" s="1185"/>
      <c r="NM84" s="1185"/>
      <c r="NN84" s="1185"/>
      <c r="NO84" s="1185"/>
      <c r="NP84" s="1185"/>
      <c r="NQ84" s="1185"/>
      <c r="NR84" s="1185"/>
      <c r="NS84" s="1185"/>
      <c r="NT84" s="1185"/>
      <c r="NU84" s="1185"/>
      <c r="NV84" s="1185"/>
      <c r="NW84" s="1185"/>
      <c r="NX84" s="1185"/>
      <c r="NY84" s="1185"/>
      <c r="NZ84" s="1185"/>
      <c r="OA84" s="1185"/>
      <c r="OB84" s="1185"/>
      <c r="OC84" s="1185"/>
      <c r="OD84" s="1185"/>
      <c r="OE84" s="1185"/>
      <c r="OF84" s="1185"/>
      <c r="OG84" s="1185"/>
      <c r="OH84" s="1185"/>
      <c r="OI84" s="1185"/>
      <c r="OJ84" s="1185"/>
      <c r="OK84" s="1185"/>
      <c r="OL84" s="1185"/>
      <c r="OM84" s="1185"/>
      <c r="ON84" s="1185"/>
      <c r="OO84" s="1185"/>
      <c r="OP84" s="1185"/>
      <c r="OQ84" s="1185"/>
      <c r="OR84" s="1185"/>
      <c r="OS84" s="1185"/>
      <c r="OT84" s="1185"/>
      <c r="OU84" s="1185"/>
      <c r="OV84" s="1185"/>
      <c r="OW84" s="1185"/>
      <c r="OX84" s="1185"/>
      <c r="OY84" s="1185"/>
      <c r="OZ84" s="1185"/>
      <c r="PA84" s="1185"/>
      <c r="PB84" s="1185"/>
      <c r="PC84" s="1185"/>
      <c r="PD84" s="1185"/>
      <c r="PE84" s="1185"/>
      <c r="PF84" s="1185"/>
      <c r="PG84" s="1185"/>
      <c r="PH84" s="1185"/>
      <c r="PI84" s="1185"/>
      <c r="PJ84" s="1185"/>
      <c r="PK84" s="1185"/>
      <c r="PL84" s="1185"/>
      <c r="PM84" s="1185"/>
      <c r="PN84" s="1185"/>
      <c r="PO84" s="1185"/>
      <c r="PP84" s="1185"/>
      <c r="PQ84" s="1185"/>
      <c r="PR84" s="1185"/>
      <c r="PS84" s="1185"/>
      <c r="PT84" s="1185"/>
      <c r="PU84" s="1185"/>
      <c r="PV84" s="1185"/>
      <c r="PW84" s="1185"/>
      <c r="PX84" s="1185"/>
      <c r="PY84" s="1185"/>
      <c r="PZ84" s="1185"/>
      <c r="QA84" s="1185"/>
      <c r="QB84" s="1185"/>
      <c r="QC84" s="1185"/>
      <c r="QD84" s="1185"/>
      <c r="QE84" s="1185"/>
      <c r="QF84" s="1185"/>
      <c r="QG84" s="1185"/>
      <c r="QH84" s="1185"/>
      <c r="QI84" s="1185"/>
      <c r="QJ84" s="1185"/>
      <c r="QK84" s="1185"/>
      <c r="QL84" s="1185"/>
      <c r="QM84" s="1185"/>
      <c r="QN84" s="1185"/>
      <c r="QO84" s="1185"/>
      <c r="QP84" s="1185"/>
      <c r="QQ84" s="1185"/>
      <c r="QR84" s="1185"/>
      <c r="QS84" s="1185"/>
      <c r="QT84" s="1185"/>
      <c r="QU84" s="1185"/>
      <c r="QV84" s="1185"/>
      <c r="QW84" s="1185"/>
      <c r="QX84" s="1185"/>
      <c r="QY84" s="1185"/>
      <c r="QZ84" s="1185"/>
      <c r="RA84" s="1185"/>
      <c r="RB84" s="1185"/>
      <c r="RC84" s="1185"/>
      <c r="RD84" s="1185"/>
      <c r="RE84" s="1185"/>
      <c r="RF84" s="1185"/>
      <c r="RG84" s="1185"/>
      <c r="RH84" s="1185"/>
      <c r="RI84" s="1185"/>
      <c r="RJ84" s="1185"/>
      <c r="RK84" s="1185"/>
      <c r="RL84" s="1185"/>
      <c r="RM84" s="1185"/>
      <c r="RN84" s="1185"/>
      <c r="RO84" s="1185"/>
      <c r="RP84" s="1185"/>
      <c r="RQ84" s="1185"/>
      <c r="RR84" s="1185"/>
      <c r="RS84" s="1185"/>
      <c r="RT84" s="1185"/>
      <c r="RU84" s="1185"/>
      <c r="RV84" s="1185"/>
      <c r="RW84" s="1185"/>
      <c r="RX84" s="1185"/>
      <c r="RY84" s="1185"/>
      <c r="RZ84" s="1185"/>
      <c r="SA84" s="1185"/>
      <c r="SB84" s="1185"/>
      <c r="SC84" s="1185"/>
      <c r="SD84" s="1185"/>
      <c r="SE84" s="1185"/>
      <c r="SF84" s="1185"/>
      <c r="SG84" s="1185"/>
      <c r="SH84" s="1185"/>
      <c r="SI84" s="1185"/>
      <c r="SJ84" s="1185"/>
      <c r="SK84" s="1185"/>
      <c r="SL84" s="1185"/>
      <c r="SM84" s="1185"/>
      <c r="SN84" s="1185"/>
      <c r="SO84" s="1185"/>
      <c r="SP84" s="1185"/>
      <c r="SQ84" s="1185"/>
      <c r="SR84" s="1185"/>
      <c r="SS84" s="1185"/>
      <c r="ST84" s="1185"/>
      <c r="SU84" s="1185"/>
      <c r="SV84" s="1185"/>
      <c r="SW84" s="1185"/>
      <c r="SX84" s="1185"/>
      <c r="SY84" s="1185"/>
      <c r="SZ84" s="1185"/>
      <c r="TA84" s="1185"/>
      <c r="TB84" s="1185"/>
      <c r="TC84" s="1185"/>
      <c r="TD84" s="1185"/>
      <c r="TE84" s="1185"/>
      <c r="TF84" s="1185"/>
      <c r="TG84" s="1185"/>
      <c r="TH84" s="1185"/>
      <c r="TI84" s="1185"/>
      <c r="TJ84" s="1185"/>
      <c r="TK84" s="1185"/>
      <c r="TL84" s="1185"/>
      <c r="TM84" s="1185"/>
      <c r="TN84" s="1185"/>
      <c r="TO84" s="1185"/>
      <c r="TP84" s="1185"/>
      <c r="TQ84" s="1185"/>
      <c r="TR84" s="1185"/>
      <c r="TS84" s="1185"/>
      <c r="TT84" s="1185"/>
      <c r="TU84" s="1185"/>
      <c r="TV84" s="1185"/>
      <c r="TW84" s="1185"/>
      <c r="TX84" s="1185"/>
      <c r="TY84" s="1185"/>
      <c r="TZ84" s="1185"/>
      <c r="UA84" s="1185"/>
      <c r="UB84" s="1185"/>
      <c r="UC84" s="1185"/>
      <c r="UD84" s="1185"/>
      <c r="UE84" s="1185"/>
      <c r="UF84" s="1185"/>
      <c r="UG84" s="1185"/>
      <c r="UH84" s="1185"/>
      <c r="UI84" s="1185"/>
      <c r="UJ84" s="1185"/>
      <c r="UK84" s="1185"/>
      <c r="UL84" s="1185"/>
      <c r="UM84" s="1185"/>
      <c r="UN84" s="1185"/>
      <c r="UO84" s="1185"/>
      <c r="UP84" s="1185"/>
      <c r="UQ84" s="1185"/>
      <c r="UR84" s="1185"/>
      <c r="US84" s="1185"/>
      <c r="UT84" s="1185"/>
      <c r="UU84" s="1185"/>
      <c r="UV84" s="1185"/>
      <c r="UW84" s="1185"/>
      <c r="UX84" s="1185"/>
      <c r="UY84" s="1185"/>
      <c r="UZ84" s="1185"/>
      <c r="VA84" s="1185"/>
      <c r="VB84" s="1185"/>
      <c r="VC84" s="1185"/>
      <c r="VD84" s="1185"/>
      <c r="VE84" s="1185"/>
      <c r="VF84" s="1185"/>
      <c r="VG84" s="1185"/>
      <c r="VH84" s="1185"/>
      <c r="VI84" s="1185"/>
      <c r="VJ84" s="1185"/>
      <c r="VK84" s="1185"/>
      <c r="VL84" s="1185"/>
      <c r="VM84" s="1185"/>
      <c r="VN84" s="1185"/>
      <c r="VO84" s="1185"/>
      <c r="VP84" s="1185"/>
      <c r="VQ84" s="1185"/>
      <c r="VR84" s="1185"/>
      <c r="VS84" s="1185"/>
      <c r="VT84" s="1185"/>
      <c r="VU84" s="1185"/>
      <c r="VV84" s="1185"/>
      <c r="VW84" s="1185"/>
      <c r="VX84" s="1185"/>
      <c r="VY84" s="1185"/>
      <c r="VZ84" s="1185"/>
      <c r="WA84" s="1185"/>
      <c r="WB84" s="1185"/>
      <c r="WC84" s="1185"/>
      <c r="WD84" s="1185"/>
      <c r="WE84" s="1185"/>
      <c r="WF84" s="1185"/>
      <c r="WG84" s="1185"/>
      <c r="WH84" s="1185"/>
      <c r="WI84" s="1185"/>
      <c r="WJ84" s="1185"/>
      <c r="WK84" s="1185"/>
      <c r="WL84" s="1185"/>
      <c r="WM84" s="1185"/>
      <c r="WN84" s="1185"/>
      <c r="WO84" s="1185"/>
      <c r="WP84" s="1185"/>
      <c r="WQ84" s="1185"/>
      <c r="WR84" s="1185"/>
      <c r="WS84" s="1185"/>
      <c r="WT84" s="1185"/>
      <c r="WU84" s="1185"/>
      <c r="WV84" s="1185"/>
      <c r="WW84" s="1185"/>
      <c r="WX84" s="1185"/>
      <c r="WY84" s="1185"/>
      <c r="WZ84" s="1185"/>
      <c r="XA84" s="1185"/>
      <c r="XB84" s="1185"/>
      <c r="XC84" s="1185"/>
      <c r="XD84" s="1185"/>
      <c r="XE84" s="1185"/>
      <c r="XF84" s="1185"/>
      <c r="XG84" s="1185"/>
      <c r="XH84" s="1185"/>
      <c r="XI84" s="1185"/>
      <c r="XJ84" s="1185"/>
      <c r="XK84" s="1185"/>
      <c r="XL84" s="1185"/>
      <c r="XM84" s="1185"/>
      <c r="XN84" s="1185"/>
      <c r="XO84" s="1185"/>
      <c r="XP84" s="1185"/>
      <c r="XQ84" s="1185"/>
      <c r="XR84" s="1185"/>
      <c r="XS84" s="1185"/>
      <c r="XT84" s="1185"/>
      <c r="XU84" s="1185"/>
      <c r="XV84" s="1185"/>
      <c r="XW84" s="1185"/>
      <c r="XX84" s="1185"/>
      <c r="XY84" s="1185"/>
      <c r="XZ84" s="1185"/>
      <c r="YA84" s="1185"/>
      <c r="YB84" s="1185"/>
      <c r="YC84" s="1185"/>
      <c r="YD84" s="1185"/>
      <c r="YE84" s="1185"/>
      <c r="YF84" s="1185"/>
      <c r="YG84" s="1185"/>
      <c r="YH84" s="1185"/>
      <c r="YI84" s="1185"/>
      <c r="YJ84" s="1185"/>
      <c r="YK84" s="1185"/>
      <c r="YL84" s="1185"/>
      <c r="YM84" s="1185"/>
      <c r="YN84" s="1185"/>
      <c r="YO84" s="1185"/>
      <c r="YP84" s="1185"/>
      <c r="YQ84" s="1185"/>
      <c r="YR84" s="1185"/>
      <c r="YS84" s="1185"/>
      <c r="YT84" s="1185"/>
      <c r="YU84" s="1185"/>
      <c r="YV84" s="1185"/>
      <c r="YW84" s="1185"/>
      <c r="YX84" s="1185"/>
      <c r="YY84" s="1185"/>
      <c r="YZ84" s="1185"/>
      <c r="ZA84" s="1185"/>
      <c r="ZB84" s="1185"/>
      <c r="ZC84" s="1185"/>
      <c r="ZD84" s="1185"/>
      <c r="ZE84" s="1185"/>
      <c r="ZF84" s="1185"/>
      <c r="ZG84" s="1185"/>
      <c r="ZH84" s="1185"/>
      <c r="ZI84" s="1185"/>
      <c r="ZJ84" s="1185"/>
      <c r="ZK84" s="1185"/>
      <c r="ZL84" s="1185"/>
      <c r="ZM84" s="1185"/>
      <c r="ZN84" s="1185"/>
      <c r="ZO84" s="1185"/>
      <c r="ZP84" s="1185"/>
      <c r="ZQ84" s="1185"/>
      <c r="ZR84" s="1185"/>
      <c r="ZS84" s="1185"/>
      <c r="ZT84" s="1185"/>
      <c r="ZU84" s="1185"/>
      <c r="ZV84" s="1185"/>
      <c r="ZW84" s="1185"/>
      <c r="ZX84" s="1185"/>
      <c r="ZY84" s="1185"/>
      <c r="ZZ84" s="1185"/>
      <c r="AAA84" s="1185"/>
      <c r="AAB84" s="1185"/>
      <c r="AAC84" s="1185"/>
      <c r="AAD84" s="1185"/>
      <c r="AAE84" s="1185"/>
      <c r="AAF84" s="1185"/>
      <c r="AAG84" s="1185"/>
      <c r="AAH84" s="1185"/>
      <c r="AAI84" s="1185"/>
      <c r="AAJ84" s="1185"/>
      <c r="AAK84" s="1185"/>
      <c r="AAL84" s="1185"/>
      <c r="AAM84" s="1185"/>
      <c r="AAN84" s="1185"/>
      <c r="AAO84" s="1185"/>
      <c r="AAP84" s="1185"/>
      <c r="AAQ84" s="1185"/>
      <c r="AAR84" s="1185"/>
      <c r="AAS84" s="1185"/>
      <c r="AAT84" s="1185"/>
      <c r="AAU84" s="1185"/>
      <c r="AAV84" s="1185"/>
      <c r="AAW84" s="1185"/>
      <c r="AAX84" s="1185"/>
      <c r="AAY84" s="1185"/>
      <c r="AAZ84" s="1185"/>
      <c r="ABA84" s="1185"/>
      <c r="ABB84" s="1185"/>
      <c r="ABC84" s="1185"/>
      <c r="ABD84" s="1185"/>
      <c r="ABE84" s="1185"/>
      <c r="ABF84" s="1185"/>
      <c r="ABG84" s="1185"/>
      <c r="ABH84" s="1185"/>
      <c r="ABI84" s="1185"/>
      <c r="ABJ84" s="1185"/>
      <c r="ABK84" s="1185"/>
      <c r="ABL84" s="1185"/>
      <c r="ABM84" s="1185"/>
      <c r="ABN84" s="1185"/>
      <c r="ABO84" s="1185"/>
      <c r="ABP84" s="1185"/>
      <c r="ABQ84" s="1185"/>
      <c r="ABR84" s="1185"/>
      <c r="ABS84" s="1185"/>
      <c r="ABT84" s="1185"/>
      <c r="ABU84" s="1185"/>
      <c r="ABV84" s="1185"/>
      <c r="ABW84" s="1185"/>
      <c r="ABX84" s="1185"/>
      <c r="ABY84" s="1185"/>
      <c r="ABZ84" s="1185"/>
      <c r="ACA84" s="1185"/>
      <c r="ACB84" s="1185"/>
      <c r="ACC84" s="1185"/>
      <c r="ACD84" s="1185"/>
      <c r="ACE84" s="1185"/>
      <c r="ACF84" s="1185"/>
      <c r="ACG84" s="1185"/>
      <c r="ACH84" s="1185"/>
      <c r="ACI84" s="1185"/>
      <c r="ACJ84" s="1185"/>
      <c r="ACK84" s="1185"/>
      <c r="ACL84" s="1185"/>
      <c r="ACM84" s="1185"/>
      <c r="ACN84" s="1185"/>
      <c r="ACO84" s="1185"/>
      <c r="ACP84" s="1185"/>
      <c r="ACQ84" s="1185"/>
      <c r="ACR84" s="1185"/>
      <c r="ACS84" s="1185"/>
      <c r="ACT84" s="1185"/>
      <c r="ACU84" s="1185"/>
      <c r="ACV84" s="1185"/>
      <c r="ACW84" s="1185"/>
      <c r="ACX84" s="1185"/>
      <c r="ACY84" s="1185"/>
      <c r="ACZ84" s="1185"/>
      <c r="ADA84" s="1185"/>
      <c r="ADB84" s="1185"/>
      <c r="ADC84" s="1185"/>
      <c r="ADD84" s="1185"/>
      <c r="ADE84" s="1185"/>
      <c r="ADF84" s="1185"/>
      <c r="ADG84" s="1185"/>
      <c r="ADH84" s="1185"/>
      <c r="ADI84" s="1185"/>
      <c r="ADJ84" s="1185"/>
      <c r="ADK84" s="1185"/>
      <c r="ADL84" s="1185"/>
      <c r="ADM84" s="1185"/>
      <c r="ADN84" s="1185"/>
      <c r="ADO84" s="1185"/>
      <c r="ADP84" s="1185"/>
      <c r="ADQ84" s="1185"/>
      <c r="ADR84" s="1185"/>
      <c r="ADS84" s="1185"/>
      <c r="ADT84" s="1185"/>
      <c r="ADU84" s="1185"/>
      <c r="ADV84" s="1185"/>
      <c r="ADW84" s="1185"/>
      <c r="ADX84" s="1185"/>
      <c r="ADY84" s="1185"/>
      <c r="ADZ84" s="1185"/>
      <c r="AEA84" s="1185"/>
      <c r="AEB84" s="1185"/>
      <c r="AEC84" s="1185"/>
      <c r="AED84" s="1185"/>
      <c r="AEE84" s="1185"/>
      <c r="AEF84" s="1185"/>
      <c r="AEG84" s="1185"/>
      <c r="AEH84" s="1185"/>
      <c r="AEI84" s="1185"/>
      <c r="AEJ84" s="1185"/>
      <c r="AEK84" s="1185"/>
      <c r="AEL84" s="1185"/>
      <c r="AEM84" s="1185"/>
      <c r="AEN84" s="1185"/>
      <c r="AEO84" s="1185"/>
      <c r="AEP84" s="1185"/>
      <c r="AEQ84" s="1185"/>
      <c r="AER84" s="1185"/>
      <c r="AES84" s="1185"/>
      <c r="AET84" s="1185"/>
      <c r="AEU84" s="1185"/>
      <c r="AEV84" s="1185"/>
      <c r="AEW84" s="1185"/>
      <c r="AEX84" s="1185"/>
      <c r="AEY84" s="1185"/>
      <c r="AEZ84" s="1185"/>
      <c r="AFA84" s="1185"/>
      <c r="AFB84" s="1185"/>
      <c r="AFC84" s="1185"/>
      <c r="AFD84" s="1185"/>
      <c r="AFE84" s="1185"/>
      <c r="AFF84" s="1185"/>
      <c r="AFG84" s="1185"/>
      <c r="AFH84" s="1185"/>
      <c r="AFI84" s="1185"/>
      <c r="AFJ84" s="1185"/>
      <c r="AFK84" s="1185"/>
      <c r="AFL84" s="1185"/>
      <c r="AFM84" s="1185"/>
      <c r="AFN84" s="1185"/>
      <c r="AFO84" s="1185"/>
      <c r="AFP84" s="1185"/>
      <c r="AFQ84" s="1185"/>
      <c r="AFR84" s="1185"/>
      <c r="AFS84" s="1185"/>
      <c r="AFT84" s="1185"/>
      <c r="AFU84" s="1185"/>
      <c r="AFV84" s="1185"/>
      <c r="AFW84" s="1185"/>
      <c r="AFX84" s="1185"/>
      <c r="AFY84" s="1185"/>
      <c r="AFZ84" s="1185"/>
      <c r="AGA84" s="1185"/>
      <c r="AGB84" s="1185"/>
      <c r="AGC84" s="1185"/>
      <c r="AGD84" s="1185"/>
      <c r="AGE84" s="1185"/>
      <c r="AGF84" s="1185"/>
      <c r="AGG84" s="1185"/>
      <c r="AGH84" s="1185"/>
      <c r="AGI84" s="1185"/>
      <c r="AGJ84" s="1185"/>
      <c r="AGK84" s="1185"/>
      <c r="AGL84" s="1185"/>
      <c r="AGM84" s="1185"/>
      <c r="AGN84" s="1185"/>
      <c r="AGO84" s="1185"/>
      <c r="AGP84" s="1185"/>
      <c r="AGQ84" s="1185"/>
      <c r="AGR84" s="1185"/>
      <c r="AGS84" s="1185"/>
      <c r="AGT84" s="1185"/>
      <c r="AGU84" s="1185"/>
      <c r="AGV84" s="1185"/>
      <c r="AGW84" s="1185"/>
      <c r="AGX84" s="1185"/>
      <c r="AGY84" s="1185"/>
      <c r="AGZ84" s="1185"/>
      <c r="AHA84" s="1185"/>
      <c r="AHB84" s="1185"/>
      <c r="AHC84" s="1185"/>
      <c r="AHD84" s="1185"/>
      <c r="AHE84" s="1185"/>
      <c r="AHF84" s="1185"/>
      <c r="AHG84" s="1185"/>
      <c r="AHH84" s="1185"/>
      <c r="AHI84" s="1185"/>
      <c r="AHJ84" s="1185"/>
      <c r="AHK84" s="1185"/>
      <c r="AHL84" s="1185"/>
      <c r="AHM84" s="1185"/>
      <c r="AHN84" s="1185"/>
      <c r="AHO84" s="1185"/>
      <c r="AHP84" s="1185"/>
      <c r="AHQ84" s="1185"/>
      <c r="AHR84" s="1185"/>
      <c r="AHS84" s="1185"/>
      <c r="AHT84" s="1185"/>
      <c r="AHU84" s="1185"/>
      <c r="AHV84" s="1185"/>
      <c r="AHW84" s="1185"/>
      <c r="AHX84" s="1185"/>
      <c r="AHY84" s="1185"/>
      <c r="AHZ84" s="1185"/>
      <c r="AIA84" s="1185"/>
      <c r="AIB84" s="1185"/>
      <c r="AIC84" s="1185"/>
      <c r="AID84" s="1185"/>
      <c r="AIE84" s="1185"/>
      <c r="AIF84" s="1185"/>
      <c r="AIG84" s="1185"/>
      <c r="AIH84" s="1185"/>
      <c r="AII84" s="1185"/>
      <c r="AIJ84" s="1185"/>
      <c r="AIK84" s="1185"/>
      <c r="AIL84" s="1185"/>
      <c r="AIM84" s="1185"/>
      <c r="AIN84" s="1185"/>
      <c r="AIO84" s="1185"/>
      <c r="AIP84" s="1185"/>
      <c r="AIQ84" s="1185"/>
      <c r="AIR84" s="1185"/>
      <c r="AIS84" s="1185"/>
      <c r="AIT84" s="1185"/>
      <c r="AIU84" s="1185"/>
      <c r="AIV84" s="1185"/>
      <c r="AIW84" s="1185"/>
      <c r="AIX84" s="1185"/>
      <c r="AIY84" s="1185"/>
      <c r="AIZ84" s="1185"/>
      <c r="AJA84" s="1185"/>
      <c r="AJB84" s="1185"/>
      <c r="AJC84" s="1185"/>
      <c r="AJD84" s="1185"/>
      <c r="AJE84" s="1185"/>
      <c r="AJF84" s="1185"/>
      <c r="AJG84" s="1185"/>
      <c r="AJH84" s="1185"/>
      <c r="AJI84" s="1185"/>
      <c r="AJJ84" s="1185"/>
      <c r="AJK84" s="1185"/>
      <c r="AJL84" s="1185"/>
      <c r="AJM84" s="1185"/>
      <c r="AJN84" s="1185"/>
      <c r="AJO84" s="1185"/>
      <c r="AJP84" s="1185"/>
      <c r="AJQ84" s="1185"/>
      <c r="AJR84" s="1185"/>
      <c r="AJS84" s="1185"/>
      <c r="AJT84" s="1185"/>
      <c r="AJU84" s="1185"/>
      <c r="AJV84" s="1185"/>
      <c r="AJW84" s="1185"/>
      <c r="AJX84" s="1185"/>
      <c r="AJY84" s="1185"/>
      <c r="AJZ84" s="1185"/>
      <c r="AKA84" s="1185"/>
      <c r="AKB84" s="1185"/>
      <c r="AKC84" s="1185"/>
      <c r="AKD84" s="1185"/>
      <c r="AKE84" s="1185"/>
      <c r="AKF84" s="1185"/>
      <c r="AKG84" s="1185"/>
      <c r="AKH84" s="1185"/>
      <c r="AKI84" s="1185"/>
      <c r="AKJ84" s="1185"/>
      <c r="AKK84" s="1185"/>
      <c r="AKL84" s="1185"/>
      <c r="AKM84" s="1185"/>
      <c r="AKN84" s="1185"/>
      <c r="AKO84" s="1185"/>
      <c r="AKP84" s="1185"/>
      <c r="AKQ84" s="1185"/>
      <c r="AKR84" s="1185"/>
      <c r="AKS84" s="1185"/>
      <c r="AKT84" s="1185"/>
      <c r="AKU84" s="1185"/>
      <c r="AKV84" s="1185"/>
      <c r="AKW84" s="1185"/>
      <c r="AKX84" s="1185"/>
      <c r="AKY84" s="1185"/>
      <c r="AKZ84" s="1185"/>
      <c r="ALA84" s="1185"/>
      <c r="ALB84" s="1185"/>
      <c r="ALC84" s="1185"/>
      <c r="ALD84" s="1185"/>
      <c r="ALE84" s="1185"/>
      <c r="ALF84" s="1185"/>
      <c r="ALG84" s="1185"/>
      <c r="ALH84" s="1185"/>
      <c r="ALI84" s="1185"/>
      <c r="ALJ84" s="1185"/>
      <c r="ALK84" s="1185"/>
      <c r="ALL84" s="1185"/>
      <c r="ALM84" s="1185"/>
      <c r="ALN84" s="1185"/>
      <c r="ALO84" s="1185"/>
      <c r="ALP84" s="1185"/>
      <c r="ALQ84" s="1185"/>
      <c r="ALR84" s="1185"/>
      <c r="ALS84" s="1185"/>
      <c r="ALT84" s="1185"/>
      <c r="ALU84" s="1185"/>
      <c r="ALV84" s="1185"/>
      <c r="ALW84" s="1185"/>
      <c r="ALX84" s="1185"/>
      <c r="ALY84" s="1185"/>
      <c r="ALZ84" s="1185"/>
      <c r="AMA84" s="1185"/>
      <c r="AMB84" s="1185"/>
      <c r="AMC84" s="1185"/>
      <c r="AMD84" s="1185"/>
      <c r="AME84" s="1185"/>
      <c r="AMF84" s="1185"/>
      <c r="AMG84" s="1185"/>
      <c r="AMH84" s="1185"/>
      <c r="AMI84" s="1185"/>
      <c r="AMJ84" s="1185"/>
      <c r="AMK84" s="1185"/>
      <c r="AML84" s="1185"/>
      <c r="AMM84" s="1185"/>
      <c r="AMN84" s="1185"/>
      <c r="AMO84" s="1185"/>
      <c r="AMP84" s="1185"/>
      <c r="AMQ84" s="1185"/>
      <c r="AMR84" s="1185"/>
      <c r="AMS84" s="1185"/>
      <c r="AMT84" s="1185"/>
      <c r="AMU84" s="1185"/>
      <c r="AMV84" s="1185"/>
      <c r="AMW84" s="1185"/>
      <c r="AMX84" s="1185"/>
      <c r="AMY84" s="1185"/>
      <c r="AMZ84" s="1185"/>
      <c r="ANA84" s="1185"/>
      <c r="ANB84" s="1185"/>
      <c r="ANC84" s="1185"/>
      <c r="AND84" s="1185"/>
      <c r="ANE84" s="1185"/>
      <c r="ANF84" s="1185"/>
      <c r="ANG84" s="1185"/>
      <c r="ANH84" s="1185"/>
      <c r="ANI84" s="1185"/>
      <c r="ANJ84" s="1185"/>
      <c r="ANK84" s="1185"/>
      <c r="ANL84" s="1185"/>
      <c r="ANM84" s="1185"/>
      <c r="ANN84" s="1185"/>
      <c r="ANO84" s="1185"/>
      <c r="ANP84" s="1185"/>
      <c r="ANQ84" s="1185"/>
      <c r="ANR84" s="1185"/>
      <c r="ANS84" s="1185"/>
      <c r="ANT84" s="1185"/>
      <c r="ANU84" s="1185"/>
      <c r="ANV84" s="1185"/>
      <c r="ANW84" s="1185"/>
      <c r="ANX84" s="1185"/>
      <c r="ANY84" s="1185"/>
      <c r="ANZ84" s="1185"/>
      <c r="AOA84" s="1185"/>
      <c r="AOB84" s="1185"/>
      <c r="AOC84" s="1185"/>
      <c r="AOD84" s="1185"/>
      <c r="AOE84" s="1185"/>
      <c r="AOF84" s="1185"/>
      <c r="AOG84" s="1185"/>
      <c r="AOH84" s="1185"/>
      <c r="AOI84" s="1185"/>
      <c r="AOJ84" s="1185"/>
      <c r="AOK84" s="1185"/>
      <c r="AOL84" s="1185"/>
      <c r="AOM84" s="1185"/>
      <c r="AON84" s="1185"/>
      <c r="AOO84" s="1185"/>
      <c r="AOP84" s="1185"/>
      <c r="AOQ84" s="1185"/>
      <c r="AOR84" s="1185"/>
      <c r="AOS84" s="1185"/>
      <c r="AOT84" s="1185"/>
      <c r="AOU84" s="1185"/>
      <c r="AOV84" s="1185"/>
      <c r="AOW84" s="1185"/>
      <c r="AOX84" s="1185"/>
      <c r="AOY84" s="1185"/>
      <c r="AOZ84" s="1185"/>
      <c r="APA84" s="1185"/>
      <c r="APB84" s="1185"/>
      <c r="APC84" s="1185"/>
      <c r="APD84" s="1185"/>
      <c r="APE84" s="1185"/>
      <c r="APF84" s="1185"/>
      <c r="APG84" s="1185"/>
      <c r="APH84" s="1185"/>
      <c r="API84" s="1185"/>
      <c r="APJ84" s="1185"/>
      <c r="APK84" s="1185"/>
      <c r="APL84" s="1185"/>
      <c r="APM84" s="1185"/>
      <c r="APN84" s="1185"/>
      <c r="APO84" s="1185"/>
      <c r="APP84" s="1185"/>
      <c r="APQ84" s="1185"/>
      <c r="APR84" s="1185"/>
      <c r="APS84" s="1185"/>
      <c r="APT84" s="1185"/>
      <c r="APU84" s="1185"/>
      <c r="APV84" s="1185"/>
      <c r="APW84" s="1185"/>
      <c r="APX84" s="1185"/>
      <c r="APY84" s="1185"/>
      <c r="APZ84" s="1185"/>
      <c r="AQA84" s="1185"/>
      <c r="AQB84" s="1185"/>
      <c r="AQC84" s="1185"/>
      <c r="AQD84" s="1185"/>
      <c r="AQE84" s="1185"/>
      <c r="AQF84" s="1185"/>
      <c r="AQG84" s="1185"/>
      <c r="AQH84" s="1185"/>
      <c r="AQI84" s="1185"/>
      <c r="AQJ84" s="1185"/>
      <c r="AQK84" s="1185"/>
      <c r="AQL84" s="1185"/>
      <c r="AQM84" s="1185"/>
      <c r="AQN84" s="1185"/>
      <c r="AQO84" s="1185"/>
      <c r="AQP84" s="1185"/>
      <c r="AQQ84" s="1185"/>
      <c r="AQR84" s="1185"/>
      <c r="AQS84" s="1185"/>
      <c r="AQT84" s="1185"/>
      <c r="AQU84" s="1185"/>
      <c r="AQV84" s="1185"/>
      <c r="AQW84" s="1185"/>
      <c r="AQX84" s="1185"/>
      <c r="AQY84" s="1185"/>
      <c r="AQZ84" s="1185"/>
      <c r="ARA84" s="1185"/>
      <c r="ARB84" s="1185"/>
      <c r="ARC84" s="1185"/>
      <c r="ARD84" s="1185"/>
      <c r="ARE84" s="1185"/>
      <c r="ARF84" s="1185"/>
      <c r="ARG84" s="1185"/>
      <c r="ARH84" s="1185"/>
      <c r="ARI84" s="1185"/>
      <c r="ARJ84" s="1185"/>
      <c r="ARK84" s="1185"/>
      <c r="ARL84" s="1185"/>
      <c r="ARM84" s="1185"/>
      <c r="ARN84" s="1185"/>
      <c r="ARO84" s="1185"/>
      <c r="ARP84" s="1185"/>
      <c r="ARQ84" s="1185"/>
      <c r="ARR84" s="1185"/>
      <c r="ARS84" s="1185"/>
      <c r="ART84" s="1185"/>
      <c r="ARU84" s="1185"/>
      <c r="ARV84" s="1185"/>
      <c r="ARW84" s="1185"/>
      <c r="ARX84" s="1185"/>
      <c r="ARY84" s="1185"/>
      <c r="ARZ84" s="1185"/>
      <c r="ASA84" s="1185"/>
      <c r="ASB84" s="1185"/>
      <c r="ASC84" s="1185"/>
      <c r="ASD84" s="1185"/>
      <c r="ASE84" s="1185"/>
      <c r="ASF84" s="1185"/>
      <c r="ASG84" s="1185"/>
      <c r="ASH84" s="1185"/>
      <c r="ASI84" s="1185"/>
      <c r="ASJ84" s="1185"/>
      <c r="ASK84" s="1185"/>
      <c r="ASL84" s="1185"/>
      <c r="ASM84" s="1185"/>
      <c r="ASN84" s="1185"/>
      <c r="ASO84" s="1185"/>
      <c r="ASP84" s="1185"/>
      <c r="ASQ84" s="1185"/>
      <c r="ASR84" s="1185"/>
      <c r="ASS84" s="1185"/>
      <c r="AST84" s="1185"/>
      <c r="ASU84" s="1185"/>
      <c r="ASV84" s="1185"/>
      <c r="ASW84" s="1185"/>
      <c r="ASX84" s="1185"/>
      <c r="ASY84" s="1185"/>
      <c r="ASZ84" s="1185"/>
      <c r="ATA84" s="1185"/>
      <c r="ATB84" s="1185"/>
      <c r="ATC84" s="1185"/>
      <c r="ATD84" s="1185"/>
      <c r="ATE84" s="1185"/>
      <c r="ATF84" s="1185"/>
      <c r="ATG84" s="1185"/>
      <c r="ATH84" s="1185"/>
      <c r="ATI84" s="1185"/>
      <c r="ATJ84" s="1185"/>
      <c r="ATK84" s="1185"/>
      <c r="ATL84" s="1185"/>
      <c r="ATM84" s="1185"/>
      <c r="ATN84" s="1185"/>
      <c r="ATO84" s="1185"/>
      <c r="ATP84" s="1185"/>
      <c r="ATQ84" s="1185"/>
      <c r="ATR84" s="1185"/>
      <c r="ATS84" s="1185"/>
      <c r="ATT84" s="1185"/>
      <c r="ATU84" s="1185"/>
      <c r="ATV84" s="1185"/>
      <c r="ATW84" s="1185"/>
      <c r="ATX84" s="1185"/>
      <c r="ATY84" s="1185"/>
      <c r="ATZ84" s="1185"/>
      <c r="AUA84" s="1185"/>
      <c r="AUB84" s="1185"/>
      <c r="AUC84" s="1185"/>
      <c r="AUD84" s="1185"/>
      <c r="AUE84" s="1185"/>
      <c r="AUF84" s="1185"/>
      <c r="AUG84" s="1185"/>
      <c r="AUH84" s="1185"/>
      <c r="AUI84" s="1185"/>
      <c r="AUJ84" s="1185"/>
      <c r="AUK84" s="1185"/>
      <c r="AUL84" s="1185"/>
      <c r="AUM84" s="1185"/>
      <c r="AUN84" s="1185"/>
      <c r="AUO84" s="1185"/>
      <c r="AUP84" s="1185"/>
      <c r="AUQ84" s="1185"/>
      <c r="AUR84" s="1185"/>
      <c r="AUS84" s="1185"/>
      <c r="AUT84" s="1185"/>
      <c r="AUU84" s="1185"/>
      <c r="AUV84" s="1185"/>
      <c r="AUW84" s="1185"/>
      <c r="AUX84" s="1185"/>
      <c r="AUY84" s="1185"/>
      <c r="AUZ84" s="1185"/>
      <c r="AVA84" s="1185"/>
      <c r="AVB84" s="1185"/>
      <c r="AVC84" s="1185"/>
      <c r="AVD84" s="1185"/>
      <c r="AVE84" s="1185"/>
      <c r="AVF84" s="1185"/>
      <c r="AVG84" s="1185"/>
      <c r="AVH84" s="1185"/>
      <c r="AVI84" s="1185"/>
      <c r="AVJ84" s="1185"/>
      <c r="AVK84" s="1185"/>
      <c r="AVL84" s="1185"/>
      <c r="AVM84" s="1185"/>
      <c r="AVN84" s="1185"/>
      <c r="AVO84" s="1185"/>
      <c r="AVP84" s="1185"/>
      <c r="AVQ84" s="1185"/>
      <c r="AVR84" s="1185"/>
      <c r="AVS84" s="1185"/>
      <c r="AVT84" s="1185"/>
      <c r="AVU84" s="1185"/>
      <c r="AVV84" s="1185"/>
      <c r="AVW84" s="1185"/>
      <c r="AVX84" s="1185"/>
      <c r="AVY84" s="1185"/>
      <c r="AVZ84" s="1185"/>
      <c r="AWA84" s="1185"/>
      <c r="AWB84" s="1185"/>
      <c r="AWC84" s="1185"/>
      <c r="AWD84" s="1185"/>
      <c r="AWE84" s="1185"/>
      <c r="AWF84" s="1185"/>
      <c r="AWG84" s="1185"/>
      <c r="AWH84" s="1185"/>
      <c r="AWI84" s="1185"/>
      <c r="AWJ84" s="1185"/>
      <c r="AWK84" s="1185"/>
      <c r="AWL84" s="1185"/>
      <c r="AWM84" s="1185"/>
      <c r="AWN84" s="1185"/>
      <c r="AWO84" s="1185"/>
      <c r="AWP84" s="1185"/>
      <c r="AWQ84" s="1185"/>
      <c r="AWR84" s="1185"/>
      <c r="AWS84" s="1185"/>
      <c r="AWT84" s="1185"/>
      <c r="AWU84" s="1185"/>
      <c r="AWV84" s="1185"/>
      <c r="AWW84" s="1185"/>
      <c r="AWX84" s="1185"/>
      <c r="AWY84" s="1185"/>
      <c r="AWZ84" s="1185"/>
      <c r="AXA84" s="1185"/>
      <c r="AXB84" s="1185"/>
      <c r="AXC84" s="1185"/>
      <c r="AXD84" s="1185"/>
      <c r="AXE84" s="1185"/>
      <c r="AXF84" s="1185"/>
      <c r="AXG84" s="1185"/>
      <c r="AXH84" s="1185"/>
      <c r="AXI84" s="1185"/>
      <c r="AXJ84" s="1185"/>
      <c r="AXK84" s="1185"/>
      <c r="AXL84" s="1185"/>
      <c r="AXM84" s="1185"/>
      <c r="AXN84" s="1185"/>
      <c r="AXO84" s="1185"/>
      <c r="AXP84" s="1185"/>
      <c r="AXQ84" s="1185"/>
      <c r="AXR84" s="1185"/>
      <c r="AXS84" s="1185"/>
      <c r="AXT84" s="1185"/>
      <c r="AXU84" s="1185"/>
      <c r="AXV84" s="1185"/>
      <c r="AXW84" s="1185"/>
      <c r="AXX84" s="1185"/>
      <c r="AXY84" s="1185"/>
      <c r="AXZ84" s="1185"/>
      <c r="AYA84" s="1185"/>
      <c r="AYB84" s="1185"/>
      <c r="AYC84" s="1185"/>
      <c r="AYD84" s="1185"/>
      <c r="AYE84" s="1185"/>
      <c r="AYF84" s="1185"/>
      <c r="AYG84" s="1185"/>
      <c r="AYH84" s="1185"/>
      <c r="AYI84" s="1185"/>
      <c r="AYJ84" s="1185"/>
      <c r="AYK84" s="1185"/>
      <c r="AYL84" s="1185"/>
      <c r="AYM84" s="1185"/>
      <c r="AYN84" s="1185"/>
      <c r="AYO84" s="1185"/>
      <c r="AYP84" s="1185"/>
      <c r="AYQ84" s="1185"/>
      <c r="AYR84" s="1185"/>
      <c r="AYS84" s="1185"/>
      <c r="AYT84" s="1185"/>
      <c r="AYU84" s="1185"/>
      <c r="AYV84" s="1185"/>
      <c r="AYW84" s="1185"/>
      <c r="AYX84" s="1185"/>
      <c r="AYY84" s="1185"/>
      <c r="AYZ84" s="1185"/>
      <c r="AZA84" s="1185"/>
      <c r="AZB84" s="1185"/>
      <c r="AZC84" s="1185"/>
      <c r="AZD84" s="1185"/>
      <c r="AZE84" s="1185"/>
      <c r="AZF84" s="1185"/>
      <c r="AZG84" s="1185"/>
      <c r="AZH84" s="1185"/>
      <c r="AZI84" s="1185"/>
      <c r="AZJ84" s="1185"/>
      <c r="AZK84" s="1185"/>
      <c r="AZL84" s="1185"/>
      <c r="AZM84" s="1185"/>
      <c r="AZN84" s="1185"/>
      <c r="AZO84" s="1185"/>
      <c r="AZP84" s="1185"/>
      <c r="AZQ84" s="1185"/>
      <c r="AZR84" s="1185"/>
      <c r="AZS84" s="1185"/>
      <c r="AZT84" s="1185"/>
      <c r="AZU84" s="1185"/>
      <c r="AZV84" s="1185"/>
      <c r="AZW84" s="1185"/>
      <c r="AZX84" s="1185"/>
      <c r="AZY84" s="1185"/>
      <c r="AZZ84" s="1185"/>
      <c r="BAA84" s="1185"/>
      <c r="BAB84" s="1185"/>
      <c r="BAC84" s="1185"/>
      <c r="BAD84" s="1185"/>
      <c r="BAE84" s="1185"/>
      <c r="BAF84" s="1185"/>
      <c r="BAG84" s="1185"/>
      <c r="BAH84" s="1185"/>
      <c r="BAI84" s="1185"/>
      <c r="BAJ84" s="1185"/>
      <c r="BAK84" s="1185"/>
      <c r="BAL84" s="1185"/>
      <c r="BAM84" s="1185"/>
      <c r="BAN84" s="1185"/>
      <c r="BAO84" s="1185"/>
      <c r="BAP84" s="1185"/>
      <c r="BAQ84" s="1185"/>
      <c r="BAR84" s="1185"/>
      <c r="BAS84" s="1185"/>
      <c r="BAT84" s="1185"/>
      <c r="BAU84" s="1185"/>
      <c r="BAV84" s="1185"/>
      <c r="BAW84" s="1185"/>
      <c r="BAX84" s="1185"/>
      <c r="BAY84" s="1185"/>
      <c r="BAZ84" s="1185"/>
      <c r="BBA84" s="1185"/>
      <c r="BBB84" s="1185"/>
      <c r="BBC84" s="1185"/>
      <c r="BBD84" s="1185"/>
      <c r="BBE84" s="1185"/>
      <c r="BBF84" s="1185"/>
      <c r="BBG84" s="1185"/>
      <c r="BBH84" s="1185"/>
      <c r="BBI84" s="1185"/>
      <c r="BBJ84" s="1185"/>
      <c r="BBK84" s="1185"/>
      <c r="BBL84" s="1185"/>
      <c r="BBM84" s="1185"/>
      <c r="BBN84" s="1185"/>
      <c r="BBO84" s="1185"/>
      <c r="BBP84" s="1185"/>
      <c r="BBQ84" s="1185"/>
      <c r="BBR84" s="1185"/>
      <c r="BBS84" s="1185"/>
      <c r="BBT84" s="1185"/>
      <c r="BBU84" s="1185"/>
      <c r="BBV84" s="1185"/>
      <c r="BBW84" s="1185"/>
      <c r="BBX84" s="1185"/>
      <c r="BBY84" s="1185"/>
      <c r="BBZ84" s="1185"/>
      <c r="BCA84" s="1185"/>
      <c r="BCB84" s="1185"/>
      <c r="BCC84" s="1185"/>
      <c r="BCD84" s="1185"/>
      <c r="BCE84" s="1185"/>
      <c r="BCF84" s="1185"/>
      <c r="BCG84" s="1185"/>
      <c r="BCH84" s="1185"/>
      <c r="BCI84" s="1185"/>
      <c r="BCJ84" s="1185"/>
      <c r="BCK84" s="1185"/>
      <c r="BCL84" s="1185"/>
      <c r="BCM84" s="1185"/>
      <c r="BCN84" s="1185"/>
      <c r="BCO84" s="1185"/>
      <c r="BCP84" s="1185"/>
      <c r="BCQ84" s="1185"/>
      <c r="BCR84" s="1185"/>
      <c r="BCS84" s="1185"/>
      <c r="BCT84" s="1185"/>
      <c r="BCU84" s="1185"/>
      <c r="BCV84" s="1185"/>
      <c r="BCW84" s="1185"/>
      <c r="BCX84" s="1185"/>
      <c r="BCY84" s="1185"/>
      <c r="BCZ84" s="1185"/>
      <c r="BDA84" s="1185"/>
      <c r="BDB84" s="1185"/>
      <c r="BDC84" s="1185"/>
      <c r="BDD84" s="1185"/>
      <c r="BDE84" s="1185"/>
      <c r="BDF84" s="1185"/>
      <c r="BDG84" s="1185"/>
      <c r="BDH84" s="1185"/>
      <c r="BDI84" s="1185"/>
      <c r="BDJ84" s="1185"/>
      <c r="BDK84" s="1185"/>
      <c r="BDL84" s="1185"/>
      <c r="BDM84" s="1185"/>
      <c r="BDN84" s="1185"/>
      <c r="BDO84" s="1185"/>
      <c r="BDP84" s="1185"/>
      <c r="BDQ84" s="1185"/>
      <c r="BDR84" s="1185"/>
      <c r="BDS84" s="1185"/>
      <c r="BDT84" s="1185"/>
      <c r="BDU84" s="1185"/>
      <c r="BDV84" s="1185"/>
      <c r="BDW84" s="1185"/>
      <c r="BDX84" s="1185"/>
      <c r="BDY84" s="1185"/>
      <c r="BDZ84" s="1185"/>
      <c r="BEA84" s="1185"/>
      <c r="BEB84" s="1185"/>
      <c r="BEC84" s="1185"/>
      <c r="BED84" s="1185"/>
      <c r="BEE84" s="1185"/>
      <c r="BEF84" s="1185"/>
      <c r="BEG84" s="1185"/>
      <c r="BEH84" s="1185"/>
      <c r="BEI84" s="1185"/>
      <c r="BEJ84" s="1185"/>
      <c r="BEK84" s="1185"/>
      <c r="BEL84" s="1185"/>
      <c r="BEM84" s="1185"/>
      <c r="BEN84" s="1185"/>
      <c r="BEO84" s="1185"/>
      <c r="BEP84" s="1185"/>
      <c r="BEQ84" s="1185"/>
      <c r="BER84" s="1185"/>
      <c r="BES84" s="1185"/>
      <c r="BET84" s="1185"/>
      <c r="BEU84" s="1185"/>
      <c r="BEV84" s="1185"/>
      <c r="BEW84" s="1185"/>
      <c r="BEX84" s="1185"/>
      <c r="BEY84" s="1185"/>
      <c r="BEZ84" s="1185"/>
      <c r="BFA84" s="1185"/>
      <c r="BFB84" s="1185"/>
      <c r="BFC84" s="1185"/>
      <c r="BFD84" s="1185"/>
      <c r="BFE84" s="1185"/>
      <c r="BFF84" s="1185"/>
      <c r="BFG84" s="1185"/>
      <c r="BFH84" s="1185"/>
      <c r="BFI84" s="1185"/>
      <c r="BFJ84" s="1185"/>
      <c r="BFK84" s="1185"/>
      <c r="BFL84" s="1185"/>
      <c r="BFM84" s="1185"/>
      <c r="BFN84" s="1185"/>
      <c r="BFO84" s="1185"/>
      <c r="BFP84" s="1185"/>
      <c r="BFQ84" s="1185"/>
      <c r="BFR84" s="1185"/>
      <c r="BFS84" s="1185"/>
      <c r="BFT84" s="1185"/>
      <c r="BFU84" s="1185"/>
      <c r="BFV84" s="1185"/>
      <c r="BFW84" s="1185"/>
      <c r="BFX84" s="1185"/>
      <c r="BFY84" s="1185"/>
      <c r="BFZ84" s="1185"/>
      <c r="BGA84" s="1185"/>
      <c r="BGB84" s="1185"/>
      <c r="BGC84" s="1185"/>
      <c r="BGD84" s="1185"/>
      <c r="BGE84" s="1185"/>
      <c r="BGF84" s="1185"/>
      <c r="BGG84" s="1185"/>
      <c r="BGH84" s="1185"/>
      <c r="BGI84" s="1185"/>
      <c r="BGJ84" s="1185"/>
      <c r="BGK84" s="1185"/>
      <c r="BGL84" s="1185"/>
      <c r="BGM84" s="1185"/>
      <c r="BGN84" s="1185"/>
      <c r="BGO84" s="1185"/>
      <c r="BGP84" s="1185"/>
      <c r="BGQ84" s="1185"/>
      <c r="BGR84" s="1185"/>
      <c r="BGS84" s="1185"/>
      <c r="BGT84" s="1185"/>
      <c r="BGU84" s="1185"/>
      <c r="BGV84" s="1185"/>
      <c r="BGW84" s="1185"/>
      <c r="BGX84" s="1185"/>
      <c r="BGY84" s="1185"/>
      <c r="BGZ84" s="1185"/>
      <c r="BHA84" s="1185"/>
      <c r="BHB84" s="1185"/>
      <c r="BHC84" s="1185"/>
      <c r="BHD84" s="1185"/>
      <c r="BHE84" s="1185"/>
      <c r="BHF84" s="1185"/>
      <c r="BHG84" s="1185"/>
      <c r="BHH84" s="1185"/>
      <c r="BHI84" s="1185"/>
      <c r="BHJ84" s="1185"/>
      <c r="BHK84" s="1185"/>
      <c r="BHL84" s="1185"/>
      <c r="BHM84" s="1185"/>
      <c r="BHN84" s="1185"/>
      <c r="BHO84" s="1185"/>
      <c r="BHP84" s="1185"/>
      <c r="BHQ84" s="1185"/>
      <c r="BHR84" s="1185"/>
      <c r="BHS84" s="1185"/>
      <c r="BHT84" s="1185"/>
      <c r="BHU84" s="1185"/>
      <c r="BHV84" s="1185"/>
      <c r="BHW84" s="1185"/>
      <c r="BHX84" s="1185"/>
      <c r="BHY84" s="1185"/>
      <c r="BHZ84" s="1185"/>
      <c r="BIA84" s="1185"/>
      <c r="BIB84" s="1185"/>
      <c r="BIC84" s="1185"/>
      <c r="BID84" s="1185"/>
      <c r="BIE84" s="1185"/>
      <c r="BIF84" s="1185"/>
      <c r="BIG84" s="1185"/>
      <c r="BIH84" s="1185"/>
      <c r="BII84" s="1185"/>
      <c r="BIJ84" s="1185"/>
      <c r="BIK84" s="1185"/>
      <c r="BIL84" s="1185"/>
      <c r="BIM84" s="1185"/>
      <c r="BIN84" s="1185"/>
      <c r="BIO84" s="1185"/>
      <c r="BIP84" s="1185"/>
      <c r="BIQ84" s="1185"/>
      <c r="BIR84" s="1185"/>
      <c r="BIS84" s="1185"/>
      <c r="BIT84" s="1185"/>
      <c r="BIU84" s="1185"/>
      <c r="BIV84" s="1185"/>
      <c r="BIW84" s="1185"/>
      <c r="BIX84" s="1185"/>
      <c r="BIY84" s="1185"/>
      <c r="BIZ84" s="1185"/>
      <c r="BJA84" s="1185"/>
      <c r="BJB84" s="1185"/>
      <c r="BJC84" s="1185"/>
      <c r="BJD84" s="1185"/>
      <c r="BJE84" s="1185"/>
      <c r="BJF84" s="1185"/>
      <c r="BJG84" s="1185"/>
      <c r="BJH84" s="1185"/>
      <c r="BJI84" s="1185"/>
      <c r="BJJ84" s="1185"/>
      <c r="BJK84" s="1185"/>
      <c r="BJL84" s="1185"/>
      <c r="BJM84" s="1185"/>
      <c r="BJN84" s="1185"/>
      <c r="BJO84" s="1185"/>
      <c r="BJP84" s="1185"/>
      <c r="BJQ84" s="1185"/>
      <c r="BJR84" s="1185"/>
      <c r="BJS84" s="1185"/>
      <c r="BJT84" s="1185"/>
      <c r="BJU84" s="1185"/>
      <c r="BJV84" s="1185"/>
      <c r="BJW84" s="1185"/>
      <c r="BJX84" s="1185"/>
      <c r="BJY84" s="1185"/>
      <c r="BJZ84" s="1185"/>
      <c r="BKA84" s="1185"/>
      <c r="BKB84" s="1185"/>
      <c r="BKC84" s="1185"/>
      <c r="BKD84" s="1185"/>
      <c r="BKE84" s="1185"/>
      <c r="BKF84" s="1185"/>
      <c r="BKG84" s="1185"/>
      <c r="BKH84" s="1185"/>
      <c r="BKI84" s="1185"/>
      <c r="BKJ84" s="1185"/>
      <c r="BKK84" s="1185"/>
      <c r="BKL84" s="1185"/>
      <c r="BKM84" s="1185"/>
      <c r="BKN84" s="1185"/>
      <c r="BKO84" s="1185"/>
      <c r="BKP84" s="1185"/>
      <c r="BKQ84" s="1185"/>
      <c r="BKR84" s="1185"/>
      <c r="BKS84" s="1185"/>
      <c r="BKT84" s="1185"/>
      <c r="BKU84" s="1185"/>
      <c r="BKV84" s="1185"/>
      <c r="BKW84" s="1185"/>
      <c r="BKX84" s="1185"/>
      <c r="BKY84" s="1185"/>
      <c r="BKZ84" s="1185"/>
      <c r="BLA84" s="1185"/>
      <c r="BLB84" s="1185"/>
      <c r="BLC84" s="1185"/>
      <c r="BLD84" s="1185"/>
      <c r="BLE84" s="1185"/>
      <c r="BLF84" s="1185"/>
      <c r="BLG84" s="1185"/>
      <c r="BLH84" s="1185"/>
      <c r="BLI84" s="1185"/>
      <c r="BLJ84" s="1185"/>
      <c r="BLK84" s="1185"/>
      <c r="BLL84" s="1185"/>
      <c r="BLM84" s="1185"/>
      <c r="BLN84" s="1185"/>
      <c r="BLO84" s="1185"/>
      <c r="BLP84" s="1185"/>
      <c r="BLQ84" s="1185"/>
      <c r="BLR84" s="1185"/>
      <c r="BLS84" s="1185"/>
      <c r="BLT84" s="1185"/>
      <c r="BLU84" s="1185"/>
      <c r="BLV84" s="1185"/>
      <c r="BLW84" s="1185"/>
      <c r="BLX84" s="1185"/>
      <c r="BLY84" s="1185"/>
      <c r="BLZ84" s="1185"/>
      <c r="BMA84" s="1185"/>
      <c r="BMB84" s="1185"/>
      <c r="BMC84" s="1185"/>
      <c r="BMD84" s="1185"/>
      <c r="BME84" s="1185"/>
      <c r="BMF84" s="1185"/>
      <c r="BMG84" s="1185"/>
      <c r="BMH84" s="1185"/>
      <c r="BMI84" s="1185"/>
      <c r="BMJ84" s="1185"/>
      <c r="BMK84" s="1185"/>
      <c r="BML84" s="1185"/>
      <c r="BMM84" s="1185"/>
      <c r="BMN84" s="1185"/>
      <c r="BMO84" s="1185"/>
      <c r="BMP84" s="1185"/>
      <c r="BMQ84" s="1185"/>
      <c r="BMR84" s="1185"/>
      <c r="BMS84" s="1185"/>
      <c r="BMT84" s="1185"/>
      <c r="BMU84" s="1185"/>
      <c r="BMV84" s="1185"/>
      <c r="BMW84" s="1185"/>
      <c r="BMX84" s="1185"/>
      <c r="BMY84" s="1185"/>
      <c r="BMZ84" s="1185"/>
      <c r="BNA84" s="1185"/>
      <c r="BNB84" s="1185"/>
      <c r="BNC84" s="1185"/>
      <c r="BND84" s="1185"/>
      <c r="BNE84" s="1185"/>
      <c r="BNF84" s="1185"/>
      <c r="BNG84" s="1185"/>
      <c r="BNH84" s="1185"/>
      <c r="BNI84" s="1185"/>
      <c r="BNJ84" s="1185"/>
      <c r="BNK84" s="1185"/>
      <c r="BNL84" s="1185"/>
      <c r="BNM84" s="1185"/>
      <c r="BNN84" s="1185"/>
      <c r="BNO84" s="1185"/>
      <c r="BNP84" s="1185"/>
      <c r="BNQ84" s="1185"/>
      <c r="BNR84" s="1185"/>
      <c r="BNS84" s="1185"/>
      <c r="BNT84" s="1185"/>
      <c r="BNU84" s="1185"/>
      <c r="BNV84" s="1185"/>
      <c r="BNW84" s="1185"/>
      <c r="BNX84" s="1185"/>
      <c r="BNY84" s="1185"/>
      <c r="BNZ84" s="1185"/>
      <c r="BOA84" s="1185"/>
      <c r="BOB84" s="1185"/>
      <c r="BOC84" s="1185"/>
      <c r="BOD84" s="1185"/>
      <c r="BOE84" s="1185"/>
      <c r="BOF84" s="1185"/>
      <c r="BOG84" s="1185"/>
      <c r="BOH84" s="1185"/>
      <c r="BOI84" s="1185"/>
      <c r="BOJ84" s="1185"/>
      <c r="BOK84" s="1185"/>
      <c r="BOL84" s="1185"/>
      <c r="BOM84" s="1185"/>
      <c r="BON84" s="1185"/>
      <c r="BOO84" s="1185"/>
      <c r="BOP84" s="1185"/>
      <c r="BOQ84" s="1185"/>
      <c r="BOR84" s="1185"/>
      <c r="BOS84" s="1185"/>
      <c r="BOT84" s="1185"/>
      <c r="BOU84" s="1185"/>
      <c r="BOV84" s="1185"/>
      <c r="BOW84" s="1185"/>
      <c r="BOX84" s="1185"/>
      <c r="BOY84" s="1185"/>
      <c r="BOZ84" s="1185"/>
      <c r="BPA84" s="1185"/>
      <c r="BPB84" s="1185"/>
      <c r="BPC84" s="1185"/>
      <c r="BPD84" s="1185"/>
      <c r="BPE84" s="1185"/>
      <c r="BPF84" s="1185"/>
      <c r="BPG84" s="1185"/>
      <c r="BPH84" s="1185"/>
      <c r="BPI84" s="1185"/>
      <c r="BPJ84" s="1185"/>
      <c r="BPK84" s="1185"/>
      <c r="BPL84" s="1185"/>
      <c r="BPM84" s="1185"/>
      <c r="BPN84" s="1185"/>
      <c r="BPO84" s="1185"/>
      <c r="BPP84" s="1185"/>
      <c r="BPQ84" s="1185"/>
      <c r="BPR84" s="1185"/>
      <c r="BPS84" s="1185"/>
      <c r="BPT84" s="1185"/>
      <c r="BPU84" s="1185"/>
      <c r="BPV84" s="1185"/>
      <c r="BPW84" s="1185"/>
      <c r="BPX84" s="1185"/>
      <c r="BPY84" s="1185"/>
      <c r="BPZ84" s="1185"/>
      <c r="BQA84" s="1185"/>
      <c r="BQB84" s="1185"/>
      <c r="BQC84" s="1185"/>
      <c r="BQD84" s="1185"/>
      <c r="BQE84" s="1185"/>
      <c r="BQF84" s="1185"/>
      <c r="BQG84" s="1185"/>
      <c r="BQH84" s="1185"/>
      <c r="BQI84" s="1185"/>
      <c r="BQJ84" s="1185"/>
      <c r="BQK84" s="1185"/>
      <c r="BQL84" s="1185"/>
      <c r="BQM84" s="1185"/>
      <c r="BQN84" s="1185"/>
      <c r="BQO84" s="1185"/>
      <c r="BQP84" s="1185"/>
      <c r="BQQ84" s="1185"/>
      <c r="BQR84" s="1185"/>
      <c r="BQS84" s="1185"/>
      <c r="BQT84" s="1185"/>
      <c r="BQU84" s="1185"/>
      <c r="BQV84" s="1185"/>
      <c r="BQW84" s="1185"/>
      <c r="BQX84" s="1185"/>
      <c r="BQY84" s="1185"/>
      <c r="BQZ84" s="1185"/>
      <c r="BRA84" s="1185"/>
      <c r="BRB84" s="1185"/>
      <c r="BRC84" s="1185"/>
      <c r="BRD84" s="1185"/>
      <c r="BRE84" s="1185"/>
      <c r="BRF84" s="1185"/>
      <c r="BRG84" s="1185"/>
      <c r="BRH84" s="1185"/>
      <c r="BRI84" s="1185"/>
      <c r="BRJ84" s="1185"/>
      <c r="BRK84" s="1185"/>
      <c r="BRL84" s="1185"/>
      <c r="BRM84" s="1185"/>
      <c r="BRN84" s="1185"/>
      <c r="BRO84" s="1185"/>
      <c r="BRP84" s="1185"/>
      <c r="BRQ84" s="1185"/>
      <c r="BRR84" s="1185"/>
      <c r="BRS84" s="1185"/>
      <c r="BRT84" s="1185"/>
      <c r="BRU84" s="1185"/>
      <c r="BRV84" s="1185"/>
      <c r="BRW84" s="1185"/>
      <c r="BRX84" s="1185"/>
      <c r="BRY84" s="1185"/>
      <c r="BRZ84" s="1185"/>
      <c r="BSA84" s="1185"/>
      <c r="BSB84" s="1185"/>
      <c r="BSC84" s="1185"/>
      <c r="BSD84" s="1185"/>
      <c r="BSE84" s="1185"/>
      <c r="BSF84" s="1185"/>
      <c r="BSG84" s="1185"/>
      <c r="BSH84" s="1185"/>
      <c r="BSI84" s="1185"/>
      <c r="BSJ84" s="1185"/>
      <c r="BSK84" s="1185"/>
      <c r="BSL84" s="1185"/>
      <c r="BSM84" s="1185"/>
      <c r="BSN84" s="1185"/>
      <c r="BSO84" s="1185"/>
      <c r="BSP84" s="1185"/>
      <c r="BSQ84" s="1185"/>
      <c r="BSR84" s="1185"/>
      <c r="BSS84" s="1185"/>
      <c r="BST84" s="1185"/>
      <c r="BSU84" s="1185"/>
      <c r="BSV84" s="1185"/>
      <c r="BSW84" s="1185"/>
      <c r="BSX84" s="1185"/>
      <c r="BSY84" s="1185"/>
      <c r="BSZ84" s="1185"/>
      <c r="BTA84" s="1185"/>
      <c r="BTB84" s="1185"/>
      <c r="BTC84" s="1185"/>
      <c r="BTD84" s="1185"/>
      <c r="BTE84" s="1185"/>
      <c r="BTF84" s="1185"/>
      <c r="BTG84" s="1185"/>
      <c r="BTH84" s="1185"/>
      <c r="BTI84" s="1185"/>
      <c r="BTJ84" s="1185"/>
      <c r="BTK84" s="1185"/>
      <c r="BTL84" s="1185"/>
      <c r="BTM84" s="1185"/>
      <c r="BTN84" s="1185"/>
      <c r="BTO84" s="1185"/>
      <c r="BTP84" s="1185"/>
      <c r="BTQ84" s="1185"/>
      <c r="BTR84" s="1185"/>
      <c r="BTS84" s="1185"/>
      <c r="BTT84" s="1185"/>
      <c r="BTU84" s="1185"/>
      <c r="BTV84" s="1185"/>
      <c r="BTW84" s="1185"/>
      <c r="BTX84" s="1185"/>
      <c r="BTY84" s="1185"/>
      <c r="BTZ84" s="1185"/>
      <c r="BUA84" s="1185"/>
      <c r="BUB84" s="1185"/>
      <c r="BUC84" s="1185"/>
      <c r="BUD84" s="1185"/>
      <c r="BUE84" s="1185"/>
      <c r="BUF84" s="1185"/>
      <c r="BUG84" s="1185"/>
      <c r="BUH84" s="1185"/>
      <c r="BUI84" s="1185"/>
      <c r="BUJ84" s="1185"/>
      <c r="BUK84" s="1185"/>
      <c r="BUL84" s="1185"/>
      <c r="BUM84" s="1185"/>
      <c r="BUN84" s="1185"/>
      <c r="BUO84" s="1185"/>
      <c r="BUP84" s="1185"/>
      <c r="BUQ84" s="1185"/>
      <c r="BUR84" s="1185"/>
      <c r="BUS84" s="1185"/>
      <c r="BUT84" s="1185"/>
      <c r="BUU84" s="1185"/>
      <c r="BUV84" s="1185"/>
      <c r="BUW84" s="1185"/>
      <c r="BUX84" s="1185"/>
      <c r="BUY84" s="1185"/>
      <c r="BUZ84" s="1185"/>
      <c r="BVA84" s="1185"/>
      <c r="BVB84" s="1185"/>
      <c r="BVC84" s="1185"/>
      <c r="BVD84" s="1185"/>
      <c r="BVE84" s="1185"/>
      <c r="BVF84" s="1185"/>
      <c r="BVG84" s="1185"/>
      <c r="BVH84" s="1185"/>
      <c r="BVI84" s="1185"/>
      <c r="BVJ84" s="1185"/>
      <c r="BVK84" s="1185"/>
      <c r="BVL84" s="1185"/>
      <c r="BVM84" s="1185"/>
      <c r="BVN84" s="1185"/>
      <c r="BVO84" s="1185"/>
      <c r="BVP84" s="1185"/>
      <c r="BVQ84" s="1185"/>
      <c r="BVR84" s="1185"/>
      <c r="BVS84" s="1185"/>
      <c r="BVT84" s="1185"/>
      <c r="BVU84" s="1185"/>
      <c r="BVV84" s="1185"/>
      <c r="BVW84" s="1185"/>
      <c r="BVX84" s="1185"/>
      <c r="BVY84" s="1185"/>
      <c r="BVZ84" s="1185"/>
      <c r="BWA84" s="1185"/>
      <c r="BWB84" s="1185"/>
      <c r="BWC84" s="1185"/>
      <c r="BWD84" s="1185"/>
      <c r="BWE84" s="1185"/>
      <c r="BWF84" s="1185"/>
      <c r="BWG84" s="1185"/>
      <c r="BWH84" s="1185"/>
      <c r="BWI84" s="1185"/>
      <c r="BWJ84" s="1185"/>
      <c r="BWK84" s="1185"/>
      <c r="BWL84" s="1185"/>
      <c r="BWM84" s="1185"/>
      <c r="BWN84" s="1185"/>
      <c r="BWO84" s="1185"/>
      <c r="BWP84" s="1185"/>
      <c r="BWQ84" s="1185"/>
      <c r="BWR84" s="1185"/>
      <c r="BWS84" s="1185"/>
      <c r="BWT84" s="1185"/>
      <c r="BWU84" s="1185"/>
      <c r="BWV84" s="1185"/>
      <c r="BWW84" s="1185"/>
      <c r="BWX84" s="1185"/>
      <c r="BWY84" s="1185"/>
      <c r="BWZ84" s="1185"/>
      <c r="BXA84" s="1185"/>
      <c r="BXB84" s="1185"/>
      <c r="BXC84" s="1185"/>
      <c r="BXD84" s="1185"/>
      <c r="BXE84" s="1185"/>
      <c r="BXF84" s="1185"/>
      <c r="BXG84" s="1185"/>
      <c r="BXH84" s="1185"/>
      <c r="BXI84" s="1185"/>
      <c r="BXJ84" s="1185"/>
      <c r="BXK84" s="1185"/>
      <c r="BXL84" s="1185"/>
      <c r="BXM84" s="1185"/>
      <c r="BXN84" s="1185"/>
      <c r="BXO84" s="1185"/>
      <c r="BXP84" s="1185"/>
      <c r="BXQ84" s="1185"/>
      <c r="BXR84" s="1185"/>
      <c r="BXS84" s="1185"/>
      <c r="BXT84" s="1185"/>
      <c r="BXU84" s="1185"/>
      <c r="BXV84" s="1185"/>
      <c r="BXW84" s="1185"/>
      <c r="BXX84" s="1185"/>
      <c r="BXY84" s="1185"/>
      <c r="BXZ84" s="1185"/>
      <c r="BYA84" s="1185"/>
      <c r="BYB84" s="1185"/>
      <c r="BYC84" s="1185"/>
      <c r="BYD84" s="1185"/>
      <c r="BYE84" s="1185"/>
      <c r="BYF84" s="1185"/>
      <c r="BYG84" s="1185"/>
      <c r="BYH84" s="1185"/>
      <c r="BYI84" s="1185"/>
      <c r="BYJ84" s="1185"/>
      <c r="BYK84" s="1185"/>
      <c r="BYL84" s="1185"/>
      <c r="BYM84" s="1185"/>
      <c r="BYN84" s="1185"/>
      <c r="BYO84" s="1185"/>
      <c r="BYP84" s="1185"/>
      <c r="BYQ84" s="1185"/>
      <c r="BYR84" s="1185"/>
      <c r="BYS84" s="1185"/>
      <c r="BYT84" s="1185"/>
      <c r="BYU84" s="1185"/>
      <c r="BYV84" s="1185"/>
      <c r="BYW84" s="1185"/>
      <c r="BYX84" s="1185"/>
      <c r="BYY84" s="1185"/>
      <c r="BYZ84" s="1185"/>
      <c r="BZA84" s="1185"/>
      <c r="BZB84" s="1185"/>
      <c r="BZC84" s="1185"/>
      <c r="BZD84" s="1185"/>
      <c r="BZE84" s="1185"/>
      <c r="BZF84" s="1185"/>
      <c r="BZG84" s="1185"/>
      <c r="BZH84" s="1185"/>
      <c r="BZI84" s="1185"/>
      <c r="BZJ84" s="1185"/>
      <c r="BZK84" s="1185"/>
      <c r="BZL84" s="1185"/>
      <c r="BZM84" s="1185"/>
      <c r="BZN84" s="1185"/>
      <c r="BZO84" s="1185"/>
      <c r="BZP84" s="1185"/>
      <c r="BZQ84" s="1185"/>
      <c r="BZR84" s="1185"/>
      <c r="BZS84" s="1185"/>
      <c r="BZT84" s="1185"/>
      <c r="BZU84" s="1185"/>
      <c r="BZV84" s="1185"/>
      <c r="BZW84" s="1185"/>
      <c r="BZX84" s="1185"/>
      <c r="BZY84" s="1185"/>
      <c r="BZZ84" s="1185"/>
      <c r="CAA84" s="1185"/>
      <c r="CAB84" s="1185"/>
      <c r="CAC84" s="1185"/>
      <c r="CAD84" s="1185"/>
      <c r="CAE84" s="1185"/>
      <c r="CAF84" s="1185"/>
      <c r="CAG84" s="1185"/>
      <c r="CAH84" s="1185"/>
      <c r="CAI84" s="1185"/>
      <c r="CAJ84" s="1185"/>
      <c r="CAK84" s="1185"/>
      <c r="CAL84" s="1185"/>
      <c r="CAM84" s="1185"/>
      <c r="CAN84" s="1185"/>
      <c r="CAO84" s="1185"/>
      <c r="CAP84" s="1185"/>
      <c r="CAQ84" s="1185"/>
      <c r="CAR84" s="1185"/>
      <c r="CAS84" s="1185"/>
      <c r="CAT84" s="1185"/>
      <c r="CAU84" s="1185"/>
      <c r="CAV84" s="1185"/>
      <c r="CAW84" s="1185"/>
      <c r="CAX84" s="1185"/>
      <c r="CAY84" s="1185"/>
      <c r="CAZ84" s="1185"/>
      <c r="CBA84" s="1185"/>
      <c r="CBB84" s="1185"/>
      <c r="CBC84" s="1185"/>
      <c r="CBD84" s="1185"/>
      <c r="CBE84" s="1185"/>
      <c r="CBF84" s="1185"/>
      <c r="CBG84" s="1185"/>
      <c r="CBH84" s="1185"/>
      <c r="CBI84" s="1185"/>
      <c r="CBJ84" s="1185"/>
      <c r="CBK84" s="1185"/>
      <c r="CBL84" s="1185"/>
      <c r="CBM84" s="1185"/>
      <c r="CBN84" s="1185"/>
      <c r="CBO84" s="1185"/>
      <c r="CBP84" s="1185"/>
      <c r="CBQ84" s="1185"/>
      <c r="CBR84" s="1185"/>
      <c r="CBS84" s="1185"/>
      <c r="CBT84" s="1185"/>
      <c r="CBU84" s="1185"/>
      <c r="CBV84" s="1185"/>
      <c r="CBW84" s="1185"/>
      <c r="CBX84" s="1185"/>
      <c r="CBY84" s="1185"/>
      <c r="CBZ84" s="1185"/>
      <c r="CCA84" s="1185"/>
      <c r="CCB84" s="1185"/>
      <c r="CCC84" s="1185"/>
      <c r="CCD84" s="1185"/>
      <c r="CCE84" s="1185"/>
      <c r="CCF84" s="1185"/>
      <c r="CCG84" s="1185"/>
      <c r="CCH84" s="1185"/>
      <c r="CCI84" s="1185"/>
      <c r="CCJ84" s="1185"/>
      <c r="CCK84" s="1185"/>
      <c r="CCL84" s="1185"/>
      <c r="CCM84" s="1185"/>
      <c r="CCN84" s="1185"/>
      <c r="CCO84" s="1185"/>
      <c r="CCP84" s="1185"/>
      <c r="CCQ84" s="1185"/>
      <c r="CCR84" s="1185"/>
      <c r="CCS84" s="1185"/>
      <c r="CCT84" s="1185"/>
      <c r="CCU84" s="1185"/>
      <c r="CCV84" s="1185"/>
      <c r="CCW84" s="1185"/>
      <c r="CCX84" s="1185"/>
      <c r="CCY84" s="1185"/>
      <c r="CCZ84" s="1185"/>
      <c r="CDA84" s="1185"/>
      <c r="CDB84" s="1185"/>
      <c r="CDC84" s="1185"/>
      <c r="CDD84" s="1185"/>
      <c r="CDE84" s="1185"/>
      <c r="CDF84" s="1185"/>
      <c r="CDG84" s="1185"/>
      <c r="CDH84" s="1185"/>
      <c r="CDI84" s="1185"/>
      <c r="CDJ84" s="1185"/>
      <c r="CDK84" s="1185"/>
      <c r="CDL84" s="1185"/>
      <c r="CDM84" s="1185"/>
      <c r="CDN84" s="1185"/>
      <c r="CDO84" s="1185"/>
      <c r="CDP84" s="1185"/>
      <c r="CDQ84" s="1185"/>
      <c r="CDR84" s="1185"/>
      <c r="CDS84" s="1185"/>
      <c r="CDT84" s="1185"/>
      <c r="CDU84" s="1185"/>
      <c r="CDV84" s="1185"/>
      <c r="CDW84" s="1185"/>
      <c r="CDX84" s="1185"/>
      <c r="CDY84" s="1185"/>
      <c r="CDZ84" s="1185"/>
      <c r="CEA84" s="1185"/>
      <c r="CEB84" s="1185"/>
      <c r="CEC84" s="1185"/>
      <c r="CED84" s="1185"/>
      <c r="CEE84" s="1185"/>
      <c r="CEF84" s="1185"/>
      <c r="CEG84" s="1185"/>
      <c r="CEH84" s="1185"/>
      <c r="CEI84" s="1185"/>
      <c r="CEJ84" s="1185"/>
      <c r="CEK84" s="1185"/>
      <c r="CEL84" s="1185"/>
      <c r="CEM84" s="1185"/>
      <c r="CEN84" s="1185"/>
      <c r="CEO84" s="1185"/>
      <c r="CEP84" s="1185"/>
      <c r="CEQ84" s="1185"/>
      <c r="CER84" s="1185"/>
      <c r="CES84" s="1185"/>
      <c r="CET84" s="1185"/>
      <c r="CEU84" s="1185"/>
      <c r="CEV84" s="1185"/>
      <c r="CEW84" s="1185"/>
      <c r="CEX84" s="1185"/>
      <c r="CEY84" s="1185"/>
      <c r="CEZ84" s="1185"/>
      <c r="CFA84" s="1185"/>
      <c r="CFB84" s="1185"/>
      <c r="CFC84" s="1185"/>
      <c r="CFD84" s="1185"/>
      <c r="CFE84" s="1185"/>
      <c r="CFF84" s="1185"/>
      <c r="CFG84" s="1185"/>
      <c r="CFH84" s="1185"/>
      <c r="CFI84" s="1185"/>
      <c r="CFJ84" s="1185"/>
      <c r="CFK84" s="1185"/>
      <c r="CFL84" s="1185"/>
      <c r="CFM84" s="1185"/>
      <c r="CFN84" s="1185"/>
      <c r="CFO84" s="1185"/>
      <c r="CFP84" s="1185"/>
      <c r="CFQ84" s="1185"/>
      <c r="CFR84" s="1185"/>
      <c r="CFS84" s="1185"/>
      <c r="CFT84" s="1185"/>
      <c r="CFU84" s="1185"/>
      <c r="CFV84" s="1185"/>
      <c r="CFW84" s="1185"/>
      <c r="CFX84" s="1185"/>
      <c r="CFY84" s="1185"/>
      <c r="CFZ84" s="1185"/>
      <c r="CGA84" s="1185"/>
      <c r="CGB84" s="1185"/>
      <c r="CGC84" s="1185"/>
      <c r="CGD84" s="1185"/>
      <c r="CGE84" s="1185"/>
      <c r="CGF84" s="1185"/>
      <c r="CGG84" s="1185"/>
      <c r="CGH84" s="1185"/>
      <c r="CGI84" s="1185"/>
      <c r="CGJ84" s="1185"/>
      <c r="CGK84" s="1185"/>
      <c r="CGL84" s="1185"/>
      <c r="CGM84" s="1185"/>
      <c r="CGN84" s="1185"/>
      <c r="CGO84" s="1185"/>
      <c r="CGP84" s="1185"/>
      <c r="CGQ84" s="1185"/>
      <c r="CGR84" s="1185"/>
      <c r="CGS84" s="1185"/>
      <c r="CGT84" s="1185"/>
      <c r="CGU84" s="1185"/>
      <c r="CGV84" s="1185"/>
      <c r="CGW84" s="1185"/>
      <c r="CGX84" s="1185"/>
      <c r="CGY84" s="1185"/>
      <c r="CGZ84" s="1185"/>
      <c r="CHA84" s="1185"/>
      <c r="CHB84" s="1185"/>
      <c r="CHC84" s="1185"/>
      <c r="CHD84" s="1185"/>
      <c r="CHE84" s="1185"/>
      <c r="CHF84" s="1185"/>
      <c r="CHG84" s="1185"/>
      <c r="CHH84" s="1185"/>
      <c r="CHI84" s="1185"/>
      <c r="CHJ84" s="1185"/>
      <c r="CHK84" s="1185"/>
      <c r="CHL84" s="1185"/>
      <c r="CHM84" s="1185"/>
      <c r="CHN84" s="1185"/>
      <c r="CHO84" s="1185"/>
      <c r="CHP84" s="1185"/>
      <c r="CHQ84" s="1185"/>
      <c r="CHR84" s="1185"/>
      <c r="CHS84" s="1185"/>
      <c r="CHT84" s="1185"/>
      <c r="CHU84" s="1185"/>
      <c r="CHV84" s="1185"/>
      <c r="CHW84" s="1185"/>
      <c r="CHX84" s="1185"/>
      <c r="CHY84" s="1185"/>
      <c r="CHZ84" s="1185"/>
      <c r="CIA84" s="1185"/>
      <c r="CIB84" s="1185"/>
      <c r="CIC84" s="1185"/>
      <c r="CID84" s="1185"/>
      <c r="CIE84" s="1185"/>
      <c r="CIF84" s="1185"/>
      <c r="CIG84" s="1185"/>
      <c r="CIH84" s="1185"/>
      <c r="CII84" s="1185"/>
      <c r="CIJ84" s="1185"/>
      <c r="CIK84" s="1185"/>
      <c r="CIL84" s="1185"/>
      <c r="CIM84" s="1185"/>
      <c r="CIN84" s="1185"/>
      <c r="CIO84" s="1185"/>
      <c r="CIP84" s="1185"/>
      <c r="CIQ84" s="1185"/>
      <c r="CIR84" s="1185"/>
      <c r="CIS84" s="1185"/>
      <c r="CIT84" s="1185"/>
      <c r="CIU84" s="1185"/>
      <c r="CIV84" s="1185"/>
      <c r="CIW84" s="1185"/>
      <c r="CIX84" s="1185"/>
      <c r="CIY84" s="1185"/>
      <c r="CIZ84" s="1185"/>
      <c r="CJA84" s="1185"/>
      <c r="CJB84" s="1185"/>
      <c r="CJC84" s="1185"/>
      <c r="CJD84" s="1185"/>
      <c r="CJE84" s="1185"/>
      <c r="CJF84" s="1185"/>
      <c r="CJG84" s="1185"/>
      <c r="CJH84" s="1185"/>
      <c r="CJI84" s="1185"/>
      <c r="CJJ84" s="1185"/>
      <c r="CJK84" s="1185"/>
      <c r="CJL84" s="1185"/>
      <c r="CJM84" s="1185"/>
      <c r="CJN84" s="1185"/>
      <c r="CJO84" s="1185"/>
      <c r="CJP84" s="1185"/>
      <c r="CJQ84" s="1185"/>
      <c r="CJR84" s="1185"/>
      <c r="CJS84" s="1185"/>
      <c r="CJT84" s="1185"/>
      <c r="CJU84" s="1185"/>
      <c r="CJV84" s="1185"/>
      <c r="CJW84" s="1185"/>
      <c r="CJX84" s="1185"/>
      <c r="CJY84" s="1185"/>
      <c r="CJZ84" s="1185"/>
      <c r="CKA84" s="1185"/>
      <c r="CKB84" s="1185"/>
      <c r="CKC84" s="1185"/>
      <c r="CKD84" s="1185"/>
      <c r="CKE84" s="1185"/>
      <c r="CKF84" s="1185"/>
      <c r="CKG84" s="1185"/>
      <c r="CKH84" s="1185"/>
      <c r="CKI84" s="1185"/>
      <c r="CKJ84" s="1185"/>
      <c r="CKK84" s="1185"/>
      <c r="CKL84" s="1185"/>
      <c r="CKM84" s="1185"/>
      <c r="CKN84" s="1185"/>
      <c r="CKO84" s="1185"/>
      <c r="CKP84" s="1185"/>
      <c r="CKQ84" s="1185"/>
      <c r="CKR84" s="1185"/>
      <c r="CKS84" s="1185"/>
      <c r="CKT84" s="1185"/>
      <c r="CKU84" s="1185"/>
      <c r="CKV84" s="1185"/>
      <c r="CKW84" s="1185"/>
      <c r="CKX84" s="1185"/>
      <c r="CKY84" s="1185"/>
      <c r="CKZ84" s="1185"/>
      <c r="CLA84" s="1185"/>
      <c r="CLB84" s="1185"/>
      <c r="CLC84" s="1185"/>
      <c r="CLD84" s="1185"/>
      <c r="CLE84" s="1185"/>
      <c r="CLF84" s="1185"/>
      <c r="CLG84" s="1185"/>
      <c r="CLH84" s="1185"/>
      <c r="CLI84" s="1185"/>
      <c r="CLJ84" s="1185"/>
      <c r="CLK84" s="1185"/>
      <c r="CLL84" s="1185"/>
      <c r="CLM84" s="1185"/>
      <c r="CLN84" s="1185"/>
      <c r="CLO84" s="1185"/>
      <c r="CLP84" s="1185"/>
      <c r="CLQ84" s="1185"/>
      <c r="CLR84" s="1185"/>
      <c r="CLS84" s="1185"/>
      <c r="CLT84" s="1185"/>
      <c r="CLU84" s="1185"/>
      <c r="CLV84" s="1185"/>
      <c r="CLW84" s="1185"/>
      <c r="CLX84" s="1185"/>
      <c r="CLY84" s="1185"/>
      <c r="CLZ84" s="1185"/>
      <c r="CMA84" s="1185"/>
      <c r="CMB84" s="1185"/>
      <c r="CMC84" s="1185"/>
      <c r="CMD84" s="1185"/>
      <c r="CME84" s="1185"/>
      <c r="CMF84" s="1185"/>
      <c r="CMG84" s="1185"/>
      <c r="CMH84" s="1185"/>
      <c r="CMI84" s="1185"/>
      <c r="CMJ84" s="1185"/>
      <c r="CMK84" s="1185"/>
      <c r="CML84" s="1185"/>
      <c r="CMM84" s="1185"/>
      <c r="CMN84" s="1185"/>
      <c r="CMO84" s="1185"/>
      <c r="CMP84" s="1185"/>
      <c r="CMQ84" s="1185"/>
      <c r="CMR84" s="1185"/>
      <c r="CMS84" s="1185"/>
      <c r="CMT84" s="1185"/>
      <c r="CMU84" s="1185"/>
      <c r="CMV84" s="1185"/>
      <c r="CMW84" s="1185"/>
      <c r="CMX84" s="1185"/>
      <c r="CMY84" s="1185"/>
      <c r="CMZ84" s="1185"/>
      <c r="CNA84" s="1185"/>
      <c r="CNB84" s="1185"/>
      <c r="CNC84" s="1185"/>
      <c r="CND84" s="1185"/>
      <c r="CNE84" s="1185"/>
      <c r="CNF84" s="1185"/>
      <c r="CNG84" s="1185"/>
      <c r="CNH84" s="1185"/>
      <c r="CNI84" s="1185"/>
      <c r="CNJ84" s="1185"/>
      <c r="CNK84" s="1185"/>
      <c r="CNL84" s="1185"/>
      <c r="CNM84" s="1185"/>
      <c r="CNN84" s="1185"/>
      <c r="CNO84" s="1185"/>
      <c r="CNP84" s="1185"/>
      <c r="CNQ84" s="1185"/>
      <c r="CNR84" s="1185"/>
      <c r="CNS84" s="1185"/>
      <c r="CNT84" s="1185"/>
      <c r="CNU84" s="1185"/>
      <c r="CNV84" s="1185"/>
      <c r="CNW84" s="1185"/>
      <c r="CNX84" s="1185"/>
      <c r="CNY84" s="1185"/>
      <c r="CNZ84" s="1185"/>
      <c r="COA84" s="1185"/>
      <c r="COB84" s="1185"/>
      <c r="COC84" s="1185"/>
      <c r="COD84" s="1185"/>
      <c r="COE84" s="1185"/>
      <c r="COF84" s="1185"/>
      <c r="COG84" s="1185"/>
      <c r="COH84" s="1185"/>
      <c r="COI84" s="1185"/>
      <c r="COJ84" s="1185"/>
      <c r="COK84" s="1185"/>
      <c r="COL84" s="1185"/>
      <c r="COM84" s="1185"/>
      <c r="CON84" s="1185"/>
      <c r="COO84" s="1185"/>
      <c r="COP84" s="1185"/>
      <c r="COQ84" s="1185"/>
      <c r="COR84" s="1185"/>
      <c r="COS84" s="1185"/>
      <c r="COT84" s="1185"/>
      <c r="COU84" s="1185"/>
      <c r="COV84" s="1185"/>
      <c r="COW84" s="1185"/>
      <c r="COX84" s="1185"/>
      <c r="COY84" s="1185"/>
      <c r="COZ84" s="1185"/>
      <c r="CPA84" s="1185"/>
      <c r="CPB84" s="1185"/>
      <c r="CPC84" s="1185"/>
      <c r="CPD84" s="1185"/>
      <c r="CPE84" s="1185"/>
      <c r="CPF84" s="1185"/>
      <c r="CPG84" s="1185"/>
      <c r="CPH84" s="1185"/>
      <c r="CPI84" s="1185"/>
      <c r="CPJ84" s="1185"/>
      <c r="CPK84" s="1185"/>
      <c r="CPL84" s="1185"/>
      <c r="CPM84" s="1185"/>
      <c r="CPN84" s="1185"/>
      <c r="CPO84" s="1185"/>
      <c r="CPP84" s="1185"/>
      <c r="CPQ84" s="1185"/>
      <c r="CPR84" s="1185"/>
      <c r="CPS84" s="1185"/>
      <c r="CPT84" s="1185"/>
      <c r="CPU84" s="1185"/>
      <c r="CPV84" s="1185"/>
      <c r="CPW84" s="1185"/>
      <c r="CPX84" s="1185"/>
      <c r="CPY84" s="1185"/>
      <c r="CPZ84" s="1185"/>
      <c r="CQA84" s="1185"/>
      <c r="CQB84" s="1185"/>
      <c r="CQC84" s="1185"/>
      <c r="CQD84" s="1185"/>
      <c r="CQE84" s="1185"/>
      <c r="CQF84" s="1185"/>
      <c r="CQG84" s="1185"/>
      <c r="CQH84" s="1185"/>
      <c r="CQI84" s="1185"/>
      <c r="CQJ84" s="1185"/>
      <c r="CQK84" s="1185"/>
      <c r="CQL84" s="1185"/>
      <c r="CQM84" s="1185"/>
      <c r="CQN84" s="1185"/>
      <c r="CQO84" s="1185"/>
      <c r="CQP84" s="1185"/>
      <c r="CQQ84" s="1185"/>
      <c r="CQR84" s="1185"/>
      <c r="CQS84" s="1185"/>
      <c r="CQT84" s="1185"/>
      <c r="CQU84" s="1185"/>
      <c r="CQV84" s="1185"/>
      <c r="CQW84" s="1185"/>
      <c r="CQX84" s="1185"/>
      <c r="CQY84" s="1185"/>
      <c r="CQZ84" s="1185"/>
      <c r="CRA84" s="1185"/>
      <c r="CRB84" s="1185"/>
      <c r="CRC84" s="1185"/>
      <c r="CRD84" s="1185"/>
      <c r="CRE84" s="1185"/>
      <c r="CRF84" s="1185"/>
      <c r="CRG84" s="1185"/>
      <c r="CRH84" s="1185"/>
      <c r="CRI84" s="1185"/>
      <c r="CRJ84" s="1185"/>
      <c r="CRK84" s="1185"/>
      <c r="CRL84" s="1185"/>
      <c r="CRM84" s="1185"/>
      <c r="CRN84" s="1185"/>
      <c r="CRO84" s="1185"/>
      <c r="CRP84" s="1185"/>
      <c r="CRQ84" s="1185"/>
      <c r="CRR84" s="1185"/>
      <c r="CRS84" s="1185"/>
      <c r="CRT84" s="1185"/>
      <c r="CRU84" s="1185"/>
      <c r="CRV84" s="1185"/>
      <c r="CRW84" s="1185"/>
      <c r="CRX84" s="1185"/>
      <c r="CRY84" s="1185"/>
      <c r="CRZ84" s="1185"/>
      <c r="CSA84" s="1185"/>
      <c r="CSB84" s="1185"/>
      <c r="CSC84" s="1185"/>
      <c r="CSD84" s="1185"/>
      <c r="CSE84" s="1185"/>
      <c r="CSF84" s="1185"/>
      <c r="CSG84" s="1185"/>
      <c r="CSH84" s="1185"/>
      <c r="CSI84" s="1185"/>
      <c r="CSJ84" s="1185"/>
      <c r="CSK84" s="1185"/>
      <c r="CSL84" s="1185"/>
      <c r="CSM84" s="1185"/>
      <c r="CSN84" s="1185"/>
      <c r="CSO84" s="1185"/>
      <c r="CSP84" s="1185"/>
      <c r="CSQ84" s="1185"/>
      <c r="CSR84" s="1185"/>
      <c r="CSS84" s="1185"/>
      <c r="CST84" s="1185"/>
      <c r="CSU84" s="1185"/>
      <c r="CSV84" s="1185"/>
      <c r="CSW84" s="1185"/>
      <c r="CSX84" s="1185"/>
      <c r="CSY84" s="1185"/>
      <c r="CSZ84" s="1185"/>
      <c r="CTA84" s="1185"/>
      <c r="CTB84" s="1185"/>
      <c r="CTC84" s="1185"/>
      <c r="CTD84" s="1185"/>
      <c r="CTE84" s="1185"/>
      <c r="CTF84" s="1185"/>
      <c r="CTG84" s="1185"/>
      <c r="CTH84" s="1185"/>
      <c r="CTI84" s="1185"/>
      <c r="CTJ84" s="1185"/>
      <c r="CTK84" s="1185"/>
      <c r="CTL84" s="1185"/>
      <c r="CTM84" s="1185"/>
      <c r="CTN84" s="1185"/>
      <c r="CTO84" s="1185"/>
      <c r="CTP84" s="1185"/>
      <c r="CTQ84" s="1185"/>
      <c r="CTR84" s="1185"/>
      <c r="CTS84" s="1185"/>
      <c r="CTT84" s="1185"/>
      <c r="CTU84" s="1185"/>
      <c r="CTV84" s="1185"/>
      <c r="CTW84" s="1185"/>
      <c r="CTX84" s="1185"/>
      <c r="CTY84" s="1185"/>
      <c r="CTZ84" s="1185"/>
      <c r="CUA84" s="1185"/>
      <c r="CUB84" s="1185"/>
      <c r="CUC84" s="1185"/>
      <c r="CUD84" s="1185"/>
      <c r="CUE84" s="1185"/>
      <c r="CUF84" s="1185"/>
      <c r="CUG84" s="1185"/>
      <c r="CUH84" s="1185"/>
      <c r="CUI84" s="1185"/>
      <c r="CUJ84" s="1185"/>
      <c r="CUK84" s="1185"/>
      <c r="CUL84" s="1185"/>
      <c r="CUM84" s="1185"/>
      <c r="CUN84" s="1185"/>
      <c r="CUO84" s="1185"/>
      <c r="CUP84" s="1185"/>
      <c r="CUQ84" s="1185"/>
      <c r="CUR84" s="1185"/>
      <c r="CUS84" s="1185"/>
      <c r="CUT84" s="1185"/>
      <c r="CUU84" s="1185"/>
      <c r="CUV84" s="1185"/>
      <c r="CUW84" s="1185"/>
      <c r="CUX84" s="1185"/>
      <c r="CUY84" s="1185"/>
      <c r="CUZ84" s="1185"/>
      <c r="CVA84" s="1185"/>
      <c r="CVB84" s="1185"/>
      <c r="CVC84" s="1185"/>
      <c r="CVD84" s="1185"/>
      <c r="CVE84" s="1185"/>
      <c r="CVF84" s="1185"/>
      <c r="CVG84" s="1185"/>
      <c r="CVH84" s="1185"/>
      <c r="CVI84" s="1185"/>
      <c r="CVJ84" s="1185"/>
      <c r="CVK84" s="1185"/>
      <c r="CVL84" s="1185"/>
      <c r="CVM84" s="1185"/>
      <c r="CVN84" s="1185"/>
      <c r="CVO84" s="1185"/>
      <c r="CVP84" s="1185"/>
      <c r="CVQ84" s="1185"/>
      <c r="CVR84" s="1185"/>
      <c r="CVS84" s="1185"/>
      <c r="CVT84" s="1185"/>
      <c r="CVU84" s="1185"/>
      <c r="CVV84" s="1185"/>
      <c r="CVW84" s="1185"/>
      <c r="CVX84" s="1185"/>
      <c r="CVY84" s="1185"/>
      <c r="CVZ84" s="1185"/>
      <c r="CWA84" s="1185"/>
      <c r="CWB84" s="1185"/>
      <c r="CWC84" s="1185"/>
      <c r="CWD84" s="1185"/>
      <c r="CWE84" s="1185"/>
      <c r="CWF84" s="1185"/>
      <c r="CWG84" s="1185"/>
      <c r="CWH84" s="1185"/>
      <c r="CWI84" s="1185"/>
      <c r="CWJ84" s="1185"/>
      <c r="CWK84" s="1185"/>
      <c r="CWL84" s="1185"/>
      <c r="CWM84" s="1185"/>
      <c r="CWN84" s="1185"/>
      <c r="CWO84" s="1185"/>
      <c r="CWP84" s="1185"/>
      <c r="CWQ84" s="1185"/>
      <c r="CWR84" s="1185"/>
      <c r="CWS84" s="1185"/>
      <c r="CWT84" s="1185"/>
      <c r="CWU84" s="1185"/>
      <c r="CWV84" s="1185"/>
      <c r="CWW84" s="1185"/>
      <c r="CWX84" s="1185"/>
      <c r="CWY84" s="1185"/>
      <c r="CWZ84" s="1185"/>
      <c r="CXA84" s="1185"/>
      <c r="CXB84" s="1185"/>
      <c r="CXC84" s="1185"/>
      <c r="CXD84" s="1185"/>
      <c r="CXE84" s="1185"/>
      <c r="CXF84" s="1185"/>
      <c r="CXG84" s="1185"/>
      <c r="CXH84" s="1185"/>
      <c r="CXI84" s="1185"/>
      <c r="CXJ84" s="1185"/>
      <c r="CXK84" s="1185"/>
      <c r="CXL84" s="1185"/>
      <c r="CXM84" s="1185"/>
      <c r="CXN84" s="1185"/>
      <c r="CXO84" s="1185"/>
      <c r="CXP84" s="1185"/>
      <c r="CXQ84" s="1185"/>
      <c r="CXR84" s="1185"/>
      <c r="CXS84" s="1185"/>
      <c r="CXT84" s="1185"/>
      <c r="CXU84" s="1185"/>
      <c r="CXV84" s="1185"/>
      <c r="CXW84" s="1185"/>
      <c r="CXX84" s="1185"/>
      <c r="CXY84" s="1185"/>
      <c r="CXZ84" s="1185"/>
      <c r="CYA84" s="1185"/>
      <c r="CYB84" s="1185"/>
      <c r="CYC84" s="1185"/>
      <c r="CYD84" s="1185"/>
      <c r="CYE84" s="1185"/>
      <c r="CYF84" s="1185"/>
      <c r="CYG84" s="1185"/>
      <c r="CYH84" s="1185"/>
      <c r="CYI84" s="1185"/>
      <c r="CYJ84" s="1185"/>
      <c r="CYK84" s="1185"/>
      <c r="CYL84" s="1185"/>
      <c r="CYM84" s="1185"/>
      <c r="CYN84" s="1185"/>
      <c r="CYO84" s="1185"/>
      <c r="CYP84" s="1185"/>
      <c r="CYQ84" s="1185"/>
      <c r="CYR84" s="1185"/>
      <c r="CYS84" s="1185"/>
      <c r="CYT84" s="1185"/>
      <c r="CYU84" s="1185"/>
      <c r="CYV84" s="1185"/>
      <c r="CYW84" s="1185"/>
      <c r="CYX84" s="1185"/>
      <c r="CYY84" s="1185"/>
      <c r="CYZ84" s="1185"/>
      <c r="CZA84" s="1185"/>
      <c r="CZB84" s="1185"/>
      <c r="CZC84" s="1185"/>
      <c r="CZD84" s="1185"/>
      <c r="CZE84" s="1185"/>
      <c r="CZF84" s="1185"/>
      <c r="CZG84" s="1185"/>
      <c r="CZH84" s="1185"/>
      <c r="CZI84" s="1185"/>
      <c r="CZJ84" s="1185"/>
      <c r="CZK84" s="1185"/>
      <c r="CZL84" s="1185"/>
      <c r="CZM84" s="1185"/>
      <c r="CZN84" s="1185"/>
      <c r="CZO84" s="1185"/>
      <c r="CZP84" s="1185"/>
      <c r="CZQ84" s="1185"/>
      <c r="CZR84" s="1185"/>
      <c r="CZS84" s="1185"/>
      <c r="CZT84" s="1185"/>
      <c r="CZU84" s="1185"/>
      <c r="CZV84" s="1185"/>
      <c r="CZW84" s="1185"/>
      <c r="CZX84" s="1185"/>
      <c r="CZY84" s="1185"/>
      <c r="CZZ84" s="1185"/>
      <c r="DAA84" s="1185"/>
      <c r="DAB84" s="1185"/>
      <c r="DAC84" s="1185"/>
      <c r="DAD84" s="1185"/>
      <c r="DAE84" s="1185"/>
      <c r="DAF84" s="1185"/>
      <c r="DAG84" s="1185"/>
      <c r="DAH84" s="1185"/>
      <c r="DAI84" s="1185"/>
      <c r="DAJ84" s="1185"/>
      <c r="DAK84" s="1185"/>
      <c r="DAL84" s="1185"/>
      <c r="DAM84" s="1185"/>
      <c r="DAN84" s="1185"/>
      <c r="DAO84" s="1185"/>
      <c r="DAP84" s="1185"/>
      <c r="DAQ84" s="1185"/>
      <c r="DAR84" s="1185"/>
      <c r="DAS84" s="1185"/>
      <c r="DAT84" s="1185"/>
      <c r="DAU84" s="1185"/>
      <c r="DAV84" s="1185"/>
      <c r="DAW84" s="1185"/>
      <c r="DAX84" s="1185"/>
      <c r="DAY84" s="1185"/>
      <c r="DAZ84" s="1185"/>
      <c r="DBA84" s="1185"/>
      <c r="DBB84" s="1185"/>
      <c r="DBC84" s="1185"/>
      <c r="DBD84" s="1185"/>
      <c r="DBE84" s="1185"/>
      <c r="DBF84" s="1185"/>
      <c r="DBG84" s="1185"/>
      <c r="DBH84" s="1185"/>
      <c r="DBI84" s="1185"/>
      <c r="DBJ84" s="1185"/>
      <c r="DBK84" s="1185"/>
      <c r="DBL84" s="1185"/>
      <c r="DBM84" s="1185"/>
      <c r="DBN84" s="1185"/>
      <c r="DBO84" s="1185"/>
      <c r="DBP84" s="1185"/>
      <c r="DBQ84" s="1185"/>
      <c r="DBR84" s="1185"/>
      <c r="DBS84" s="1185"/>
      <c r="DBT84" s="1185"/>
      <c r="DBU84" s="1185"/>
      <c r="DBV84" s="1185"/>
      <c r="DBW84" s="1185"/>
      <c r="DBX84" s="1185"/>
      <c r="DBY84" s="1185"/>
      <c r="DBZ84" s="1185"/>
      <c r="DCA84" s="1185"/>
      <c r="DCB84" s="1185"/>
      <c r="DCC84" s="1185"/>
      <c r="DCD84" s="1185"/>
      <c r="DCE84" s="1185"/>
      <c r="DCF84" s="1185"/>
      <c r="DCG84" s="1185"/>
      <c r="DCH84" s="1185"/>
      <c r="DCI84" s="1185"/>
      <c r="DCJ84" s="1185"/>
      <c r="DCK84" s="1185"/>
      <c r="DCL84" s="1185"/>
      <c r="DCM84" s="1185"/>
      <c r="DCN84" s="1185"/>
      <c r="DCO84" s="1185"/>
      <c r="DCP84" s="1185"/>
      <c r="DCQ84" s="1185"/>
      <c r="DCR84" s="1185"/>
      <c r="DCS84" s="1185"/>
      <c r="DCT84" s="1185"/>
      <c r="DCU84" s="1185"/>
      <c r="DCV84" s="1185"/>
      <c r="DCW84" s="1185"/>
      <c r="DCX84" s="1185"/>
      <c r="DCY84" s="1185"/>
      <c r="DCZ84" s="1185"/>
      <c r="DDA84" s="1185"/>
      <c r="DDB84" s="1185"/>
      <c r="DDC84" s="1185"/>
      <c r="DDD84" s="1185"/>
      <c r="DDE84" s="1185"/>
      <c r="DDF84" s="1185"/>
      <c r="DDG84" s="1185"/>
      <c r="DDH84" s="1185"/>
      <c r="DDI84" s="1185"/>
      <c r="DDJ84" s="1185"/>
      <c r="DDK84" s="1185"/>
      <c r="DDL84" s="1185"/>
      <c r="DDM84" s="1185"/>
      <c r="DDN84" s="1185"/>
      <c r="DDO84" s="1185"/>
      <c r="DDP84" s="1185"/>
      <c r="DDQ84" s="1185"/>
      <c r="DDR84" s="1185"/>
      <c r="DDS84" s="1185"/>
      <c r="DDT84" s="1185"/>
      <c r="DDU84" s="1185"/>
      <c r="DDV84" s="1185"/>
      <c r="DDW84" s="1185"/>
      <c r="DDX84" s="1185"/>
      <c r="DDY84" s="1185"/>
      <c r="DDZ84" s="1185"/>
      <c r="DEA84" s="1185"/>
      <c r="DEB84" s="1185"/>
      <c r="DEC84" s="1185"/>
      <c r="DED84" s="1185"/>
      <c r="DEE84" s="1185"/>
      <c r="DEF84" s="1185"/>
      <c r="DEG84" s="1185"/>
      <c r="DEH84" s="1185"/>
      <c r="DEI84" s="1185"/>
      <c r="DEJ84" s="1185"/>
      <c r="DEK84" s="1185"/>
      <c r="DEL84" s="1185"/>
      <c r="DEM84" s="1185"/>
      <c r="DEN84" s="1185"/>
      <c r="DEO84" s="1185"/>
      <c r="DEP84" s="1185"/>
      <c r="DEQ84" s="1185"/>
      <c r="DER84" s="1185"/>
      <c r="DES84" s="1185"/>
      <c r="DET84" s="1185"/>
      <c r="DEU84" s="1185"/>
      <c r="DEV84" s="1185"/>
      <c r="DEW84" s="1185"/>
      <c r="DEX84" s="1185"/>
      <c r="DEY84" s="1185"/>
      <c r="DEZ84" s="1185"/>
      <c r="DFA84" s="1185"/>
      <c r="DFB84" s="1185"/>
      <c r="DFC84" s="1185"/>
      <c r="DFD84" s="1185"/>
      <c r="DFE84" s="1185"/>
      <c r="DFF84" s="1185"/>
      <c r="DFG84" s="1185"/>
      <c r="DFH84" s="1185"/>
      <c r="DFI84" s="1185"/>
      <c r="DFJ84" s="1185"/>
      <c r="DFK84" s="1185"/>
      <c r="DFL84" s="1185"/>
      <c r="DFM84" s="1185"/>
      <c r="DFN84" s="1185"/>
      <c r="DFO84" s="1185"/>
      <c r="DFP84" s="1185"/>
      <c r="DFQ84" s="1185"/>
      <c r="DFR84" s="1185"/>
      <c r="DFS84" s="1185"/>
      <c r="DFT84" s="1185"/>
      <c r="DFU84" s="1185"/>
      <c r="DFV84" s="1185"/>
      <c r="DFW84" s="1185"/>
      <c r="DFX84" s="1185"/>
      <c r="DFY84" s="1185"/>
      <c r="DFZ84" s="1185"/>
      <c r="DGA84" s="1185"/>
      <c r="DGB84" s="1185"/>
      <c r="DGC84" s="1185"/>
      <c r="DGD84" s="1185"/>
      <c r="DGE84" s="1185"/>
      <c r="DGF84" s="1185"/>
      <c r="DGG84" s="1185"/>
      <c r="DGH84" s="1185"/>
      <c r="DGI84" s="1185"/>
      <c r="DGJ84" s="1185"/>
      <c r="DGK84" s="1185"/>
      <c r="DGL84" s="1185"/>
      <c r="DGM84" s="1185"/>
      <c r="DGN84" s="1185"/>
      <c r="DGO84" s="1185"/>
      <c r="DGP84" s="1185"/>
      <c r="DGQ84" s="1185"/>
      <c r="DGR84" s="1185"/>
      <c r="DGS84" s="1185"/>
      <c r="DGT84" s="1185"/>
      <c r="DGU84" s="1185"/>
      <c r="DGV84" s="1185"/>
      <c r="DGW84" s="1185"/>
      <c r="DGX84" s="1185"/>
      <c r="DGY84" s="1185"/>
      <c r="DGZ84" s="1185"/>
      <c r="DHA84" s="1185"/>
      <c r="DHB84" s="1185"/>
      <c r="DHC84" s="1185"/>
      <c r="DHD84" s="1185"/>
      <c r="DHE84" s="1185"/>
      <c r="DHF84" s="1185"/>
      <c r="DHG84" s="1185"/>
      <c r="DHH84" s="1185"/>
      <c r="DHI84" s="1185"/>
      <c r="DHJ84" s="1185"/>
      <c r="DHK84" s="1185"/>
      <c r="DHL84" s="1185"/>
      <c r="DHM84" s="1185"/>
      <c r="DHN84" s="1185"/>
      <c r="DHO84" s="1185"/>
      <c r="DHP84" s="1185"/>
      <c r="DHQ84" s="1185"/>
      <c r="DHR84" s="1185"/>
      <c r="DHS84" s="1185"/>
      <c r="DHT84" s="1185"/>
      <c r="DHU84" s="1185"/>
      <c r="DHV84" s="1185"/>
      <c r="DHW84" s="1185"/>
      <c r="DHX84" s="1185"/>
      <c r="DHY84" s="1185"/>
      <c r="DHZ84" s="1185"/>
      <c r="DIA84" s="1185"/>
      <c r="DIB84" s="1185"/>
      <c r="DIC84" s="1185"/>
      <c r="DID84" s="1185"/>
      <c r="DIE84" s="1185"/>
      <c r="DIF84" s="1185"/>
      <c r="DIG84" s="1185"/>
      <c r="DIH84" s="1185"/>
      <c r="DII84" s="1185"/>
      <c r="DIJ84" s="1185"/>
      <c r="DIK84" s="1185"/>
      <c r="DIL84" s="1185"/>
      <c r="DIM84" s="1185"/>
      <c r="DIN84" s="1185"/>
      <c r="DIO84" s="1185"/>
      <c r="DIP84" s="1185"/>
      <c r="DIQ84" s="1185"/>
      <c r="DIR84" s="1185"/>
      <c r="DIS84" s="1185"/>
      <c r="DIT84" s="1185"/>
      <c r="DIU84" s="1185"/>
      <c r="DIV84" s="1185"/>
      <c r="DIW84" s="1185"/>
      <c r="DIX84" s="1185"/>
      <c r="DIY84" s="1185"/>
      <c r="DIZ84" s="1185"/>
      <c r="DJA84" s="1185"/>
      <c r="DJB84" s="1185"/>
      <c r="DJC84" s="1185"/>
      <c r="DJD84" s="1185"/>
      <c r="DJE84" s="1185"/>
      <c r="DJF84" s="1185"/>
      <c r="DJG84" s="1185"/>
      <c r="DJH84" s="1185"/>
      <c r="DJI84" s="1185"/>
      <c r="DJJ84" s="1185"/>
      <c r="DJK84" s="1185"/>
      <c r="DJL84" s="1185"/>
      <c r="DJM84" s="1185"/>
      <c r="DJN84" s="1185"/>
      <c r="DJO84" s="1185"/>
      <c r="DJP84" s="1185"/>
      <c r="DJQ84" s="1185"/>
      <c r="DJR84" s="1185"/>
      <c r="DJS84" s="1185"/>
      <c r="DJT84" s="1185"/>
      <c r="DJU84" s="1185"/>
      <c r="DJV84" s="1185"/>
      <c r="DJW84" s="1185"/>
      <c r="DJX84" s="1185"/>
      <c r="DJY84" s="1185"/>
      <c r="DJZ84" s="1185"/>
      <c r="DKA84" s="1185"/>
      <c r="DKB84" s="1185"/>
      <c r="DKC84" s="1185"/>
      <c r="DKD84" s="1185"/>
      <c r="DKE84" s="1185"/>
      <c r="DKF84" s="1185"/>
      <c r="DKG84" s="1185"/>
      <c r="DKH84" s="1185"/>
      <c r="DKI84" s="1185"/>
      <c r="DKJ84" s="1185"/>
      <c r="DKK84" s="1185"/>
      <c r="DKL84" s="1185"/>
      <c r="DKM84" s="1185"/>
      <c r="DKN84" s="1185"/>
      <c r="DKO84" s="1185"/>
      <c r="DKP84" s="1185"/>
      <c r="DKQ84" s="1185"/>
      <c r="DKR84" s="1185"/>
      <c r="DKS84" s="1185"/>
      <c r="DKT84" s="1185"/>
      <c r="DKU84" s="1185"/>
      <c r="DKV84" s="1185"/>
      <c r="DKW84" s="1185"/>
      <c r="DKX84" s="1185"/>
      <c r="DKY84" s="1185"/>
      <c r="DKZ84" s="1185"/>
      <c r="DLA84" s="1185"/>
      <c r="DLB84" s="1185"/>
      <c r="DLC84" s="1185"/>
      <c r="DLD84" s="1185"/>
      <c r="DLE84" s="1185"/>
      <c r="DLF84" s="1185"/>
      <c r="DLG84" s="1185"/>
      <c r="DLH84" s="1185"/>
      <c r="DLI84" s="1185"/>
      <c r="DLJ84" s="1185"/>
      <c r="DLK84" s="1185"/>
      <c r="DLL84" s="1185"/>
      <c r="DLM84" s="1185"/>
      <c r="DLN84" s="1185"/>
      <c r="DLO84" s="1185"/>
      <c r="DLP84" s="1185"/>
      <c r="DLQ84" s="1185"/>
      <c r="DLR84" s="1185"/>
      <c r="DLS84" s="1185"/>
      <c r="DLT84" s="1185"/>
      <c r="DLU84" s="1185"/>
      <c r="DLV84" s="1185"/>
      <c r="DLW84" s="1185"/>
      <c r="DLX84" s="1185"/>
      <c r="DLY84" s="1185"/>
      <c r="DLZ84" s="1185"/>
      <c r="DMA84" s="1185"/>
      <c r="DMB84" s="1185"/>
      <c r="DMC84" s="1185"/>
      <c r="DMD84" s="1185"/>
      <c r="DME84" s="1185"/>
      <c r="DMF84" s="1185"/>
      <c r="DMG84" s="1185"/>
      <c r="DMH84" s="1185"/>
      <c r="DMI84" s="1185"/>
      <c r="DMJ84" s="1185"/>
      <c r="DMK84" s="1185"/>
      <c r="DML84" s="1185"/>
      <c r="DMM84" s="1185"/>
      <c r="DMN84" s="1185"/>
      <c r="DMO84" s="1185"/>
      <c r="DMP84" s="1185"/>
      <c r="DMQ84" s="1185"/>
      <c r="DMR84" s="1185"/>
      <c r="DMS84" s="1185"/>
      <c r="DMT84" s="1185"/>
      <c r="DMU84" s="1185"/>
      <c r="DMV84" s="1185"/>
      <c r="DMW84" s="1185"/>
      <c r="DMX84" s="1185"/>
      <c r="DMY84" s="1185"/>
      <c r="DMZ84" s="1185"/>
      <c r="DNA84" s="1185"/>
      <c r="DNB84" s="1185"/>
      <c r="DNC84" s="1185"/>
      <c r="DND84" s="1185"/>
      <c r="DNE84" s="1185"/>
      <c r="DNF84" s="1185"/>
      <c r="DNG84" s="1185"/>
      <c r="DNH84" s="1185"/>
      <c r="DNI84" s="1185"/>
      <c r="DNJ84" s="1185"/>
      <c r="DNK84" s="1185"/>
      <c r="DNL84" s="1185"/>
      <c r="DNM84" s="1185"/>
      <c r="DNN84" s="1185"/>
      <c r="DNO84" s="1185"/>
      <c r="DNP84" s="1185"/>
      <c r="DNQ84" s="1185"/>
      <c r="DNR84" s="1185"/>
      <c r="DNS84" s="1185"/>
      <c r="DNT84" s="1185"/>
      <c r="DNU84" s="1185"/>
      <c r="DNV84" s="1185"/>
      <c r="DNW84" s="1185"/>
      <c r="DNX84" s="1185"/>
      <c r="DNY84" s="1185"/>
      <c r="DNZ84" s="1185"/>
      <c r="DOA84" s="1185"/>
      <c r="DOB84" s="1185"/>
      <c r="DOC84" s="1185"/>
      <c r="DOD84" s="1185"/>
      <c r="DOE84" s="1185"/>
      <c r="DOF84" s="1185"/>
      <c r="DOG84" s="1185"/>
      <c r="DOH84" s="1185"/>
      <c r="DOI84" s="1185"/>
      <c r="DOJ84" s="1185"/>
      <c r="DOK84" s="1185"/>
      <c r="DOL84" s="1185"/>
      <c r="DOM84" s="1185"/>
      <c r="DON84" s="1185"/>
      <c r="DOO84" s="1185"/>
      <c r="DOP84" s="1185"/>
      <c r="DOQ84" s="1185"/>
      <c r="DOR84" s="1185"/>
      <c r="DOS84" s="1185"/>
      <c r="DOT84" s="1185"/>
      <c r="DOU84" s="1185"/>
      <c r="DOV84" s="1185"/>
      <c r="DOW84" s="1185"/>
      <c r="DOX84" s="1185"/>
      <c r="DOY84" s="1185"/>
      <c r="DOZ84" s="1185"/>
      <c r="DPA84" s="1185"/>
      <c r="DPB84" s="1185"/>
      <c r="DPC84" s="1185"/>
      <c r="DPD84" s="1185"/>
      <c r="DPE84" s="1185"/>
      <c r="DPF84" s="1185"/>
      <c r="DPG84" s="1185"/>
      <c r="DPH84" s="1185"/>
      <c r="DPI84" s="1185"/>
      <c r="DPJ84" s="1185"/>
      <c r="DPK84" s="1185"/>
      <c r="DPL84" s="1185"/>
      <c r="DPM84" s="1185"/>
      <c r="DPN84" s="1185"/>
      <c r="DPO84" s="1185"/>
      <c r="DPP84" s="1185"/>
      <c r="DPQ84" s="1185"/>
      <c r="DPR84" s="1185"/>
      <c r="DPS84" s="1185"/>
      <c r="DPT84" s="1185"/>
      <c r="DPU84" s="1185"/>
      <c r="DPV84" s="1185"/>
      <c r="DPW84" s="1185"/>
      <c r="DPX84" s="1185"/>
      <c r="DPY84" s="1185"/>
      <c r="DPZ84" s="1185"/>
      <c r="DQA84" s="1185"/>
      <c r="DQB84" s="1185"/>
      <c r="DQC84" s="1185"/>
      <c r="DQD84" s="1185"/>
      <c r="DQE84" s="1185"/>
      <c r="DQF84" s="1185"/>
      <c r="DQG84" s="1185"/>
      <c r="DQH84" s="1185"/>
      <c r="DQI84" s="1185"/>
      <c r="DQJ84" s="1185"/>
      <c r="DQK84" s="1185"/>
      <c r="DQL84" s="1185"/>
      <c r="DQM84" s="1185"/>
      <c r="DQN84" s="1185"/>
      <c r="DQO84" s="1185"/>
      <c r="DQP84" s="1185"/>
      <c r="DQQ84" s="1185"/>
      <c r="DQR84" s="1185"/>
      <c r="DQS84" s="1185"/>
      <c r="DQT84" s="1185"/>
      <c r="DQU84" s="1185"/>
      <c r="DQV84" s="1185"/>
      <c r="DQW84" s="1185"/>
      <c r="DQX84" s="1185"/>
      <c r="DQY84" s="1185"/>
      <c r="DQZ84" s="1185"/>
      <c r="DRA84" s="1185"/>
      <c r="DRB84" s="1185"/>
      <c r="DRC84" s="1185"/>
      <c r="DRD84" s="1185"/>
      <c r="DRE84" s="1185"/>
      <c r="DRF84" s="1185"/>
      <c r="DRG84" s="1185"/>
      <c r="DRH84" s="1185"/>
      <c r="DRI84" s="1185"/>
      <c r="DRJ84" s="1185"/>
      <c r="DRK84" s="1185"/>
      <c r="DRL84" s="1185"/>
      <c r="DRM84" s="1185"/>
      <c r="DRN84" s="1185"/>
      <c r="DRO84" s="1185"/>
      <c r="DRP84" s="1185"/>
      <c r="DRQ84" s="1185"/>
      <c r="DRR84" s="1185"/>
      <c r="DRS84" s="1185"/>
      <c r="DRT84" s="1185"/>
      <c r="DRU84" s="1185"/>
      <c r="DRV84" s="1185"/>
      <c r="DRW84" s="1185"/>
      <c r="DRX84" s="1185"/>
      <c r="DRY84" s="1185"/>
      <c r="DRZ84" s="1185"/>
      <c r="DSA84" s="1185"/>
      <c r="DSB84" s="1185"/>
      <c r="DSC84" s="1185"/>
      <c r="DSD84" s="1185"/>
      <c r="DSE84" s="1185"/>
      <c r="DSF84" s="1185"/>
      <c r="DSG84" s="1185"/>
      <c r="DSH84" s="1185"/>
      <c r="DSI84" s="1185"/>
      <c r="DSJ84" s="1185"/>
      <c r="DSK84" s="1185"/>
      <c r="DSL84" s="1185"/>
      <c r="DSM84" s="1185"/>
      <c r="DSN84" s="1185"/>
      <c r="DSO84" s="1185"/>
      <c r="DSP84" s="1185"/>
      <c r="DSQ84" s="1185"/>
      <c r="DSR84" s="1185"/>
      <c r="DSS84" s="1185"/>
      <c r="DST84" s="1185"/>
      <c r="DSU84" s="1185"/>
      <c r="DSV84" s="1185"/>
      <c r="DSW84" s="1185"/>
      <c r="DSX84" s="1185"/>
      <c r="DSY84" s="1185"/>
      <c r="DSZ84" s="1185"/>
      <c r="DTA84" s="1185"/>
      <c r="DTB84" s="1185"/>
      <c r="DTC84" s="1185"/>
      <c r="DTD84" s="1185"/>
      <c r="DTE84" s="1185"/>
      <c r="DTF84" s="1185"/>
      <c r="DTG84" s="1185"/>
      <c r="DTH84" s="1185"/>
      <c r="DTI84" s="1185"/>
      <c r="DTJ84" s="1185"/>
      <c r="DTK84" s="1185"/>
      <c r="DTL84" s="1185"/>
      <c r="DTM84" s="1185"/>
      <c r="DTN84" s="1185"/>
      <c r="DTO84" s="1185"/>
      <c r="DTP84" s="1185"/>
      <c r="DTQ84" s="1185"/>
      <c r="DTR84" s="1185"/>
      <c r="DTS84" s="1185"/>
      <c r="DTT84" s="1185"/>
      <c r="DTU84" s="1185"/>
      <c r="DTV84" s="1185"/>
      <c r="DTW84" s="1185"/>
      <c r="DTX84" s="1185"/>
      <c r="DTY84" s="1185"/>
      <c r="DTZ84" s="1185"/>
      <c r="DUA84" s="1185"/>
      <c r="DUB84" s="1185"/>
      <c r="DUC84" s="1185"/>
      <c r="DUD84" s="1185"/>
      <c r="DUE84" s="1185"/>
      <c r="DUF84" s="1185"/>
      <c r="DUG84" s="1185"/>
      <c r="DUH84" s="1185"/>
      <c r="DUI84" s="1185"/>
      <c r="DUJ84" s="1185"/>
      <c r="DUK84" s="1185"/>
      <c r="DUL84" s="1185"/>
      <c r="DUM84" s="1185"/>
      <c r="DUN84" s="1185"/>
      <c r="DUO84" s="1185"/>
      <c r="DUP84" s="1185"/>
      <c r="DUQ84" s="1185"/>
      <c r="DUR84" s="1185"/>
      <c r="DUS84" s="1185"/>
      <c r="DUT84" s="1185"/>
      <c r="DUU84" s="1185"/>
      <c r="DUV84" s="1185"/>
      <c r="DUW84" s="1185"/>
      <c r="DUX84" s="1185"/>
      <c r="DUY84" s="1185"/>
      <c r="DUZ84" s="1185"/>
      <c r="DVA84" s="1185"/>
      <c r="DVB84" s="1185"/>
      <c r="DVC84" s="1185"/>
      <c r="DVD84" s="1185"/>
      <c r="DVE84" s="1185"/>
      <c r="DVF84" s="1185"/>
      <c r="DVG84" s="1185"/>
      <c r="DVH84" s="1185"/>
      <c r="DVI84" s="1185"/>
      <c r="DVJ84" s="1185"/>
      <c r="DVK84" s="1185"/>
      <c r="DVL84" s="1185"/>
      <c r="DVM84" s="1185"/>
      <c r="DVN84" s="1185"/>
      <c r="DVO84" s="1185"/>
      <c r="DVP84" s="1185"/>
      <c r="DVQ84" s="1185"/>
      <c r="DVR84" s="1185"/>
      <c r="DVS84" s="1185"/>
      <c r="DVT84" s="1185"/>
      <c r="DVU84" s="1185"/>
      <c r="DVV84" s="1185"/>
      <c r="DVW84" s="1185"/>
      <c r="DVX84" s="1185"/>
      <c r="DVY84" s="1185"/>
      <c r="DVZ84" s="1185"/>
      <c r="DWA84" s="1185"/>
      <c r="DWB84" s="1185"/>
      <c r="DWC84" s="1185"/>
      <c r="DWD84" s="1185"/>
      <c r="DWE84" s="1185"/>
      <c r="DWF84" s="1185"/>
      <c r="DWG84" s="1185"/>
      <c r="DWH84" s="1185"/>
      <c r="DWI84" s="1185"/>
      <c r="DWJ84" s="1185"/>
      <c r="DWK84" s="1185"/>
      <c r="DWL84" s="1185"/>
      <c r="DWM84" s="1185"/>
      <c r="DWN84" s="1185"/>
      <c r="DWO84" s="1185"/>
      <c r="DWP84" s="1185"/>
      <c r="DWQ84" s="1185"/>
      <c r="DWR84" s="1185"/>
      <c r="DWS84" s="1185"/>
      <c r="DWT84" s="1185"/>
      <c r="DWU84" s="1185"/>
      <c r="DWV84" s="1185"/>
      <c r="DWW84" s="1185"/>
      <c r="DWX84" s="1185"/>
      <c r="DWY84" s="1185"/>
      <c r="DWZ84" s="1185"/>
      <c r="DXA84" s="1185"/>
      <c r="DXB84" s="1185"/>
      <c r="DXC84" s="1185"/>
      <c r="DXD84" s="1185"/>
      <c r="DXE84" s="1185"/>
      <c r="DXF84" s="1185"/>
      <c r="DXG84" s="1185"/>
      <c r="DXH84" s="1185"/>
      <c r="DXI84" s="1185"/>
      <c r="DXJ84" s="1185"/>
      <c r="DXK84" s="1185"/>
      <c r="DXL84" s="1185"/>
      <c r="DXM84" s="1185"/>
      <c r="DXN84" s="1185"/>
      <c r="DXO84" s="1185"/>
      <c r="DXP84" s="1185"/>
      <c r="DXQ84" s="1185"/>
      <c r="DXR84" s="1185"/>
      <c r="DXS84" s="1185"/>
      <c r="DXT84" s="1185"/>
      <c r="DXU84" s="1185"/>
      <c r="DXV84" s="1185"/>
      <c r="DXW84" s="1185"/>
      <c r="DXX84" s="1185"/>
      <c r="DXY84" s="1185"/>
      <c r="DXZ84" s="1185"/>
      <c r="DYA84" s="1185"/>
      <c r="DYB84" s="1185"/>
      <c r="DYC84" s="1185"/>
      <c r="DYD84" s="1185"/>
      <c r="DYE84" s="1185"/>
      <c r="DYF84" s="1185"/>
      <c r="DYG84" s="1185"/>
      <c r="DYH84" s="1185"/>
      <c r="DYI84" s="1185"/>
      <c r="DYJ84" s="1185"/>
      <c r="DYK84" s="1185"/>
      <c r="DYL84" s="1185"/>
      <c r="DYM84" s="1185"/>
      <c r="DYN84" s="1185"/>
      <c r="DYO84" s="1185"/>
      <c r="DYP84" s="1185"/>
      <c r="DYQ84" s="1185"/>
      <c r="DYR84" s="1185"/>
      <c r="DYS84" s="1185"/>
      <c r="DYT84" s="1185"/>
      <c r="DYU84" s="1185"/>
      <c r="DYV84" s="1185"/>
      <c r="DYW84" s="1185"/>
      <c r="DYX84" s="1185"/>
      <c r="DYY84" s="1185"/>
      <c r="DYZ84" s="1185"/>
      <c r="DZA84" s="1185"/>
      <c r="DZB84" s="1185"/>
      <c r="DZC84" s="1185"/>
      <c r="DZD84" s="1185"/>
      <c r="DZE84" s="1185"/>
      <c r="DZF84" s="1185"/>
      <c r="DZG84" s="1185"/>
      <c r="DZH84" s="1185"/>
      <c r="DZI84" s="1185"/>
      <c r="DZJ84" s="1185"/>
      <c r="DZK84" s="1185"/>
      <c r="DZL84" s="1185"/>
      <c r="DZM84" s="1185"/>
      <c r="DZN84" s="1185"/>
      <c r="DZO84" s="1185"/>
      <c r="DZP84" s="1185"/>
      <c r="DZQ84" s="1185"/>
      <c r="DZR84" s="1185"/>
      <c r="DZS84" s="1185"/>
      <c r="DZT84" s="1185"/>
      <c r="DZU84" s="1185"/>
      <c r="DZV84" s="1185"/>
      <c r="DZW84" s="1185"/>
      <c r="DZX84" s="1185"/>
      <c r="DZY84" s="1185"/>
      <c r="DZZ84" s="1185"/>
      <c r="EAA84" s="1185"/>
      <c r="EAB84" s="1185"/>
      <c r="EAC84" s="1185"/>
      <c r="EAD84" s="1185"/>
      <c r="EAE84" s="1185"/>
      <c r="EAF84" s="1185"/>
      <c r="EAG84" s="1185"/>
      <c r="EAH84" s="1185"/>
      <c r="EAI84" s="1185"/>
      <c r="EAJ84" s="1185"/>
      <c r="EAK84" s="1185"/>
      <c r="EAL84" s="1185"/>
      <c r="EAM84" s="1185"/>
      <c r="EAN84" s="1185"/>
      <c r="EAO84" s="1185"/>
      <c r="EAP84" s="1185"/>
      <c r="EAQ84" s="1185"/>
      <c r="EAR84" s="1185"/>
      <c r="EAS84" s="1185"/>
      <c r="EAT84" s="1185"/>
      <c r="EAU84" s="1185"/>
      <c r="EAV84" s="1185"/>
      <c r="EAW84" s="1185"/>
      <c r="EAX84" s="1185"/>
      <c r="EAY84" s="1185"/>
      <c r="EAZ84" s="1185"/>
      <c r="EBA84" s="1185"/>
      <c r="EBB84" s="1185"/>
      <c r="EBC84" s="1185"/>
      <c r="EBD84" s="1185"/>
      <c r="EBE84" s="1185"/>
      <c r="EBF84" s="1185"/>
      <c r="EBG84" s="1185"/>
      <c r="EBH84" s="1185"/>
      <c r="EBI84" s="1185"/>
      <c r="EBJ84" s="1185"/>
      <c r="EBK84" s="1185"/>
      <c r="EBL84" s="1185"/>
      <c r="EBM84" s="1185"/>
      <c r="EBN84" s="1185"/>
      <c r="EBO84" s="1185"/>
      <c r="EBP84" s="1185"/>
      <c r="EBQ84" s="1185"/>
      <c r="EBR84" s="1185"/>
      <c r="EBS84" s="1185"/>
      <c r="EBT84" s="1185"/>
      <c r="EBU84" s="1185"/>
      <c r="EBV84" s="1185"/>
      <c r="EBW84" s="1185"/>
      <c r="EBX84" s="1185"/>
      <c r="EBY84" s="1185"/>
      <c r="EBZ84" s="1185"/>
      <c r="ECA84" s="1185"/>
      <c r="ECB84" s="1185"/>
      <c r="ECC84" s="1185"/>
      <c r="ECD84" s="1185"/>
      <c r="ECE84" s="1185"/>
      <c r="ECF84" s="1185"/>
      <c r="ECG84" s="1185"/>
      <c r="ECH84" s="1185"/>
      <c r="ECI84" s="1185"/>
      <c r="ECJ84" s="1185"/>
      <c r="ECK84" s="1185"/>
      <c r="ECL84" s="1185"/>
      <c r="ECM84" s="1185"/>
      <c r="ECN84" s="1185"/>
      <c r="ECO84" s="1185"/>
      <c r="ECP84" s="1185"/>
      <c r="ECQ84" s="1185"/>
      <c r="ECR84" s="1185"/>
      <c r="ECS84" s="1185"/>
      <c r="ECT84" s="1185"/>
      <c r="ECU84" s="1185"/>
      <c r="ECV84" s="1185"/>
      <c r="ECW84" s="1185"/>
      <c r="ECX84" s="1185"/>
      <c r="ECY84" s="1185"/>
      <c r="ECZ84" s="1185"/>
      <c r="EDA84" s="1185"/>
      <c r="EDB84" s="1185"/>
      <c r="EDC84" s="1185"/>
      <c r="EDD84" s="1185"/>
      <c r="EDE84" s="1185"/>
      <c r="EDF84" s="1185"/>
      <c r="EDG84" s="1185"/>
      <c r="EDH84" s="1185"/>
      <c r="EDI84" s="1185"/>
      <c r="EDJ84" s="1185"/>
      <c r="EDK84" s="1185"/>
      <c r="EDL84" s="1185"/>
      <c r="EDM84" s="1185"/>
      <c r="EDN84" s="1185"/>
      <c r="EDO84" s="1185"/>
      <c r="EDP84" s="1185"/>
      <c r="EDQ84" s="1185"/>
      <c r="EDR84" s="1185"/>
      <c r="EDS84" s="1185"/>
      <c r="EDT84" s="1185"/>
      <c r="EDU84" s="1185"/>
      <c r="EDV84" s="1185"/>
      <c r="EDW84" s="1185"/>
      <c r="EDX84" s="1185"/>
      <c r="EDY84" s="1185"/>
      <c r="EDZ84" s="1185"/>
      <c r="EEA84" s="1185"/>
      <c r="EEB84" s="1185"/>
      <c r="EEC84" s="1185"/>
      <c r="EED84" s="1185"/>
      <c r="EEE84" s="1185"/>
      <c r="EEF84" s="1185"/>
      <c r="EEG84" s="1185"/>
      <c r="EEH84" s="1185"/>
      <c r="EEI84" s="1185"/>
      <c r="EEJ84" s="1185"/>
      <c r="EEK84" s="1185"/>
      <c r="EEL84" s="1185"/>
      <c r="EEM84" s="1185"/>
      <c r="EEN84" s="1185"/>
      <c r="EEO84" s="1185"/>
      <c r="EEP84" s="1185"/>
      <c r="EEQ84" s="1185"/>
      <c r="EER84" s="1185"/>
      <c r="EES84" s="1185"/>
      <c r="EET84" s="1185"/>
      <c r="EEU84" s="1185"/>
      <c r="EEV84" s="1185"/>
      <c r="EEW84" s="1185"/>
      <c r="EEX84" s="1185"/>
      <c r="EEY84" s="1185"/>
      <c r="EEZ84" s="1185"/>
      <c r="EFA84" s="1185"/>
      <c r="EFB84" s="1185"/>
      <c r="EFC84" s="1185"/>
      <c r="EFD84" s="1185"/>
      <c r="EFE84" s="1185"/>
      <c r="EFF84" s="1185"/>
      <c r="EFG84" s="1185"/>
      <c r="EFH84" s="1185"/>
      <c r="EFI84" s="1185"/>
      <c r="EFJ84" s="1185"/>
      <c r="EFK84" s="1185"/>
      <c r="EFL84" s="1185"/>
      <c r="EFM84" s="1185"/>
      <c r="EFN84" s="1185"/>
      <c r="EFO84" s="1185"/>
      <c r="EFP84" s="1185"/>
      <c r="EFQ84" s="1185"/>
      <c r="EFR84" s="1185"/>
      <c r="EFS84" s="1185"/>
      <c r="EFT84" s="1185"/>
      <c r="EFU84" s="1185"/>
      <c r="EFV84" s="1185"/>
      <c r="EFW84" s="1185"/>
      <c r="EFX84" s="1185"/>
      <c r="EFY84" s="1185"/>
      <c r="EFZ84" s="1185"/>
      <c r="EGA84" s="1185"/>
      <c r="EGB84" s="1185"/>
      <c r="EGC84" s="1185"/>
      <c r="EGD84" s="1185"/>
      <c r="EGE84" s="1185"/>
      <c r="EGF84" s="1185"/>
      <c r="EGG84" s="1185"/>
      <c r="EGH84" s="1185"/>
      <c r="EGI84" s="1185"/>
      <c r="EGJ84" s="1185"/>
      <c r="EGK84" s="1185"/>
      <c r="EGL84" s="1185"/>
      <c r="EGM84" s="1185"/>
      <c r="EGN84" s="1185"/>
      <c r="EGO84" s="1185"/>
      <c r="EGP84" s="1185"/>
      <c r="EGQ84" s="1185"/>
      <c r="EGR84" s="1185"/>
      <c r="EGS84" s="1185"/>
      <c r="EGT84" s="1185"/>
      <c r="EGU84" s="1185"/>
      <c r="EGV84" s="1185"/>
      <c r="EGW84" s="1185"/>
      <c r="EGX84" s="1185"/>
      <c r="EGY84" s="1185"/>
      <c r="EGZ84" s="1185"/>
      <c r="EHA84" s="1185"/>
      <c r="EHB84" s="1185"/>
      <c r="EHC84" s="1185"/>
      <c r="EHD84" s="1185"/>
      <c r="EHE84" s="1185"/>
      <c r="EHF84" s="1185"/>
      <c r="EHG84" s="1185"/>
      <c r="EHH84" s="1185"/>
      <c r="EHI84" s="1185"/>
      <c r="EHJ84" s="1185"/>
      <c r="EHK84" s="1185"/>
      <c r="EHL84" s="1185"/>
      <c r="EHM84" s="1185"/>
      <c r="EHN84" s="1185"/>
      <c r="EHO84" s="1185"/>
      <c r="EHP84" s="1185"/>
      <c r="EHQ84" s="1185"/>
      <c r="EHR84" s="1185"/>
      <c r="EHS84" s="1185"/>
      <c r="EHT84" s="1185"/>
      <c r="EHU84" s="1185"/>
      <c r="EHV84" s="1185"/>
      <c r="EHW84" s="1185"/>
      <c r="EHX84" s="1185"/>
      <c r="EHY84" s="1185"/>
      <c r="EHZ84" s="1185"/>
      <c r="EIA84" s="1185"/>
      <c r="EIB84" s="1185"/>
      <c r="EIC84" s="1185"/>
      <c r="EID84" s="1185"/>
      <c r="EIE84" s="1185"/>
      <c r="EIF84" s="1185"/>
      <c r="EIG84" s="1185"/>
      <c r="EIH84" s="1185"/>
      <c r="EII84" s="1185"/>
      <c r="EIJ84" s="1185"/>
      <c r="EIK84" s="1185"/>
      <c r="EIL84" s="1185"/>
      <c r="EIM84" s="1185"/>
      <c r="EIN84" s="1185"/>
      <c r="EIO84" s="1185"/>
      <c r="EIP84" s="1185"/>
      <c r="EIQ84" s="1185"/>
      <c r="EIR84" s="1185"/>
      <c r="EIS84" s="1185"/>
      <c r="EIT84" s="1185"/>
      <c r="EIU84" s="1185"/>
      <c r="EIV84" s="1185"/>
      <c r="EIW84" s="1185"/>
      <c r="EIX84" s="1185"/>
      <c r="EIY84" s="1185"/>
      <c r="EIZ84" s="1185"/>
      <c r="EJA84" s="1185"/>
      <c r="EJB84" s="1185"/>
      <c r="EJC84" s="1185"/>
      <c r="EJD84" s="1185"/>
      <c r="EJE84" s="1185"/>
      <c r="EJF84" s="1185"/>
      <c r="EJG84" s="1185"/>
      <c r="EJH84" s="1185"/>
      <c r="EJI84" s="1185"/>
      <c r="EJJ84" s="1185"/>
      <c r="EJK84" s="1185"/>
      <c r="EJL84" s="1185"/>
      <c r="EJM84" s="1185"/>
      <c r="EJN84" s="1185"/>
      <c r="EJO84" s="1185"/>
      <c r="EJP84" s="1185"/>
      <c r="EJQ84" s="1185"/>
      <c r="EJR84" s="1185"/>
      <c r="EJS84" s="1185"/>
      <c r="EJT84" s="1185"/>
      <c r="EJU84" s="1185"/>
      <c r="EJV84" s="1185"/>
      <c r="EJW84" s="1185"/>
      <c r="EJX84" s="1185"/>
      <c r="EJY84" s="1185"/>
      <c r="EJZ84" s="1185"/>
      <c r="EKA84" s="1185"/>
      <c r="EKB84" s="1185"/>
      <c r="EKC84" s="1185"/>
      <c r="EKD84" s="1185"/>
      <c r="EKE84" s="1185"/>
      <c r="EKF84" s="1185"/>
      <c r="EKG84" s="1185"/>
      <c r="EKH84" s="1185"/>
      <c r="EKI84" s="1185"/>
      <c r="EKJ84" s="1185"/>
      <c r="EKK84" s="1185"/>
      <c r="EKL84" s="1185"/>
      <c r="EKM84" s="1185"/>
      <c r="EKN84" s="1185"/>
      <c r="EKO84" s="1185"/>
      <c r="EKP84" s="1185"/>
      <c r="EKQ84" s="1185"/>
      <c r="EKR84" s="1185"/>
      <c r="EKS84" s="1185"/>
      <c r="EKT84" s="1185"/>
      <c r="EKU84" s="1185"/>
      <c r="EKV84" s="1185"/>
      <c r="EKW84" s="1185"/>
      <c r="EKX84" s="1185"/>
      <c r="EKY84" s="1185"/>
      <c r="EKZ84" s="1185"/>
      <c r="ELA84" s="1185"/>
      <c r="ELB84" s="1185"/>
      <c r="ELC84" s="1185"/>
      <c r="ELD84" s="1185"/>
      <c r="ELE84" s="1185"/>
      <c r="ELF84" s="1185"/>
      <c r="ELG84" s="1185"/>
      <c r="ELH84" s="1185"/>
      <c r="ELI84" s="1185"/>
      <c r="ELJ84" s="1185"/>
      <c r="ELK84" s="1185"/>
      <c r="ELL84" s="1185"/>
      <c r="ELM84" s="1185"/>
      <c r="ELN84" s="1185"/>
      <c r="ELO84" s="1185"/>
      <c r="ELP84" s="1185"/>
      <c r="ELQ84" s="1185"/>
      <c r="ELR84" s="1185"/>
      <c r="ELS84" s="1185"/>
      <c r="ELT84" s="1185"/>
      <c r="ELU84" s="1185"/>
      <c r="ELV84" s="1185"/>
      <c r="ELW84" s="1185"/>
      <c r="ELX84" s="1185"/>
      <c r="ELY84" s="1185"/>
      <c r="ELZ84" s="1185"/>
      <c r="EMA84" s="1185"/>
      <c r="EMB84" s="1185"/>
      <c r="EMC84" s="1185"/>
      <c r="EMD84" s="1185"/>
      <c r="EME84" s="1185"/>
      <c r="EMF84" s="1185"/>
      <c r="EMG84" s="1185"/>
      <c r="EMH84" s="1185"/>
      <c r="EMI84" s="1185"/>
      <c r="EMJ84" s="1185"/>
      <c r="EMK84" s="1185"/>
      <c r="EML84" s="1185"/>
      <c r="EMM84" s="1185"/>
      <c r="EMN84" s="1185"/>
      <c r="EMO84" s="1185"/>
      <c r="EMP84" s="1185"/>
      <c r="EMQ84" s="1185"/>
      <c r="EMR84" s="1185"/>
      <c r="EMS84" s="1185"/>
      <c r="EMT84" s="1185"/>
      <c r="EMU84" s="1185"/>
      <c r="EMV84" s="1185"/>
      <c r="EMW84" s="1185"/>
      <c r="EMX84" s="1185"/>
      <c r="EMY84" s="1185"/>
      <c r="EMZ84" s="1185"/>
      <c r="ENA84" s="1185"/>
      <c r="ENB84" s="1185"/>
      <c r="ENC84" s="1185"/>
      <c r="END84" s="1185"/>
      <c r="ENE84" s="1185"/>
      <c r="ENF84" s="1185"/>
      <c r="ENG84" s="1185"/>
      <c r="ENH84" s="1185"/>
      <c r="ENI84" s="1185"/>
      <c r="ENJ84" s="1185"/>
      <c r="ENK84" s="1185"/>
      <c r="ENL84" s="1185"/>
      <c r="ENM84" s="1185"/>
      <c r="ENN84" s="1185"/>
      <c r="ENO84" s="1185"/>
      <c r="ENP84" s="1185"/>
      <c r="ENQ84" s="1185"/>
      <c r="ENR84" s="1185"/>
      <c r="ENS84" s="1185"/>
      <c r="ENT84" s="1185"/>
      <c r="ENU84" s="1185"/>
      <c r="ENV84" s="1185"/>
      <c r="ENW84" s="1185"/>
      <c r="ENX84" s="1185"/>
      <c r="ENY84" s="1185"/>
      <c r="ENZ84" s="1185"/>
      <c r="EOA84" s="1185"/>
      <c r="EOB84" s="1185"/>
      <c r="EOC84" s="1185"/>
      <c r="EOD84" s="1185"/>
      <c r="EOE84" s="1185"/>
      <c r="EOF84" s="1185"/>
      <c r="EOG84" s="1185"/>
      <c r="EOH84" s="1185"/>
      <c r="EOI84" s="1185"/>
      <c r="EOJ84" s="1185"/>
      <c r="EOK84" s="1185"/>
      <c r="EOL84" s="1185"/>
      <c r="EOM84" s="1185"/>
      <c r="EON84" s="1185"/>
      <c r="EOO84" s="1185"/>
      <c r="EOP84" s="1185"/>
      <c r="EOQ84" s="1185"/>
      <c r="EOR84" s="1185"/>
      <c r="EOS84" s="1185"/>
      <c r="EOT84" s="1185"/>
      <c r="EOU84" s="1185"/>
      <c r="EOV84" s="1185"/>
      <c r="EOW84" s="1185"/>
      <c r="EOX84" s="1185"/>
      <c r="EOY84" s="1185"/>
      <c r="EOZ84" s="1185"/>
      <c r="EPA84" s="1185"/>
      <c r="EPB84" s="1185"/>
      <c r="EPC84" s="1185"/>
      <c r="EPD84" s="1185"/>
      <c r="EPE84" s="1185"/>
      <c r="EPF84" s="1185"/>
      <c r="EPG84" s="1185"/>
      <c r="EPH84" s="1185"/>
      <c r="EPI84" s="1185"/>
      <c r="EPJ84" s="1185"/>
      <c r="EPK84" s="1185"/>
      <c r="EPL84" s="1185"/>
      <c r="EPM84" s="1185"/>
      <c r="EPN84" s="1185"/>
      <c r="EPO84" s="1185"/>
      <c r="EPP84" s="1185"/>
      <c r="EPQ84" s="1185"/>
      <c r="EPR84" s="1185"/>
      <c r="EPS84" s="1185"/>
      <c r="EPT84" s="1185"/>
      <c r="EPU84" s="1185"/>
      <c r="EPV84" s="1185"/>
      <c r="EPW84" s="1185"/>
      <c r="EPX84" s="1185"/>
      <c r="EPY84" s="1185"/>
      <c r="EPZ84" s="1185"/>
      <c r="EQA84" s="1185"/>
      <c r="EQB84" s="1185"/>
      <c r="EQC84" s="1185"/>
      <c r="EQD84" s="1185"/>
      <c r="EQE84" s="1185"/>
      <c r="EQF84" s="1185"/>
      <c r="EQG84" s="1185"/>
      <c r="EQH84" s="1185"/>
      <c r="EQI84" s="1185"/>
      <c r="EQJ84" s="1185"/>
      <c r="EQK84" s="1185"/>
      <c r="EQL84" s="1185"/>
      <c r="EQM84" s="1185"/>
      <c r="EQN84" s="1185"/>
      <c r="EQO84" s="1185"/>
      <c r="EQP84" s="1185"/>
      <c r="EQQ84" s="1185"/>
      <c r="EQR84" s="1185"/>
      <c r="EQS84" s="1185"/>
      <c r="EQT84" s="1185"/>
      <c r="EQU84" s="1185"/>
      <c r="EQV84" s="1185"/>
      <c r="EQW84" s="1185"/>
      <c r="EQX84" s="1185"/>
      <c r="EQY84" s="1185"/>
      <c r="EQZ84" s="1185"/>
      <c r="ERA84" s="1185"/>
      <c r="ERB84" s="1185"/>
      <c r="ERC84" s="1185"/>
      <c r="ERD84" s="1185"/>
      <c r="ERE84" s="1185"/>
      <c r="ERF84" s="1185"/>
      <c r="ERG84" s="1185"/>
      <c r="ERH84" s="1185"/>
      <c r="ERI84" s="1185"/>
      <c r="ERJ84" s="1185"/>
      <c r="ERK84" s="1185"/>
      <c r="ERL84" s="1185"/>
      <c r="ERM84" s="1185"/>
      <c r="ERN84" s="1185"/>
      <c r="ERO84" s="1185"/>
      <c r="ERP84" s="1185"/>
      <c r="ERQ84" s="1185"/>
      <c r="ERR84" s="1185"/>
      <c r="ERS84" s="1185"/>
      <c r="ERT84" s="1185"/>
      <c r="ERU84" s="1185"/>
      <c r="ERV84" s="1185"/>
      <c r="ERW84" s="1185"/>
      <c r="ERX84" s="1185"/>
      <c r="ERY84" s="1185"/>
      <c r="ERZ84" s="1185"/>
      <c r="ESA84" s="1185"/>
      <c r="ESB84" s="1185"/>
      <c r="ESC84" s="1185"/>
      <c r="ESD84" s="1185"/>
      <c r="ESE84" s="1185"/>
      <c r="ESF84" s="1185"/>
      <c r="ESG84" s="1185"/>
      <c r="ESH84" s="1185"/>
      <c r="ESI84" s="1185"/>
      <c r="ESJ84" s="1185"/>
      <c r="ESK84" s="1185"/>
      <c r="ESL84" s="1185"/>
      <c r="ESM84" s="1185"/>
      <c r="ESN84" s="1185"/>
      <c r="ESO84" s="1185"/>
      <c r="ESP84" s="1185"/>
      <c r="ESQ84" s="1185"/>
      <c r="ESR84" s="1185"/>
      <c r="ESS84" s="1185"/>
      <c r="EST84" s="1185"/>
      <c r="ESU84" s="1185"/>
      <c r="ESV84" s="1185"/>
      <c r="ESW84" s="1185"/>
      <c r="ESX84" s="1185"/>
      <c r="ESY84" s="1185"/>
      <c r="ESZ84" s="1185"/>
      <c r="ETA84" s="1185"/>
      <c r="ETB84" s="1185"/>
      <c r="ETC84" s="1185"/>
      <c r="ETD84" s="1185"/>
      <c r="ETE84" s="1185"/>
      <c r="ETF84" s="1185"/>
      <c r="ETG84" s="1185"/>
      <c r="ETH84" s="1185"/>
      <c r="ETI84" s="1185"/>
      <c r="ETJ84" s="1185"/>
      <c r="ETK84" s="1185"/>
      <c r="ETL84" s="1185"/>
      <c r="ETM84" s="1185"/>
      <c r="ETN84" s="1185"/>
      <c r="ETO84" s="1185"/>
      <c r="ETP84" s="1185"/>
      <c r="ETQ84" s="1185"/>
      <c r="ETR84" s="1185"/>
      <c r="ETS84" s="1185"/>
      <c r="ETT84" s="1185"/>
      <c r="ETU84" s="1185"/>
      <c r="ETV84" s="1185"/>
      <c r="ETW84" s="1185"/>
      <c r="ETX84" s="1185"/>
      <c r="ETY84" s="1185"/>
      <c r="ETZ84" s="1185"/>
      <c r="EUA84" s="1185"/>
      <c r="EUB84" s="1185"/>
      <c r="EUC84" s="1185"/>
      <c r="EUD84" s="1185"/>
      <c r="EUE84" s="1185"/>
      <c r="EUF84" s="1185"/>
      <c r="EUG84" s="1185"/>
      <c r="EUH84" s="1185"/>
      <c r="EUI84" s="1185"/>
      <c r="EUJ84" s="1185"/>
      <c r="EUK84" s="1185"/>
      <c r="EUL84" s="1185"/>
      <c r="EUM84" s="1185"/>
      <c r="EUN84" s="1185"/>
      <c r="EUO84" s="1185"/>
      <c r="EUP84" s="1185"/>
      <c r="EUQ84" s="1185"/>
      <c r="EUR84" s="1185"/>
      <c r="EUS84" s="1185"/>
      <c r="EUT84" s="1185"/>
      <c r="EUU84" s="1185"/>
      <c r="EUV84" s="1185"/>
      <c r="EUW84" s="1185"/>
      <c r="EUX84" s="1185"/>
      <c r="EUY84" s="1185"/>
      <c r="EUZ84" s="1185"/>
      <c r="EVA84" s="1185"/>
      <c r="EVB84" s="1185"/>
      <c r="EVC84" s="1185"/>
      <c r="EVD84" s="1185"/>
      <c r="EVE84" s="1185"/>
      <c r="EVF84" s="1185"/>
      <c r="EVG84" s="1185"/>
      <c r="EVH84" s="1185"/>
      <c r="EVI84" s="1185"/>
      <c r="EVJ84" s="1185"/>
      <c r="EVK84" s="1185"/>
      <c r="EVL84" s="1185"/>
      <c r="EVM84" s="1185"/>
      <c r="EVN84" s="1185"/>
      <c r="EVO84" s="1185"/>
      <c r="EVP84" s="1185"/>
      <c r="EVQ84" s="1185"/>
      <c r="EVR84" s="1185"/>
      <c r="EVS84" s="1185"/>
      <c r="EVT84" s="1185"/>
      <c r="EVU84" s="1185"/>
      <c r="EVV84" s="1185"/>
      <c r="EVW84" s="1185"/>
      <c r="EVX84" s="1185"/>
      <c r="EVY84" s="1185"/>
      <c r="EVZ84" s="1185"/>
      <c r="EWA84" s="1185"/>
      <c r="EWB84" s="1185"/>
      <c r="EWC84" s="1185"/>
      <c r="EWD84" s="1185"/>
      <c r="EWE84" s="1185"/>
      <c r="EWF84" s="1185"/>
      <c r="EWG84" s="1185"/>
      <c r="EWH84" s="1185"/>
      <c r="EWI84" s="1185"/>
      <c r="EWJ84" s="1185"/>
      <c r="EWK84" s="1185"/>
      <c r="EWL84" s="1185"/>
      <c r="EWM84" s="1185"/>
      <c r="EWN84" s="1185"/>
      <c r="EWO84" s="1185"/>
      <c r="EWP84" s="1185"/>
      <c r="EWQ84" s="1185"/>
      <c r="EWR84" s="1185"/>
      <c r="EWS84" s="1185"/>
      <c r="EWT84" s="1185"/>
      <c r="EWU84" s="1185"/>
      <c r="EWV84" s="1185"/>
      <c r="EWW84" s="1185"/>
      <c r="EWX84" s="1185"/>
      <c r="EWY84" s="1185"/>
      <c r="EWZ84" s="1185"/>
      <c r="EXA84" s="1185"/>
      <c r="EXB84" s="1185"/>
      <c r="EXC84" s="1185"/>
      <c r="EXD84" s="1185"/>
      <c r="EXE84" s="1185"/>
      <c r="EXF84" s="1185"/>
      <c r="EXG84" s="1185"/>
      <c r="EXH84" s="1185"/>
      <c r="EXI84" s="1185"/>
      <c r="EXJ84" s="1185"/>
      <c r="EXK84" s="1185"/>
      <c r="EXL84" s="1185"/>
      <c r="EXM84" s="1185"/>
      <c r="EXN84" s="1185"/>
      <c r="EXO84" s="1185"/>
      <c r="EXP84" s="1185"/>
      <c r="EXQ84" s="1185"/>
      <c r="EXR84" s="1185"/>
      <c r="EXS84" s="1185"/>
      <c r="EXT84" s="1185"/>
      <c r="EXU84" s="1185"/>
      <c r="EXV84" s="1185"/>
      <c r="EXW84" s="1185"/>
      <c r="EXX84" s="1185"/>
      <c r="EXY84" s="1185"/>
      <c r="EXZ84" s="1185"/>
      <c r="EYA84" s="1185"/>
      <c r="EYB84" s="1185"/>
      <c r="EYC84" s="1185"/>
      <c r="EYD84" s="1185"/>
      <c r="EYE84" s="1185"/>
      <c r="EYF84" s="1185"/>
      <c r="EYG84" s="1185"/>
      <c r="EYH84" s="1185"/>
      <c r="EYI84" s="1185"/>
      <c r="EYJ84" s="1185"/>
      <c r="EYK84" s="1185"/>
      <c r="EYL84" s="1185"/>
      <c r="EYM84" s="1185"/>
      <c r="EYN84" s="1185"/>
      <c r="EYO84" s="1185"/>
      <c r="EYP84" s="1185"/>
      <c r="EYQ84" s="1185"/>
      <c r="EYR84" s="1185"/>
      <c r="EYS84" s="1185"/>
      <c r="EYT84" s="1185"/>
      <c r="EYU84" s="1185"/>
      <c r="EYV84" s="1185"/>
      <c r="EYW84" s="1185"/>
      <c r="EYX84" s="1185"/>
      <c r="EYY84" s="1185"/>
      <c r="EYZ84" s="1185"/>
      <c r="EZA84" s="1185"/>
      <c r="EZB84" s="1185"/>
      <c r="EZC84" s="1185"/>
      <c r="EZD84" s="1185"/>
      <c r="EZE84" s="1185"/>
      <c r="EZF84" s="1185"/>
      <c r="EZG84" s="1185"/>
      <c r="EZH84" s="1185"/>
      <c r="EZI84" s="1185"/>
      <c r="EZJ84" s="1185"/>
      <c r="EZK84" s="1185"/>
      <c r="EZL84" s="1185"/>
      <c r="EZM84" s="1185"/>
      <c r="EZN84" s="1185"/>
      <c r="EZO84" s="1185"/>
      <c r="EZP84" s="1185"/>
      <c r="EZQ84" s="1185"/>
      <c r="EZR84" s="1185"/>
      <c r="EZS84" s="1185"/>
      <c r="EZT84" s="1185"/>
      <c r="EZU84" s="1185"/>
      <c r="EZV84" s="1185"/>
      <c r="EZW84" s="1185"/>
      <c r="EZX84" s="1185"/>
      <c r="EZY84" s="1185"/>
      <c r="EZZ84" s="1185"/>
      <c r="FAA84" s="1185"/>
      <c r="FAB84" s="1185"/>
      <c r="FAC84" s="1185"/>
      <c r="FAD84" s="1185"/>
      <c r="FAE84" s="1185"/>
      <c r="FAF84" s="1185"/>
      <c r="FAG84" s="1185"/>
      <c r="FAH84" s="1185"/>
      <c r="FAI84" s="1185"/>
      <c r="FAJ84" s="1185"/>
      <c r="FAK84" s="1185"/>
      <c r="FAL84" s="1185"/>
      <c r="FAM84" s="1185"/>
      <c r="FAN84" s="1185"/>
      <c r="FAO84" s="1185"/>
      <c r="FAP84" s="1185"/>
      <c r="FAQ84" s="1185"/>
      <c r="FAR84" s="1185"/>
      <c r="FAS84" s="1185"/>
      <c r="FAT84" s="1185"/>
      <c r="FAU84" s="1185"/>
      <c r="FAV84" s="1185"/>
      <c r="FAW84" s="1185"/>
      <c r="FAX84" s="1185"/>
      <c r="FAY84" s="1185"/>
      <c r="FAZ84" s="1185"/>
      <c r="FBA84" s="1185"/>
      <c r="FBB84" s="1185"/>
      <c r="FBC84" s="1185"/>
      <c r="FBD84" s="1185"/>
      <c r="FBE84" s="1185"/>
      <c r="FBF84" s="1185"/>
      <c r="FBG84" s="1185"/>
      <c r="FBH84" s="1185"/>
      <c r="FBI84" s="1185"/>
      <c r="FBJ84" s="1185"/>
      <c r="FBK84" s="1185"/>
      <c r="FBL84" s="1185"/>
      <c r="FBM84" s="1185"/>
      <c r="FBN84" s="1185"/>
      <c r="FBO84" s="1185"/>
      <c r="FBP84" s="1185"/>
      <c r="FBQ84" s="1185"/>
      <c r="FBR84" s="1185"/>
      <c r="FBS84" s="1185"/>
      <c r="FBT84" s="1185"/>
      <c r="FBU84" s="1185"/>
      <c r="FBV84" s="1185"/>
      <c r="FBW84" s="1185"/>
      <c r="FBX84" s="1185"/>
      <c r="FBY84" s="1185"/>
      <c r="FBZ84" s="1185"/>
      <c r="FCA84" s="1185"/>
      <c r="FCB84" s="1185"/>
      <c r="FCC84" s="1185"/>
      <c r="FCD84" s="1185"/>
      <c r="FCE84" s="1185"/>
      <c r="FCF84" s="1185"/>
      <c r="FCG84" s="1185"/>
      <c r="FCH84" s="1185"/>
      <c r="FCI84" s="1185"/>
      <c r="FCJ84" s="1185"/>
      <c r="FCK84" s="1185"/>
      <c r="FCL84" s="1185"/>
      <c r="FCM84" s="1185"/>
      <c r="FCN84" s="1185"/>
      <c r="FCO84" s="1185"/>
      <c r="FCP84" s="1185"/>
      <c r="FCQ84" s="1185"/>
      <c r="FCR84" s="1185"/>
      <c r="FCS84" s="1185"/>
      <c r="FCT84" s="1185"/>
      <c r="FCU84" s="1185"/>
      <c r="FCV84" s="1185"/>
      <c r="FCW84" s="1185"/>
      <c r="FCX84" s="1185"/>
      <c r="FCY84" s="1185"/>
      <c r="FCZ84" s="1185"/>
      <c r="FDA84" s="1185"/>
      <c r="FDB84" s="1185"/>
      <c r="FDC84" s="1185"/>
      <c r="FDD84" s="1185"/>
      <c r="FDE84" s="1185"/>
      <c r="FDF84" s="1185"/>
      <c r="FDG84" s="1185"/>
      <c r="FDH84" s="1185"/>
      <c r="FDI84" s="1185"/>
      <c r="FDJ84" s="1185"/>
      <c r="FDK84" s="1185"/>
      <c r="FDL84" s="1185"/>
      <c r="FDM84" s="1185"/>
      <c r="FDN84" s="1185"/>
      <c r="FDO84" s="1185"/>
      <c r="FDP84" s="1185"/>
      <c r="FDQ84" s="1185"/>
      <c r="FDR84" s="1185"/>
      <c r="FDS84" s="1185"/>
      <c r="FDT84" s="1185"/>
      <c r="FDU84" s="1185"/>
      <c r="FDV84" s="1185"/>
      <c r="FDW84" s="1185"/>
      <c r="FDX84" s="1185"/>
      <c r="FDY84" s="1185"/>
      <c r="FDZ84" s="1185"/>
      <c r="FEA84" s="1185"/>
      <c r="FEB84" s="1185"/>
      <c r="FEC84" s="1185"/>
      <c r="FED84" s="1185"/>
      <c r="FEE84" s="1185"/>
      <c r="FEF84" s="1185"/>
      <c r="FEG84" s="1185"/>
      <c r="FEH84" s="1185"/>
      <c r="FEI84" s="1185"/>
      <c r="FEJ84" s="1185"/>
      <c r="FEK84" s="1185"/>
      <c r="FEL84" s="1185"/>
      <c r="FEM84" s="1185"/>
      <c r="FEN84" s="1185"/>
      <c r="FEO84" s="1185"/>
      <c r="FEP84" s="1185"/>
      <c r="FEQ84" s="1185"/>
      <c r="FER84" s="1185"/>
      <c r="FES84" s="1185"/>
      <c r="FET84" s="1185"/>
      <c r="FEU84" s="1185"/>
      <c r="FEV84" s="1185"/>
      <c r="FEW84" s="1185"/>
      <c r="FEX84" s="1185"/>
      <c r="FEY84" s="1185"/>
      <c r="FEZ84" s="1185"/>
      <c r="FFA84" s="1185"/>
      <c r="FFB84" s="1185"/>
      <c r="FFC84" s="1185"/>
      <c r="FFD84" s="1185"/>
      <c r="FFE84" s="1185"/>
      <c r="FFF84" s="1185"/>
      <c r="FFG84" s="1185"/>
      <c r="FFH84" s="1185"/>
      <c r="FFI84" s="1185"/>
      <c r="FFJ84" s="1185"/>
      <c r="FFK84" s="1185"/>
      <c r="FFL84" s="1185"/>
      <c r="FFM84" s="1185"/>
      <c r="FFN84" s="1185"/>
      <c r="FFO84" s="1185"/>
      <c r="FFP84" s="1185"/>
      <c r="FFQ84" s="1185"/>
      <c r="FFR84" s="1185"/>
      <c r="FFS84" s="1185"/>
      <c r="FFT84" s="1185"/>
      <c r="FFU84" s="1185"/>
      <c r="FFV84" s="1185"/>
      <c r="FFW84" s="1185"/>
      <c r="FFX84" s="1185"/>
      <c r="FFY84" s="1185"/>
      <c r="FFZ84" s="1185"/>
      <c r="FGA84" s="1185"/>
      <c r="FGB84" s="1185"/>
      <c r="FGC84" s="1185"/>
      <c r="FGD84" s="1185"/>
      <c r="FGE84" s="1185"/>
      <c r="FGF84" s="1185"/>
      <c r="FGG84" s="1185"/>
      <c r="FGH84" s="1185"/>
      <c r="FGI84" s="1185"/>
      <c r="FGJ84" s="1185"/>
      <c r="FGK84" s="1185"/>
      <c r="FGL84" s="1185"/>
      <c r="FGM84" s="1185"/>
      <c r="FGN84" s="1185"/>
      <c r="FGO84" s="1185"/>
      <c r="FGP84" s="1185"/>
      <c r="FGQ84" s="1185"/>
      <c r="FGR84" s="1185"/>
      <c r="FGS84" s="1185"/>
      <c r="FGT84" s="1185"/>
      <c r="FGU84" s="1185"/>
      <c r="FGV84" s="1185"/>
      <c r="FGW84" s="1185"/>
      <c r="FGX84" s="1185"/>
      <c r="FGY84" s="1185"/>
      <c r="FGZ84" s="1185"/>
      <c r="FHA84" s="1185"/>
      <c r="FHB84" s="1185"/>
      <c r="FHC84" s="1185"/>
      <c r="FHD84" s="1185"/>
      <c r="FHE84" s="1185"/>
      <c r="FHF84" s="1185"/>
      <c r="FHG84" s="1185"/>
      <c r="FHH84" s="1185"/>
      <c r="FHI84" s="1185"/>
      <c r="FHJ84" s="1185"/>
      <c r="FHK84" s="1185"/>
      <c r="FHL84" s="1185"/>
      <c r="FHM84" s="1185"/>
      <c r="FHN84" s="1185"/>
      <c r="FHO84" s="1185"/>
      <c r="FHP84" s="1185"/>
      <c r="FHQ84" s="1185"/>
      <c r="FHR84" s="1185"/>
      <c r="FHS84" s="1185"/>
      <c r="FHT84" s="1185"/>
      <c r="FHU84" s="1185"/>
      <c r="FHV84" s="1185"/>
      <c r="FHW84" s="1185"/>
      <c r="FHX84" s="1185"/>
      <c r="FHY84" s="1185"/>
      <c r="FHZ84" s="1185"/>
      <c r="FIA84" s="1185"/>
      <c r="FIB84" s="1185"/>
      <c r="FIC84" s="1185"/>
      <c r="FID84" s="1185"/>
      <c r="FIE84" s="1185"/>
      <c r="FIF84" s="1185"/>
      <c r="FIG84" s="1185"/>
      <c r="FIH84" s="1185"/>
      <c r="FII84" s="1185"/>
      <c r="FIJ84" s="1185"/>
      <c r="FIK84" s="1185"/>
      <c r="FIL84" s="1185"/>
      <c r="FIM84" s="1185"/>
      <c r="FIN84" s="1185"/>
      <c r="FIO84" s="1185"/>
      <c r="FIP84" s="1185"/>
      <c r="FIQ84" s="1185"/>
      <c r="FIR84" s="1185"/>
      <c r="FIS84" s="1185"/>
      <c r="FIT84" s="1185"/>
      <c r="FIU84" s="1185"/>
      <c r="FIV84" s="1185"/>
      <c r="FIW84" s="1185"/>
      <c r="FIX84" s="1185"/>
      <c r="FIY84" s="1185"/>
      <c r="FIZ84" s="1185"/>
      <c r="FJA84" s="1185"/>
      <c r="FJB84" s="1185"/>
      <c r="FJC84" s="1185"/>
      <c r="FJD84" s="1185"/>
      <c r="FJE84" s="1185"/>
      <c r="FJF84" s="1185"/>
      <c r="FJG84" s="1185"/>
      <c r="FJH84" s="1185"/>
      <c r="FJI84" s="1185"/>
      <c r="FJJ84" s="1185"/>
      <c r="FJK84" s="1185"/>
      <c r="FJL84" s="1185"/>
      <c r="FJM84" s="1185"/>
      <c r="FJN84" s="1185"/>
      <c r="FJO84" s="1185"/>
      <c r="FJP84" s="1185"/>
      <c r="FJQ84" s="1185"/>
      <c r="FJR84" s="1185"/>
      <c r="FJS84" s="1185"/>
      <c r="FJT84" s="1185"/>
      <c r="FJU84" s="1185"/>
      <c r="FJV84" s="1185"/>
      <c r="FJW84" s="1185"/>
      <c r="FJX84" s="1185"/>
      <c r="FJY84" s="1185"/>
      <c r="FJZ84" s="1185"/>
      <c r="FKA84" s="1185"/>
      <c r="FKB84" s="1185"/>
      <c r="FKC84" s="1185"/>
      <c r="FKD84" s="1185"/>
      <c r="FKE84" s="1185"/>
      <c r="FKF84" s="1185"/>
      <c r="FKG84" s="1185"/>
      <c r="FKH84" s="1185"/>
      <c r="FKI84" s="1185"/>
      <c r="FKJ84" s="1185"/>
      <c r="FKK84" s="1185"/>
      <c r="FKL84" s="1185"/>
      <c r="FKM84" s="1185"/>
      <c r="FKN84" s="1185"/>
      <c r="FKO84" s="1185"/>
      <c r="FKP84" s="1185"/>
      <c r="FKQ84" s="1185"/>
      <c r="FKR84" s="1185"/>
      <c r="FKS84" s="1185"/>
      <c r="FKT84" s="1185"/>
      <c r="FKU84" s="1185"/>
      <c r="FKV84" s="1185"/>
      <c r="FKW84" s="1185"/>
      <c r="FKX84" s="1185"/>
      <c r="FKY84" s="1185"/>
      <c r="FKZ84" s="1185"/>
      <c r="FLA84" s="1185"/>
      <c r="FLB84" s="1185"/>
      <c r="FLC84" s="1185"/>
      <c r="FLD84" s="1185"/>
      <c r="FLE84" s="1185"/>
      <c r="FLF84" s="1185"/>
      <c r="FLG84" s="1185"/>
      <c r="FLH84" s="1185"/>
      <c r="FLI84" s="1185"/>
      <c r="FLJ84" s="1185"/>
      <c r="FLK84" s="1185"/>
      <c r="FLL84" s="1185"/>
      <c r="FLM84" s="1185"/>
      <c r="FLN84" s="1185"/>
      <c r="FLO84" s="1185"/>
      <c r="FLP84" s="1185"/>
      <c r="FLQ84" s="1185"/>
      <c r="FLR84" s="1185"/>
      <c r="FLS84" s="1185"/>
      <c r="FLT84" s="1185"/>
      <c r="FLU84" s="1185"/>
      <c r="FLV84" s="1185"/>
      <c r="FLW84" s="1185"/>
      <c r="FLX84" s="1185"/>
      <c r="FLY84" s="1185"/>
      <c r="FLZ84" s="1185"/>
      <c r="FMA84" s="1185"/>
      <c r="FMB84" s="1185"/>
      <c r="FMC84" s="1185"/>
      <c r="FMD84" s="1185"/>
      <c r="FME84" s="1185"/>
      <c r="FMF84" s="1185"/>
      <c r="FMG84" s="1185"/>
      <c r="FMH84" s="1185"/>
      <c r="FMI84" s="1185"/>
      <c r="FMJ84" s="1185"/>
      <c r="FMK84" s="1185"/>
      <c r="FML84" s="1185"/>
      <c r="FMM84" s="1185"/>
      <c r="FMN84" s="1185"/>
      <c r="FMO84" s="1185"/>
      <c r="FMP84" s="1185"/>
      <c r="FMQ84" s="1185"/>
      <c r="FMR84" s="1185"/>
      <c r="FMS84" s="1185"/>
      <c r="FMT84" s="1185"/>
      <c r="FMU84" s="1185"/>
      <c r="FMV84" s="1185"/>
      <c r="FMW84" s="1185"/>
      <c r="FMX84" s="1185"/>
      <c r="FMY84" s="1185"/>
      <c r="FMZ84" s="1185"/>
      <c r="FNA84" s="1185"/>
      <c r="FNB84" s="1185"/>
      <c r="FNC84" s="1185"/>
      <c r="FND84" s="1185"/>
      <c r="FNE84" s="1185"/>
      <c r="FNF84" s="1185"/>
      <c r="FNG84" s="1185"/>
      <c r="FNH84" s="1185"/>
      <c r="FNI84" s="1185"/>
      <c r="FNJ84" s="1185"/>
      <c r="FNK84" s="1185"/>
      <c r="FNL84" s="1185"/>
      <c r="FNM84" s="1185"/>
      <c r="FNN84" s="1185"/>
      <c r="FNO84" s="1185"/>
      <c r="FNP84" s="1185"/>
      <c r="FNQ84" s="1185"/>
      <c r="FNR84" s="1185"/>
      <c r="FNS84" s="1185"/>
      <c r="FNT84" s="1185"/>
      <c r="FNU84" s="1185"/>
      <c r="FNV84" s="1185"/>
      <c r="FNW84" s="1185"/>
      <c r="FNX84" s="1185"/>
      <c r="FNY84" s="1185"/>
      <c r="FNZ84" s="1185"/>
      <c r="FOA84" s="1185"/>
      <c r="FOB84" s="1185"/>
      <c r="FOC84" s="1185"/>
      <c r="FOD84" s="1185"/>
      <c r="FOE84" s="1185"/>
      <c r="FOF84" s="1185"/>
      <c r="FOG84" s="1185"/>
      <c r="FOH84" s="1185"/>
      <c r="FOI84" s="1185"/>
      <c r="FOJ84" s="1185"/>
      <c r="FOK84" s="1185"/>
      <c r="FOL84" s="1185"/>
      <c r="FOM84" s="1185"/>
      <c r="FON84" s="1185"/>
      <c r="FOO84" s="1185"/>
      <c r="FOP84" s="1185"/>
      <c r="FOQ84" s="1185"/>
      <c r="FOR84" s="1185"/>
      <c r="FOS84" s="1185"/>
      <c r="FOT84" s="1185"/>
      <c r="FOU84" s="1185"/>
      <c r="FOV84" s="1185"/>
      <c r="FOW84" s="1185"/>
      <c r="FOX84" s="1185"/>
      <c r="FOY84" s="1185"/>
      <c r="FOZ84" s="1185"/>
      <c r="FPA84" s="1185"/>
      <c r="FPB84" s="1185"/>
      <c r="FPC84" s="1185"/>
      <c r="FPD84" s="1185"/>
      <c r="FPE84" s="1185"/>
      <c r="FPF84" s="1185"/>
      <c r="FPG84" s="1185"/>
      <c r="FPH84" s="1185"/>
      <c r="FPI84" s="1185"/>
      <c r="FPJ84" s="1185"/>
      <c r="FPK84" s="1185"/>
      <c r="FPL84" s="1185"/>
      <c r="FPM84" s="1185"/>
      <c r="FPN84" s="1185"/>
      <c r="FPO84" s="1185"/>
      <c r="FPP84" s="1185"/>
      <c r="FPQ84" s="1185"/>
      <c r="FPR84" s="1185"/>
      <c r="FPS84" s="1185"/>
      <c r="FPT84" s="1185"/>
      <c r="FPU84" s="1185"/>
      <c r="FPV84" s="1185"/>
      <c r="FPW84" s="1185"/>
      <c r="FPX84" s="1185"/>
      <c r="FPY84" s="1185"/>
      <c r="FPZ84" s="1185"/>
      <c r="FQA84" s="1185"/>
      <c r="FQB84" s="1185"/>
      <c r="FQC84" s="1185"/>
      <c r="FQD84" s="1185"/>
      <c r="FQE84" s="1185"/>
      <c r="FQF84" s="1185"/>
      <c r="FQG84" s="1185"/>
      <c r="FQH84" s="1185"/>
      <c r="FQI84" s="1185"/>
      <c r="FQJ84" s="1185"/>
      <c r="FQK84" s="1185"/>
      <c r="FQL84" s="1185"/>
      <c r="FQM84" s="1185"/>
      <c r="FQN84" s="1185"/>
      <c r="FQO84" s="1185"/>
      <c r="FQP84" s="1185"/>
      <c r="FQQ84" s="1185"/>
      <c r="FQR84" s="1185"/>
      <c r="FQS84" s="1185"/>
      <c r="FQT84" s="1185"/>
      <c r="FQU84" s="1185"/>
      <c r="FQV84" s="1185"/>
      <c r="FQW84" s="1185"/>
      <c r="FQX84" s="1185"/>
      <c r="FQY84" s="1185"/>
      <c r="FQZ84" s="1185"/>
      <c r="FRA84" s="1185"/>
      <c r="FRB84" s="1185"/>
      <c r="FRC84" s="1185"/>
      <c r="FRD84" s="1185"/>
      <c r="FRE84" s="1185"/>
      <c r="FRF84" s="1185"/>
      <c r="FRG84" s="1185"/>
      <c r="FRH84" s="1185"/>
      <c r="FRI84" s="1185"/>
      <c r="FRJ84" s="1185"/>
      <c r="FRK84" s="1185"/>
      <c r="FRL84" s="1185"/>
      <c r="FRM84" s="1185"/>
      <c r="FRN84" s="1185"/>
      <c r="FRO84" s="1185"/>
      <c r="FRP84" s="1185"/>
      <c r="FRQ84" s="1185"/>
      <c r="FRR84" s="1185"/>
      <c r="FRS84" s="1185"/>
      <c r="FRT84" s="1185"/>
      <c r="FRU84" s="1185"/>
      <c r="FRV84" s="1185"/>
      <c r="FRW84" s="1185"/>
      <c r="FRX84" s="1185"/>
      <c r="FRY84" s="1185"/>
      <c r="FRZ84" s="1185"/>
      <c r="FSA84" s="1185"/>
      <c r="FSB84" s="1185"/>
      <c r="FSC84" s="1185"/>
      <c r="FSD84" s="1185"/>
      <c r="FSE84" s="1185"/>
      <c r="FSF84" s="1185"/>
      <c r="FSG84" s="1185"/>
      <c r="FSH84" s="1185"/>
      <c r="FSI84" s="1185"/>
      <c r="FSJ84" s="1185"/>
      <c r="FSK84" s="1185"/>
      <c r="FSL84" s="1185"/>
      <c r="FSM84" s="1185"/>
      <c r="FSN84" s="1185"/>
      <c r="FSO84" s="1185"/>
      <c r="FSP84" s="1185"/>
      <c r="FSQ84" s="1185"/>
      <c r="FSR84" s="1185"/>
      <c r="FSS84" s="1185"/>
      <c r="FST84" s="1185"/>
      <c r="FSU84" s="1185"/>
      <c r="FSV84" s="1185"/>
      <c r="FSW84" s="1185"/>
      <c r="FSX84" s="1185"/>
      <c r="FSY84" s="1185"/>
      <c r="FSZ84" s="1185"/>
      <c r="FTA84" s="1185"/>
      <c r="FTB84" s="1185"/>
      <c r="FTC84" s="1185"/>
      <c r="FTD84" s="1185"/>
      <c r="FTE84" s="1185"/>
      <c r="FTF84" s="1185"/>
      <c r="FTG84" s="1185"/>
      <c r="FTH84" s="1185"/>
      <c r="FTI84" s="1185"/>
      <c r="FTJ84" s="1185"/>
      <c r="FTK84" s="1185"/>
      <c r="FTL84" s="1185"/>
      <c r="FTM84" s="1185"/>
      <c r="FTN84" s="1185"/>
      <c r="FTO84" s="1185"/>
      <c r="FTP84" s="1185"/>
      <c r="FTQ84" s="1185"/>
      <c r="FTR84" s="1185"/>
      <c r="FTS84" s="1185"/>
      <c r="FTT84" s="1185"/>
      <c r="FTU84" s="1185"/>
      <c r="FTV84" s="1185"/>
      <c r="FTW84" s="1185"/>
      <c r="FTX84" s="1185"/>
      <c r="FTY84" s="1185"/>
      <c r="FTZ84" s="1185"/>
      <c r="FUA84" s="1185"/>
      <c r="FUB84" s="1185"/>
      <c r="FUC84" s="1185"/>
      <c r="FUD84" s="1185"/>
      <c r="FUE84" s="1185"/>
      <c r="FUF84" s="1185"/>
      <c r="FUG84" s="1185"/>
      <c r="FUH84" s="1185"/>
      <c r="FUI84" s="1185"/>
      <c r="FUJ84" s="1185"/>
      <c r="FUK84" s="1185"/>
      <c r="FUL84" s="1185"/>
      <c r="FUM84" s="1185"/>
      <c r="FUN84" s="1185"/>
      <c r="FUO84" s="1185"/>
      <c r="FUP84" s="1185"/>
      <c r="FUQ84" s="1185"/>
      <c r="FUR84" s="1185"/>
      <c r="FUS84" s="1185"/>
      <c r="FUT84" s="1185"/>
      <c r="FUU84" s="1185"/>
      <c r="FUV84" s="1185"/>
      <c r="FUW84" s="1185"/>
      <c r="FUX84" s="1185"/>
      <c r="FUY84" s="1185"/>
      <c r="FUZ84" s="1185"/>
      <c r="FVA84" s="1185"/>
      <c r="FVB84" s="1185"/>
      <c r="FVC84" s="1185"/>
      <c r="FVD84" s="1185"/>
      <c r="FVE84" s="1185"/>
      <c r="FVF84" s="1185"/>
      <c r="FVG84" s="1185"/>
      <c r="FVH84" s="1185"/>
      <c r="FVI84" s="1185"/>
      <c r="FVJ84" s="1185"/>
      <c r="FVK84" s="1185"/>
      <c r="FVL84" s="1185"/>
      <c r="FVM84" s="1185"/>
      <c r="FVN84" s="1185"/>
      <c r="FVO84" s="1185"/>
      <c r="FVP84" s="1185"/>
      <c r="FVQ84" s="1185"/>
      <c r="FVR84" s="1185"/>
      <c r="FVS84" s="1185"/>
      <c r="FVT84" s="1185"/>
      <c r="FVU84" s="1185"/>
      <c r="FVV84" s="1185"/>
      <c r="FVW84" s="1185"/>
      <c r="FVX84" s="1185"/>
      <c r="FVY84" s="1185"/>
      <c r="FVZ84" s="1185"/>
      <c r="FWA84" s="1185"/>
      <c r="FWB84" s="1185"/>
      <c r="FWC84" s="1185"/>
      <c r="FWD84" s="1185"/>
      <c r="FWE84" s="1185"/>
      <c r="FWF84" s="1185"/>
      <c r="FWG84" s="1185"/>
      <c r="FWH84" s="1185"/>
      <c r="FWI84" s="1185"/>
      <c r="FWJ84" s="1185"/>
      <c r="FWK84" s="1185"/>
      <c r="FWL84" s="1185"/>
      <c r="FWM84" s="1185"/>
      <c r="FWN84" s="1185"/>
      <c r="FWO84" s="1185"/>
      <c r="FWP84" s="1185"/>
      <c r="FWQ84" s="1185"/>
      <c r="FWR84" s="1185"/>
      <c r="FWS84" s="1185"/>
      <c r="FWT84" s="1185"/>
      <c r="FWU84" s="1185"/>
      <c r="FWV84" s="1185"/>
      <c r="FWW84" s="1185"/>
      <c r="FWX84" s="1185"/>
      <c r="FWY84" s="1185"/>
      <c r="FWZ84" s="1185"/>
      <c r="FXA84" s="1185"/>
      <c r="FXB84" s="1185"/>
      <c r="FXC84" s="1185"/>
      <c r="FXD84" s="1185"/>
      <c r="FXE84" s="1185"/>
      <c r="FXF84" s="1185"/>
      <c r="FXG84" s="1185"/>
      <c r="FXH84" s="1185"/>
      <c r="FXI84" s="1185"/>
      <c r="FXJ84" s="1185"/>
      <c r="FXK84" s="1185"/>
      <c r="FXL84" s="1185"/>
      <c r="FXM84" s="1185"/>
      <c r="FXN84" s="1185"/>
      <c r="FXO84" s="1185"/>
      <c r="FXP84" s="1185"/>
      <c r="FXQ84" s="1185"/>
      <c r="FXR84" s="1185"/>
      <c r="FXS84" s="1185"/>
      <c r="FXT84" s="1185"/>
      <c r="FXU84" s="1185"/>
      <c r="FXV84" s="1185"/>
      <c r="FXW84" s="1185"/>
      <c r="FXX84" s="1185"/>
      <c r="FXY84" s="1185"/>
      <c r="FXZ84" s="1185"/>
      <c r="FYA84" s="1185"/>
      <c r="FYB84" s="1185"/>
      <c r="FYC84" s="1185"/>
      <c r="FYD84" s="1185"/>
      <c r="FYE84" s="1185"/>
      <c r="FYF84" s="1185"/>
      <c r="FYG84" s="1185"/>
      <c r="FYH84" s="1185"/>
      <c r="FYI84" s="1185"/>
      <c r="FYJ84" s="1185"/>
      <c r="FYK84" s="1185"/>
      <c r="FYL84" s="1185"/>
      <c r="FYM84" s="1185"/>
      <c r="FYN84" s="1185"/>
      <c r="FYO84" s="1185"/>
      <c r="FYP84" s="1185"/>
      <c r="FYQ84" s="1185"/>
      <c r="FYR84" s="1185"/>
      <c r="FYS84" s="1185"/>
      <c r="FYT84" s="1185"/>
      <c r="FYU84" s="1185"/>
      <c r="FYV84" s="1185"/>
      <c r="FYW84" s="1185"/>
      <c r="FYX84" s="1185"/>
      <c r="FYY84" s="1185"/>
      <c r="FYZ84" s="1185"/>
      <c r="FZA84" s="1185"/>
      <c r="FZB84" s="1185"/>
      <c r="FZC84" s="1185"/>
      <c r="FZD84" s="1185"/>
      <c r="FZE84" s="1185"/>
      <c r="FZF84" s="1185"/>
      <c r="FZG84" s="1185"/>
      <c r="FZH84" s="1185"/>
      <c r="FZI84" s="1185"/>
      <c r="FZJ84" s="1185"/>
      <c r="FZK84" s="1185"/>
      <c r="FZL84" s="1185"/>
      <c r="FZM84" s="1185"/>
      <c r="FZN84" s="1185"/>
      <c r="FZO84" s="1185"/>
      <c r="FZP84" s="1185"/>
      <c r="FZQ84" s="1185"/>
      <c r="FZR84" s="1185"/>
      <c r="FZS84" s="1185"/>
      <c r="FZT84" s="1185"/>
      <c r="FZU84" s="1185"/>
      <c r="FZV84" s="1185"/>
      <c r="FZW84" s="1185"/>
      <c r="FZX84" s="1185"/>
      <c r="FZY84" s="1185"/>
      <c r="FZZ84" s="1185"/>
      <c r="GAA84" s="1185"/>
      <c r="GAB84" s="1185"/>
      <c r="GAC84" s="1185"/>
      <c r="GAD84" s="1185"/>
      <c r="GAE84" s="1185"/>
      <c r="GAF84" s="1185"/>
      <c r="GAG84" s="1185"/>
      <c r="GAH84" s="1185"/>
      <c r="GAI84" s="1185"/>
      <c r="GAJ84" s="1185"/>
      <c r="GAK84" s="1185"/>
      <c r="GAL84" s="1185"/>
      <c r="GAM84" s="1185"/>
      <c r="GAN84" s="1185"/>
      <c r="GAO84" s="1185"/>
      <c r="GAP84" s="1185"/>
      <c r="GAQ84" s="1185"/>
      <c r="GAR84" s="1185"/>
      <c r="GAS84" s="1185"/>
      <c r="GAT84" s="1185"/>
      <c r="GAU84" s="1185"/>
      <c r="GAV84" s="1185"/>
      <c r="GAW84" s="1185"/>
      <c r="GAX84" s="1185"/>
      <c r="GAY84" s="1185"/>
      <c r="GAZ84" s="1185"/>
      <c r="GBA84" s="1185"/>
      <c r="GBB84" s="1185"/>
      <c r="GBC84" s="1185"/>
      <c r="GBD84" s="1185"/>
      <c r="GBE84" s="1185"/>
      <c r="GBF84" s="1185"/>
      <c r="GBG84" s="1185"/>
      <c r="GBH84" s="1185"/>
      <c r="GBI84" s="1185"/>
      <c r="GBJ84" s="1185"/>
      <c r="GBK84" s="1185"/>
      <c r="GBL84" s="1185"/>
      <c r="GBM84" s="1185"/>
      <c r="GBN84" s="1185"/>
      <c r="GBO84" s="1185"/>
      <c r="GBP84" s="1185"/>
      <c r="GBQ84" s="1185"/>
      <c r="GBR84" s="1185"/>
      <c r="GBS84" s="1185"/>
      <c r="GBT84" s="1185"/>
      <c r="GBU84" s="1185"/>
      <c r="GBV84" s="1185"/>
      <c r="GBW84" s="1185"/>
      <c r="GBX84" s="1185"/>
      <c r="GBY84" s="1185"/>
      <c r="GBZ84" s="1185"/>
      <c r="GCA84" s="1185"/>
      <c r="GCB84" s="1185"/>
      <c r="GCC84" s="1185"/>
      <c r="GCD84" s="1185"/>
      <c r="GCE84" s="1185"/>
      <c r="GCF84" s="1185"/>
      <c r="GCG84" s="1185"/>
      <c r="GCH84" s="1185"/>
      <c r="GCI84" s="1185"/>
      <c r="GCJ84" s="1185"/>
      <c r="GCK84" s="1185"/>
      <c r="GCL84" s="1185"/>
      <c r="GCM84" s="1185"/>
      <c r="GCN84" s="1185"/>
      <c r="GCO84" s="1185"/>
      <c r="GCP84" s="1185"/>
      <c r="GCQ84" s="1185"/>
      <c r="GCR84" s="1185"/>
      <c r="GCS84" s="1185"/>
      <c r="GCT84" s="1185"/>
      <c r="GCU84" s="1185"/>
      <c r="GCV84" s="1185"/>
      <c r="GCW84" s="1185"/>
      <c r="GCX84" s="1185"/>
      <c r="GCY84" s="1185"/>
      <c r="GCZ84" s="1185"/>
      <c r="GDA84" s="1185"/>
      <c r="GDB84" s="1185"/>
      <c r="GDC84" s="1185"/>
      <c r="GDD84" s="1185"/>
      <c r="GDE84" s="1185"/>
      <c r="GDF84" s="1185"/>
      <c r="GDG84" s="1185"/>
      <c r="GDH84" s="1185"/>
      <c r="GDI84" s="1185"/>
      <c r="GDJ84" s="1185"/>
      <c r="GDK84" s="1185"/>
      <c r="GDL84" s="1185"/>
      <c r="GDM84" s="1185"/>
      <c r="GDN84" s="1185"/>
      <c r="GDO84" s="1185"/>
      <c r="GDP84" s="1185"/>
      <c r="GDQ84" s="1185"/>
      <c r="GDR84" s="1185"/>
      <c r="GDS84" s="1185"/>
      <c r="GDT84" s="1185"/>
      <c r="GDU84" s="1185"/>
      <c r="GDV84" s="1185"/>
      <c r="GDW84" s="1185"/>
      <c r="GDX84" s="1185"/>
      <c r="GDY84" s="1185"/>
      <c r="GDZ84" s="1185"/>
      <c r="GEA84" s="1185"/>
      <c r="GEB84" s="1185"/>
      <c r="GEC84" s="1185"/>
      <c r="GED84" s="1185"/>
      <c r="GEE84" s="1185"/>
      <c r="GEF84" s="1185"/>
      <c r="GEG84" s="1185"/>
      <c r="GEH84" s="1185"/>
      <c r="GEI84" s="1185"/>
      <c r="GEJ84" s="1185"/>
      <c r="GEK84" s="1185"/>
      <c r="GEL84" s="1185"/>
      <c r="GEM84" s="1185"/>
      <c r="GEN84" s="1185"/>
      <c r="GEO84" s="1185"/>
      <c r="GEP84" s="1185"/>
      <c r="GEQ84" s="1185"/>
      <c r="GER84" s="1185"/>
      <c r="GES84" s="1185"/>
      <c r="GET84" s="1185"/>
      <c r="GEU84" s="1185"/>
      <c r="GEV84" s="1185"/>
      <c r="GEW84" s="1185"/>
      <c r="GEX84" s="1185"/>
      <c r="GEY84" s="1185"/>
      <c r="GEZ84" s="1185"/>
      <c r="GFA84" s="1185"/>
      <c r="GFB84" s="1185"/>
      <c r="GFC84" s="1185"/>
      <c r="GFD84" s="1185"/>
      <c r="GFE84" s="1185"/>
      <c r="GFF84" s="1185"/>
      <c r="GFG84" s="1185"/>
      <c r="GFH84" s="1185"/>
      <c r="GFI84" s="1185"/>
      <c r="GFJ84" s="1185"/>
      <c r="GFK84" s="1185"/>
      <c r="GFL84" s="1185"/>
      <c r="GFM84" s="1185"/>
      <c r="GFN84" s="1185"/>
      <c r="GFO84" s="1185"/>
      <c r="GFP84" s="1185"/>
      <c r="GFQ84" s="1185"/>
      <c r="GFR84" s="1185"/>
      <c r="GFS84" s="1185"/>
      <c r="GFT84" s="1185"/>
      <c r="GFU84" s="1185"/>
      <c r="GFV84" s="1185"/>
      <c r="GFW84" s="1185"/>
      <c r="GFX84" s="1185"/>
      <c r="GFY84" s="1185"/>
      <c r="GFZ84" s="1185"/>
      <c r="GGA84" s="1185"/>
      <c r="GGB84" s="1185"/>
      <c r="GGC84" s="1185"/>
      <c r="GGD84" s="1185"/>
      <c r="GGE84" s="1185"/>
      <c r="GGF84" s="1185"/>
      <c r="GGG84" s="1185"/>
      <c r="GGH84" s="1185"/>
      <c r="GGI84" s="1185"/>
      <c r="GGJ84" s="1185"/>
      <c r="GGK84" s="1185"/>
      <c r="GGL84" s="1185"/>
      <c r="GGM84" s="1185"/>
      <c r="GGN84" s="1185"/>
      <c r="GGO84" s="1185"/>
      <c r="GGP84" s="1185"/>
      <c r="GGQ84" s="1185"/>
      <c r="GGR84" s="1185"/>
      <c r="GGS84" s="1185"/>
      <c r="GGT84" s="1185"/>
      <c r="GGU84" s="1185"/>
      <c r="GGV84" s="1185"/>
      <c r="GGW84" s="1185"/>
      <c r="GGX84" s="1185"/>
      <c r="GGY84" s="1185"/>
      <c r="GGZ84" s="1185"/>
      <c r="GHA84" s="1185"/>
      <c r="GHB84" s="1185"/>
      <c r="GHC84" s="1185"/>
      <c r="GHD84" s="1185"/>
      <c r="GHE84" s="1185"/>
      <c r="GHF84" s="1185"/>
      <c r="GHG84" s="1185"/>
      <c r="GHH84" s="1185"/>
      <c r="GHI84" s="1185"/>
      <c r="GHJ84" s="1185"/>
      <c r="GHK84" s="1185"/>
      <c r="GHL84" s="1185"/>
      <c r="GHM84" s="1185"/>
      <c r="GHN84" s="1185"/>
      <c r="GHO84" s="1185"/>
      <c r="GHP84" s="1185"/>
      <c r="GHQ84" s="1185"/>
      <c r="GHR84" s="1185"/>
      <c r="GHS84" s="1185"/>
      <c r="GHT84" s="1185"/>
      <c r="GHU84" s="1185"/>
      <c r="GHV84" s="1185"/>
      <c r="GHW84" s="1185"/>
      <c r="GHX84" s="1185"/>
      <c r="GHY84" s="1185"/>
      <c r="GHZ84" s="1185"/>
      <c r="GIA84" s="1185"/>
      <c r="GIB84" s="1185"/>
      <c r="GIC84" s="1185"/>
      <c r="GID84" s="1185"/>
      <c r="GIE84" s="1185"/>
      <c r="GIF84" s="1185"/>
      <c r="GIG84" s="1185"/>
      <c r="GIH84" s="1185"/>
      <c r="GII84" s="1185"/>
      <c r="GIJ84" s="1185"/>
      <c r="GIK84" s="1185"/>
      <c r="GIL84" s="1185"/>
      <c r="GIM84" s="1185"/>
      <c r="GIN84" s="1185"/>
      <c r="GIO84" s="1185"/>
      <c r="GIP84" s="1185"/>
      <c r="GIQ84" s="1185"/>
      <c r="GIR84" s="1185"/>
      <c r="GIS84" s="1185"/>
      <c r="GIT84" s="1185"/>
      <c r="GIU84" s="1185"/>
      <c r="GIV84" s="1185"/>
      <c r="GIW84" s="1185"/>
      <c r="GIX84" s="1185"/>
      <c r="GIY84" s="1185"/>
      <c r="GIZ84" s="1185"/>
      <c r="GJA84" s="1185"/>
      <c r="GJB84" s="1185"/>
      <c r="GJC84" s="1185"/>
      <c r="GJD84" s="1185"/>
      <c r="GJE84" s="1185"/>
      <c r="GJF84" s="1185"/>
      <c r="GJG84" s="1185"/>
      <c r="GJH84" s="1185"/>
      <c r="GJI84" s="1185"/>
      <c r="GJJ84" s="1185"/>
      <c r="GJK84" s="1185"/>
      <c r="GJL84" s="1185"/>
      <c r="GJM84" s="1185"/>
      <c r="GJN84" s="1185"/>
      <c r="GJO84" s="1185"/>
      <c r="GJP84" s="1185"/>
      <c r="GJQ84" s="1185"/>
      <c r="GJR84" s="1185"/>
      <c r="GJS84" s="1185"/>
      <c r="GJT84" s="1185"/>
      <c r="GJU84" s="1185"/>
      <c r="GJV84" s="1185"/>
      <c r="GJW84" s="1185"/>
      <c r="GJX84" s="1185"/>
      <c r="GJY84" s="1185"/>
      <c r="GJZ84" s="1185"/>
      <c r="GKA84" s="1185"/>
      <c r="GKB84" s="1185"/>
      <c r="GKC84" s="1185"/>
      <c r="GKD84" s="1185"/>
      <c r="GKE84" s="1185"/>
      <c r="GKF84" s="1185"/>
      <c r="GKG84" s="1185"/>
      <c r="GKH84" s="1185"/>
      <c r="GKI84" s="1185"/>
      <c r="GKJ84" s="1185"/>
      <c r="GKK84" s="1185"/>
      <c r="GKL84" s="1185"/>
      <c r="GKM84" s="1185"/>
      <c r="GKN84" s="1185"/>
      <c r="GKO84" s="1185"/>
      <c r="GKP84" s="1185"/>
      <c r="GKQ84" s="1185"/>
      <c r="GKR84" s="1185"/>
      <c r="GKS84" s="1185"/>
      <c r="GKT84" s="1185"/>
      <c r="GKU84" s="1185"/>
      <c r="GKV84" s="1185"/>
      <c r="GKW84" s="1185"/>
      <c r="GKX84" s="1185"/>
      <c r="GKY84" s="1185"/>
      <c r="GKZ84" s="1185"/>
      <c r="GLA84" s="1185"/>
      <c r="GLB84" s="1185"/>
      <c r="GLC84" s="1185"/>
      <c r="GLD84" s="1185"/>
      <c r="GLE84" s="1185"/>
      <c r="GLF84" s="1185"/>
      <c r="GLG84" s="1185"/>
      <c r="GLH84" s="1185"/>
      <c r="GLI84" s="1185"/>
      <c r="GLJ84" s="1185"/>
      <c r="GLK84" s="1185"/>
      <c r="GLL84" s="1185"/>
      <c r="GLM84" s="1185"/>
      <c r="GLN84" s="1185"/>
      <c r="GLO84" s="1185"/>
      <c r="GLP84" s="1185"/>
      <c r="GLQ84" s="1185"/>
      <c r="GLR84" s="1185"/>
      <c r="GLS84" s="1185"/>
      <c r="GLT84" s="1185"/>
      <c r="GLU84" s="1185"/>
      <c r="GLV84" s="1185"/>
      <c r="GLW84" s="1185"/>
      <c r="GLX84" s="1185"/>
      <c r="GLY84" s="1185"/>
      <c r="GLZ84" s="1185"/>
      <c r="GMA84" s="1185"/>
      <c r="GMB84" s="1185"/>
      <c r="GMC84" s="1185"/>
      <c r="GMD84" s="1185"/>
      <c r="GME84" s="1185"/>
      <c r="GMF84" s="1185"/>
      <c r="GMG84" s="1185"/>
      <c r="GMH84" s="1185"/>
      <c r="GMI84" s="1185"/>
      <c r="GMJ84" s="1185"/>
      <c r="GMK84" s="1185"/>
      <c r="GML84" s="1185"/>
      <c r="GMM84" s="1185"/>
      <c r="GMN84" s="1185"/>
      <c r="GMO84" s="1185"/>
      <c r="GMP84" s="1185"/>
      <c r="GMQ84" s="1185"/>
      <c r="GMR84" s="1185"/>
      <c r="GMS84" s="1185"/>
      <c r="GMT84" s="1185"/>
      <c r="GMU84" s="1185"/>
      <c r="GMV84" s="1185"/>
      <c r="GMW84" s="1185"/>
      <c r="GMX84" s="1185"/>
      <c r="GMY84" s="1185"/>
      <c r="GMZ84" s="1185"/>
      <c r="GNA84" s="1185"/>
      <c r="GNB84" s="1185"/>
      <c r="GNC84" s="1185"/>
      <c r="GND84" s="1185"/>
      <c r="GNE84" s="1185"/>
      <c r="GNF84" s="1185"/>
      <c r="GNG84" s="1185"/>
      <c r="GNH84" s="1185"/>
      <c r="GNI84" s="1185"/>
      <c r="GNJ84" s="1185"/>
      <c r="GNK84" s="1185"/>
      <c r="GNL84" s="1185"/>
      <c r="GNM84" s="1185"/>
      <c r="GNN84" s="1185"/>
      <c r="GNO84" s="1185"/>
      <c r="GNP84" s="1185"/>
      <c r="GNQ84" s="1185"/>
      <c r="GNR84" s="1185"/>
      <c r="GNS84" s="1185"/>
      <c r="GNT84" s="1185"/>
      <c r="GNU84" s="1185"/>
      <c r="GNV84" s="1185"/>
      <c r="GNW84" s="1185"/>
      <c r="GNX84" s="1185"/>
      <c r="GNY84" s="1185"/>
      <c r="GNZ84" s="1185"/>
      <c r="GOA84" s="1185"/>
      <c r="GOB84" s="1185"/>
      <c r="GOC84" s="1185"/>
      <c r="GOD84" s="1185"/>
      <c r="GOE84" s="1185"/>
      <c r="GOF84" s="1185"/>
      <c r="GOG84" s="1185"/>
      <c r="GOH84" s="1185"/>
      <c r="GOI84" s="1185"/>
      <c r="GOJ84" s="1185"/>
      <c r="GOK84" s="1185"/>
      <c r="GOL84" s="1185"/>
      <c r="GOM84" s="1185"/>
      <c r="GON84" s="1185"/>
      <c r="GOO84" s="1185"/>
      <c r="GOP84" s="1185"/>
      <c r="GOQ84" s="1185"/>
      <c r="GOR84" s="1185"/>
      <c r="GOS84" s="1185"/>
      <c r="GOT84" s="1185"/>
      <c r="GOU84" s="1185"/>
      <c r="GOV84" s="1185"/>
      <c r="GOW84" s="1185"/>
      <c r="GOX84" s="1185"/>
      <c r="GOY84" s="1185"/>
      <c r="GOZ84" s="1185"/>
      <c r="GPA84" s="1185"/>
      <c r="GPB84" s="1185"/>
      <c r="GPC84" s="1185"/>
      <c r="GPD84" s="1185"/>
      <c r="GPE84" s="1185"/>
      <c r="GPF84" s="1185"/>
      <c r="GPG84" s="1185"/>
      <c r="GPH84" s="1185"/>
      <c r="GPI84" s="1185"/>
      <c r="GPJ84" s="1185"/>
      <c r="GPK84" s="1185"/>
      <c r="GPL84" s="1185"/>
      <c r="GPM84" s="1185"/>
      <c r="GPN84" s="1185"/>
      <c r="GPO84" s="1185"/>
      <c r="GPP84" s="1185"/>
      <c r="GPQ84" s="1185"/>
      <c r="GPR84" s="1185"/>
      <c r="GPS84" s="1185"/>
      <c r="GPT84" s="1185"/>
      <c r="GPU84" s="1185"/>
      <c r="GPV84" s="1185"/>
      <c r="GPW84" s="1185"/>
      <c r="GPX84" s="1185"/>
      <c r="GPY84" s="1185"/>
      <c r="GPZ84" s="1185"/>
      <c r="GQA84" s="1185"/>
      <c r="GQB84" s="1185"/>
      <c r="GQC84" s="1185"/>
      <c r="GQD84" s="1185"/>
      <c r="GQE84" s="1185"/>
      <c r="GQF84" s="1185"/>
      <c r="GQG84" s="1185"/>
      <c r="GQH84" s="1185"/>
      <c r="GQI84" s="1185"/>
      <c r="GQJ84" s="1185"/>
      <c r="GQK84" s="1185"/>
      <c r="GQL84" s="1185"/>
      <c r="GQM84" s="1185"/>
      <c r="GQN84" s="1185"/>
      <c r="GQO84" s="1185"/>
      <c r="GQP84" s="1185"/>
      <c r="GQQ84" s="1185"/>
      <c r="GQR84" s="1185"/>
      <c r="GQS84" s="1185"/>
      <c r="GQT84" s="1185"/>
      <c r="GQU84" s="1185"/>
      <c r="GQV84" s="1185"/>
      <c r="GQW84" s="1185"/>
      <c r="GQX84" s="1185"/>
      <c r="GQY84" s="1185"/>
      <c r="GQZ84" s="1185"/>
      <c r="GRA84" s="1185"/>
      <c r="GRB84" s="1185"/>
      <c r="GRC84" s="1185"/>
      <c r="GRD84" s="1185"/>
      <c r="GRE84" s="1185"/>
      <c r="GRF84" s="1185"/>
      <c r="GRG84" s="1185"/>
      <c r="GRH84" s="1185"/>
      <c r="GRI84" s="1185"/>
      <c r="GRJ84" s="1185"/>
      <c r="GRK84" s="1185"/>
      <c r="GRL84" s="1185"/>
      <c r="GRM84" s="1185"/>
      <c r="GRN84" s="1185"/>
      <c r="GRO84" s="1185"/>
      <c r="GRP84" s="1185"/>
      <c r="GRQ84" s="1185"/>
      <c r="GRR84" s="1185"/>
      <c r="GRS84" s="1185"/>
      <c r="GRT84" s="1185"/>
      <c r="GRU84" s="1185"/>
      <c r="GRV84" s="1185"/>
      <c r="GRW84" s="1185"/>
      <c r="GRX84" s="1185"/>
      <c r="GRY84" s="1185"/>
      <c r="GRZ84" s="1185"/>
      <c r="GSA84" s="1185"/>
      <c r="GSB84" s="1185"/>
      <c r="GSC84" s="1185"/>
      <c r="GSD84" s="1185"/>
      <c r="GSE84" s="1185"/>
      <c r="GSF84" s="1185"/>
      <c r="GSG84" s="1185"/>
      <c r="GSH84" s="1185"/>
      <c r="GSI84" s="1185"/>
      <c r="GSJ84" s="1185"/>
      <c r="GSK84" s="1185"/>
      <c r="GSL84" s="1185"/>
      <c r="GSM84" s="1185"/>
      <c r="GSN84" s="1185"/>
      <c r="GSO84" s="1185"/>
      <c r="GSP84" s="1185"/>
      <c r="GSQ84" s="1185"/>
      <c r="GSR84" s="1185"/>
      <c r="GSS84" s="1185"/>
      <c r="GST84" s="1185"/>
      <c r="GSU84" s="1185"/>
      <c r="GSV84" s="1185"/>
      <c r="GSW84" s="1185"/>
      <c r="GSX84" s="1185"/>
      <c r="GSY84" s="1185"/>
      <c r="GSZ84" s="1185"/>
      <c r="GTA84" s="1185"/>
      <c r="GTB84" s="1185"/>
      <c r="GTC84" s="1185"/>
      <c r="GTD84" s="1185"/>
      <c r="GTE84" s="1185"/>
      <c r="GTF84" s="1185"/>
      <c r="GTG84" s="1185"/>
      <c r="GTH84" s="1185"/>
      <c r="GTI84" s="1185"/>
      <c r="GTJ84" s="1185"/>
      <c r="GTK84" s="1185"/>
      <c r="GTL84" s="1185"/>
      <c r="GTM84" s="1185"/>
      <c r="GTN84" s="1185"/>
      <c r="GTO84" s="1185"/>
      <c r="GTP84" s="1185"/>
      <c r="GTQ84" s="1185"/>
      <c r="GTR84" s="1185"/>
      <c r="GTS84" s="1185"/>
      <c r="GTT84" s="1185"/>
      <c r="GTU84" s="1185"/>
      <c r="GTV84" s="1185"/>
      <c r="GTW84" s="1185"/>
      <c r="GTX84" s="1185"/>
      <c r="GTY84" s="1185"/>
      <c r="GTZ84" s="1185"/>
      <c r="GUA84" s="1185"/>
      <c r="GUB84" s="1185"/>
      <c r="GUC84" s="1185"/>
      <c r="GUD84" s="1185"/>
      <c r="GUE84" s="1185"/>
      <c r="GUF84" s="1185"/>
      <c r="GUG84" s="1185"/>
      <c r="GUH84" s="1185"/>
      <c r="GUI84" s="1185"/>
      <c r="GUJ84" s="1185"/>
      <c r="GUK84" s="1185"/>
      <c r="GUL84" s="1185"/>
      <c r="GUM84" s="1185"/>
      <c r="GUN84" s="1185"/>
      <c r="GUO84" s="1185"/>
      <c r="GUP84" s="1185"/>
      <c r="GUQ84" s="1185"/>
      <c r="GUR84" s="1185"/>
      <c r="GUS84" s="1185"/>
      <c r="GUT84" s="1185"/>
      <c r="GUU84" s="1185"/>
      <c r="GUV84" s="1185"/>
      <c r="GUW84" s="1185"/>
      <c r="GUX84" s="1185"/>
      <c r="GUY84" s="1185"/>
      <c r="GUZ84" s="1185"/>
      <c r="GVA84" s="1185"/>
      <c r="GVB84" s="1185"/>
      <c r="GVC84" s="1185"/>
      <c r="GVD84" s="1185"/>
      <c r="GVE84" s="1185"/>
      <c r="GVF84" s="1185"/>
      <c r="GVG84" s="1185"/>
      <c r="GVH84" s="1185"/>
      <c r="GVI84" s="1185"/>
      <c r="GVJ84" s="1185"/>
      <c r="GVK84" s="1185"/>
      <c r="GVL84" s="1185"/>
      <c r="GVM84" s="1185"/>
      <c r="GVN84" s="1185"/>
      <c r="GVO84" s="1185"/>
      <c r="GVP84" s="1185"/>
      <c r="GVQ84" s="1185"/>
      <c r="GVR84" s="1185"/>
      <c r="GVS84" s="1185"/>
      <c r="GVT84" s="1185"/>
      <c r="GVU84" s="1185"/>
      <c r="GVV84" s="1185"/>
      <c r="GVW84" s="1185"/>
      <c r="GVX84" s="1185"/>
      <c r="GVY84" s="1185"/>
      <c r="GVZ84" s="1185"/>
      <c r="GWA84" s="1185"/>
      <c r="GWB84" s="1185"/>
      <c r="GWC84" s="1185"/>
      <c r="GWD84" s="1185"/>
      <c r="GWE84" s="1185"/>
      <c r="GWF84" s="1185"/>
      <c r="GWG84" s="1185"/>
      <c r="GWH84" s="1185"/>
      <c r="GWI84" s="1185"/>
      <c r="GWJ84" s="1185"/>
      <c r="GWK84" s="1185"/>
      <c r="GWL84" s="1185"/>
      <c r="GWM84" s="1185"/>
      <c r="GWN84" s="1185"/>
      <c r="GWO84" s="1185"/>
      <c r="GWP84" s="1185"/>
      <c r="GWQ84" s="1185"/>
      <c r="GWR84" s="1185"/>
      <c r="GWS84" s="1185"/>
      <c r="GWT84" s="1185"/>
      <c r="GWU84" s="1185"/>
      <c r="GWV84" s="1185"/>
      <c r="GWW84" s="1185"/>
      <c r="GWX84" s="1185"/>
      <c r="GWY84" s="1185"/>
      <c r="GWZ84" s="1185"/>
      <c r="GXA84" s="1185"/>
      <c r="GXB84" s="1185"/>
      <c r="GXC84" s="1185"/>
      <c r="GXD84" s="1185"/>
      <c r="GXE84" s="1185"/>
      <c r="GXF84" s="1185"/>
      <c r="GXG84" s="1185"/>
      <c r="GXH84" s="1185"/>
      <c r="GXI84" s="1185"/>
      <c r="GXJ84" s="1185"/>
      <c r="GXK84" s="1185"/>
      <c r="GXL84" s="1185"/>
      <c r="GXM84" s="1185"/>
      <c r="GXN84" s="1185"/>
      <c r="GXO84" s="1185"/>
      <c r="GXP84" s="1185"/>
      <c r="GXQ84" s="1185"/>
      <c r="GXR84" s="1185"/>
      <c r="GXS84" s="1185"/>
      <c r="GXT84" s="1185"/>
      <c r="GXU84" s="1185"/>
      <c r="GXV84" s="1185"/>
      <c r="GXW84" s="1185"/>
      <c r="GXX84" s="1185"/>
      <c r="GXY84" s="1185"/>
      <c r="GXZ84" s="1185"/>
      <c r="GYA84" s="1185"/>
      <c r="GYB84" s="1185"/>
      <c r="GYC84" s="1185"/>
      <c r="GYD84" s="1185"/>
      <c r="GYE84" s="1185"/>
      <c r="GYF84" s="1185"/>
      <c r="GYG84" s="1185"/>
      <c r="GYH84" s="1185"/>
      <c r="GYI84" s="1185"/>
      <c r="GYJ84" s="1185"/>
      <c r="GYK84" s="1185"/>
      <c r="GYL84" s="1185"/>
      <c r="GYM84" s="1185"/>
      <c r="GYN84" s="1185"/>
      <c r="GYO84" s="1185"/>
      <c r="GYP84" s="1185"/>
      <c r="GYQ84" s="1185"/>
      <c r="GYR84" s="1185"/>
      <c r="GYS84" s="1185"/>
      <c r="GYT84" s="1185"/>
      <c r="GYU84" s="1185"/>
      <c r="GYV84" s="1185"/>
      <c r="GYW84" s="1185"/>
      <c r="GYX84" s="1185"/>
      <c r="GYY84" s="1185"/>
      <c r="GYZ84" s="1185"/>
      <c r="GZA84" s="1185"/>
      <c r="GZB84" s="1185"/>
      <c r="GZC84" s="1185"/>
      <c r="GZD84" s="1185"/>
      <c r="GZE84" s="1185"/>
      <c r="GZF84" s="1185"/>
      <c r="GZG84" s="1185"/>
      <c r="GZH84" s="1185"/>
      <c r="GZI84" s="1185"/>
      <c r="GZJ84" s="1185"/>
      <c r="GZK84" s="1185"/>
      <c r="GZL84" s="1185"/>
      <c r="GZM84" s="1185"/>
      <c r="GZN84" s="1185"/>
      <c r="GZO84" s="1185"/>
      <c r="GZP84" s="1185"/>
      <c r="GZQ84" s="1185"/>
      <c r="GZR84" s="1185"/>
      <c r="GZS84" s="1185"/>
      <c r="GZT84" s="1185"/>
      <c r="GZU84" s="1185"/>
      <c r="GZV84" s="1185"/>
      <c r="GZW84" s="1185"/>
      <c r="GZX84" s="1185"/>
      <c r="GZY84" s="1185"/>
      <c r="GZZ84" s="1185"/>
      <c r="HAA84" s="1185"/>
      <c r="HAB84" s="1185"/>
      <c r="HAC84" s="1185"/>
      <c r="HAD84" s="1185"/>
      <c r="HAE84" s="1185"/>
      <c r="HAF84" s="1185"/>
      <c r="HAG84" s="1185"/>
      <c r="HAH84" s="1185"/>
      <c r="HAI84" s="1185"/>
      <c r="HAJ84" s="1185"/>
      <c r="HAK84" s="1185"/>
      <c r="HAL84" s="1185"/>
      <c r="HAM84" s="1185"/>
      <c r="HAN84" s="1185"/>
      <c r="HAO84" s="1185"/>
      <c r="HAP84" s="1185"/>
      <c r="HAQ84" s="1185"/>
      <c r="HAR84" s="1185"/>
      <c r="HAS84" s="1185"/>
      <c r="HAT84" s="1185"/>
      <c r="HAU84" s="1185"/>
      <c r="HAV84" s="1185"/>
      <c r="HAW84" s="1185"/>
      <c r="HAX84" s="1185"/>
      <c r="HAY84" s="1185"/>
      <c r="HAZ84" s="1185"/>
      <c r="HBA84" s="1185"/>
      <c r="HBB84" s="1185"/>
      <c r="HBC84" s="1185"/>
      <c r="HBD84" s="1185"/>
      <c r="HBE84" s="1185"/>
      <c r="HBF84" s="1185"/>
      <c r="HBG84" s="1185"/>
      <c r="HBH84" s="1185"/>
      <c r="HBI84" s="1185"/>
      <c r="HBJ84" s="1185"/>
      <c r="HBK84" s="1185"/>
      <c r="HBL84" s="1185"/>
      <c r="HBM84" s="1185"/>
      <c r="HBN84" s="1185"/>
      <c r="HBO84" s="1185"/>
      <c r="HBP84" s="1185"/>
      <c r="HBQ84" s="1185"/>
      <c r="HBR84" s="1185"/>
      <c r="HBS84" s="1185"/>
      <c r="HBT84" s="1185"/>
      <c r="HBU84" s="1185"/>
      <c r="HBV84" s="1185"/>
      <c r="HBW84" s="1185"/>
      <c r="HBX84" s="1185"/>
      <c r="HBY84" s="1185"/>
      <c r="HBZ84" s="1185"/>
      <c r="HCA84" s="1185"/>
      <c r="HCB84" s="1185"/>
      <c r="HCC84" s="1185"/>
      <c r="HCD84" s="1185"/>
      <c r="HCE84" s="1185"/>
      <c r="HCF84" s="1185"/>
      <c r="HCG84" s="1185"/>
      <c r="HCH84" s="1185"/>
      <c r="HCI84" s="1185"/>
      <c r="HCJ84" s="1185"/>
      <c r="HCK84" s="1185"/>
      <c r="HCL84" s="1185"/>
      <c r="HCM84" s="1185"/>
      <c r="HCN84" s="1185"/>
      <c r="HCO84" s="1185"/>
      <c r="HCP84" s="1185"/>
      <c r="HCQ84" s="1185"/>
      <c r="HCR84" s="1185"/>
      <c r="HCS84" s="1185"/>
      <c r="HCT84" s="1185"/>
      <c r="HCU84" s="1185"/>
      <c r="HCV84" s="1185"/>
      <c r="HCW84" s="1185"/>
      <c r="HCX84" s="1185"/>
      <c r="HCY84" s="1185"/>
      <c r="HCZ84" s="1185"/>
      <c r="HDA84" s="1185"/>
      <c r="HDB84" s="1185"/>
      <c r="HDC84" s="1185"/>
      <c r="HDD84" s="1185"/>
      <c r="HDE84" s="1185"/>
      <c r="HDF84" s="1185"/>
      <c r="HDG84" s="1185"/>
      <c r="HDH84" s="1185"/>
      <c r="HDI84" s="1185"/>
      <c r="HDJ84" s="1185"/>
      <c r="HDK84" s="1185"/>
      <c r="HDL84" s="1185"/>
      <c r="HDM84" s="1185"/>
      <c r="HDN84" s="1185"/>
      <c r="HDO84" s="1185"/>
      <c r="HDP84" s="1185"/>
      <c r="HDQ84" s="1185"/>
      <c r="HDR84" s="1185"/>
      <c r="HDS84" s="1185"/>
      <c r="HDT84" s="1185"/>
      <c r="HDU84" s="1185"/>
      <c r="HDV84" s="1185"/>
      <c r="HDW84" s="1185"/>
      <c r="HDX84" s="1185"/>
      <c r="HDY84" s="1185"/>
      <c r="HDZ84" s="1185"/>
      <c r="HEA84" s="1185"/>
      <c r="HEB84" s="1185"/>
      <c r="HEC84" s="1185"/>
      <c r="HED84" s="1185"/>
      <c r="HEE84" s="1185"/>
      <c r="HEF84" s="1185"/>
      <c r="HEG84" s="1185"/>
      <c r="HEH84" s="1185"/>
      <c r="HEI84" s="1185"/>
      <c r="HEJ84" s="1185"/>
      <c r="HEK84" s="1185"/>
      <c r="HEL84" s="1185"/>
      <c r="HEM84" s="1185"/>
      <c r="HEN84" s="1185"/>
      <c r="HEO84" s="1185"/>
      <c r="HEP84" s="1185"/>
      <c r="HEQ84" s="1185"/>
      <c r="HER84" s="1185"/>
      <c r="HES84" s="1185"/>
      <c r="HET84" s="1185"/>
      <c r="HEU84" s="1185"/>
      <c r="HEV84" s="1185"/>
      <c r="HEW84" s="1185"/>
      <c r="HEX84" s="1185"/>
      <c r="HEY84" s="1185"/>
      <c r="HEZ84" s="1185"/>
      <c r="HFA84" s="1185"/>
      <c r="HFB84" s="1185"/>
      <c r="HFC84" s="1185"/>
      <c r="HFD84" s="1185"/>
      <c r="HFE84" s="1185"/>
      <c r="HFF84" s="1185"/>
      <c r="HFG84" s="1185"/>
      <c r="HFH84" s="1185"/>
      <c r="HFI84" s="1185"/>
      <c r="HFJ84" s="1185"/>
      <c r="HFK84" s="1185"/>
      <c r="HFL84" s="1185"/>
      <c r="HFM84" s="1185"/>
      <c r="HFN84" s="1185"/>
      <c r="HFO84" s="1185"/>
      <c r="HFP84" s="1185"/>
      <c r="HFQ84" s="1185"/>
      <c r="HFR84" s="1185"/>
      <c r="HFS84" s="1185"/>
      <c r="HFT84" s="1185"/>
      <c r="HFU84" s="1185"/>
      <c r="HFV84" s="1185"/>
      <c r="HFW84" s="1185"/>
      <c r="HFX84" s="1185"/>
      <c r="HFY84" s="1185"/>
      <c r="HFZ84" s="1185"/>
      <c r="HGA84" s="1185"/>
      <c r="HGB84" s="1185"/>
      <c r="HGC84" s="1185"/>
      <c r="HGD84" s="1185"/>
      <c r="HGE84" s="1185"/>
      <c r="HGF84" s="1185"/>
      <c r="HGG84" s="1185"/>
      <c r="HGH84" s="1185"/>
      <c r="HGI84" s="1185"/>
      <c r="HGJ84" s="1185"/>
      <c r="HGK84" s="1185"/>
      <c r="HGL84" s="1185"/>
      <c r="HGM84" s="1185"/>
      <c r="HGN84" s="1185"/>
      <c r="HGO84" s="1185"/>
      <c r="HGP84" s="1185"/>
      <c r="HGQ84" s="1185"/>
      <c r="HGR84" s="1185"/>
      <c r="HGS84" s="1185"/>
      <c r="HGT84" s="1185"/>
      <c r="HGU84" s="1185"/>
      <c r="HGV84" s="1185"/>
      <c r="HGW84" s="1185"/>
      <c r="HGX84" s="1185"/>
      <c r="HGY84" s="1185"/>
      <c r="HGZ84" s="1185"/>
      <c r="HHA84" s="1185"/>
      <c r="HHB84" s="1185"/>
      <c r="HHC84" s="1185"/>
      <c r="HHD84" s="1185"/>
      <c r="HHE84" s="1185"/>
      <c r="HHF84" s="1185"/>
      <c r="HHG84" s="1185"/>
      <c r="HHH84" s="1185"/>
      <c r="HHI84" s="1185"/>
      <c r="HHJ84" s="1185"/>
      <c r="HHK84" s="1185"/>
      <c r="HHL84" s="1185"/>
      <c r="HHM84" s="1185"/>
      <c r="HHN84" s="1185"/>
      <c r="HHO84" s="1185"/>
      <c r="HHP84" s="1185"/>
      <c r="HHQ84" s="1185"/>
      <c r="HHR84" s="1185"/>
      <c r="HHS84" s="1185"/>
      <c r="HHT84" s="1185"/>
      <c r="HHU84" s="1185"/>
      <c r="HHV84" s="1185"/>
      <c r="HHW84" s="1185"/>
      <c r="HHX84" s="1185"/>
      <c r="HHY84" s="1185"/>
      <c r="HHZ84" s="1185"/>
      <c r="HIA84" s="1185"/>
      <c r="HIB84" s="1185"/>
      <c r="HIC84" s="1185"/>
      <c r="HID84" s="1185"/>
      <c r="HIE84" s="1185"/>
      <c r="HIF84" s="1185"/>
      <c r="HIG84" s="1185"/>
      <c r="HIH84" s="1185"/>
      <c r="HII84" s="1185"/>
      <c r="HIJ84" s="1185"/>
      <c r="HIK84" s="1185"/>
      <c r="HIL84" s="1185"/>
      <c r="HIM84" s="1185"/>
      <c r="HIN84" s="1185"/>
      <c r="HIO84" s="1185"/>
      <c r="HIP84" s="1185"/>
      <c r="HIQ84" s="1185"/>
      <c r="HIR84" s="1185"/>
      <c r="HIS84" s="1185"/>
      <c r="HIT84" s="1185"/>
      <c r="HIU84" s="1185"/>
      <c r="HIV84" s="1185"/>
      <c r="HIW84" s="1185"/>
      <c r="HIX84" s="1185"/>
      <c r="HIY84" s="1185"/>
      <c r="HIZ84" s="1185"/>
      <c r="HJA84" s="1185"/>
      <c r="HJB84" s="1185"/>
      <c r="HJC84" s="1185"/>
      <c r="HJD84" s="1185"/>
      <c r="HJE84" s="1185"/>
      <c r="HJF84" s="1185"/>
      <c r="HJG84" s="1185"/>
      <c r="HJH84" s="1185"/>
      <c r="HJI84" s="1185"/>
      <c r="HJJ84" s="1185"/>
      <c r="HJK84" s="1185"/>
      <c r="HJL84" s="1185"/>
      <c r="HJM84" s="1185"/>
      <c r="HJN84" s="1185"/>
      <c r="HJO84" s="1185"/>
      <c r="HJP84" s="1185"/>
      <c r="HJQ84" s="1185"/>
      <c r="HJR84" s="1185"/>
      <c r="HJS84" s="1185"/>
      <c r="HJT84" s="1185"/>
      <c r="HJU84" s="1185"/>
      <c r="HJV84" s="1185"/>
      <c r="HJW84" s="1185"/>
      <c r="HJX84" s="1185"/>
      <c r="HJY84" s="1185"/>
      <c r="HJZ84" s="1185"/>
      <c r="HKA84" s="1185"/>
      <c r="HKB84" s="1185"/>
      <c r="HKC84" s="1185"/>
      <c r="HKD84" s="1185"/>
      <c r="HKE84" s="1185"/>
      <c r="HKF84" s="1185"/>
      <c r="HKG84" s="1185"/>
      <c r="HKH84" s="1185"/>
      <c r="HKI84" s="1185"/>
      <c r="HKJ84" s="1185"/>
      <c r="HKK84" s="1185"/>
      <c r="HKL84" s="1185"/>
      <c r="HKM84" s="1185"/>
      <c r="HKN84" s="1185"/>
      <c r="HKO84" s="1185"/>
      <c r="HKP84" s="1185"/>
      <c r="HKQ84" s="1185"/>
      <c r="HKR84" s="1185"/>
      <c r="HKS84" s="1185"/>
      <c r="HKT84" s="1185"/>
      <c r="HKU84" s="1185"/>
      <c r="HKV84" s="1185"/>
      <c r="HKW84" s="1185"/>
      <c r="HKX84" s="1185"/>
      <c r="HKY84" s="1185"/>
      <c r="HKZ84" s="1185"/>
      <c r="HLA84" s="1185"/>
      <c r="HLB84" s="1185"/>
      <c r="HLC84" s="1185"/>
      <c r="HLD84" s="1185"/>
      <c r="HLE84" s="1185"/>
      <c r="HLF84" s="1185"/>
      <c r="HLG84" s="1185"/>
      <c r="HLH84" s="1185"/>
      <c r="HLI84" s="1185"/>
      <c r="HLJ84" s="1185"/>
      <c r="HLK84" s="1185"/>
      <c r="HLL84" s="1185"/>
      <c r="HLM84" s="1185"/>
      <c r="HLN84" s="1185"/>
      <c r="HLO84" s="1185"/>
      <c r="HLP84" s="1185"/>
      <c r="HLQ84" s="1185"/>
      <c r="HLR84" s="1185"/>
      <c r="HLS84" s="1185"/>
      <c r="HLT84" s="1185"/>
      <c r="HLU84" s="1185"/>
      <c r="HLV84" s="1185"/>
      <c r="HLW84" s="1185"/>
      <c r="HLX84" s="1185"/>
      <c r="HLY84" s="1185"/>
      <c r="HLZ84" s="1185"/>
      <c r="HMA84" s="1185"/>
      <c r="HMB84" s="1185"/>
      <c r="HMC84" s="1185"/>
      <c r="HMD84" s="1185"/>
      <c r="HME84" s="1185"/>
      <c r="HMF84" s="1185"/>
      <c r="HMG84" s="1185"/>
      <c r="HMH84" s="1185"/>
      <c r="HMI84" s="1185"/>
      <c r="HMJ84" s="1185"/>
      <c r="HMK84" s="1185"/>
      <c r="HML84" s="1185"/>
      <c r="HMM84" s="1185"/>
      <c r="HMN84" s="1185"/>
      <c r="HMO84" s="1185"/>
      <c r="HMP84" s="1185"/>
      <c r="HMQ84" s="1185"/>
      <c r="HMR84" s="1185"/>
      <c r="HMS84" s="1185"/>
      <c r="HMT84" s="1185"/>
      <c r="HMU84" s="1185"/>
      <c r="HMV84" s="1185"/>
      <c r="HMW84" s="1185"/>
      <c r="HMX84" s="1185"/>
      <c r="HMY84" s="1185"/>
      <c r="HMZ84" s="1185"/>
      <c r="HNA84" s="1185"/>
      <c r="HNB84" s="1185"/>
      <c r="HNC84" s="1185"/>
      <c r="HND84" s="1185"/>
      <c r="HNE84" s="1185"/>
      <c r="HNF84" s="1185"/>
      <c r="HNG84" s="1185"/>
      <c r="HNH84" s="1185"/>
      <c r="HNI84" s="1185"/>
      <c r="HNJ84" s="1185"/>
      <c r="HNK84" s="1185"/>
      <c r="HNL84" s="1185"/>
      <c r="HNM84" s="1185"/>
      <c r="HNN84" s="1185"/>
      <c r="HNO84" s="1185"/>
      <c r="HNP84" s="1185"/>
      <c r="HNQ84" s="1185"/>
      <c r="HNR84" s="1185"/>
      <c r="HNS84" s="1185"/>
      <c r="HNT84" s="1185"/>
      <c r="HNU84" s="1185"/>
      <c r="HNV84" s="1185"/>
      <c r="HNW84" s="1185"/>
      <c r="HNX84" s="1185"/>
      <c r="HNY84" s="1185"/>
      <c r="HNZ84" s="1185"/>
      <c r="HOA84" s="1185"/>
      <c r="HOB84" s="1185"/>
      <c r="HOC84" s="1185"/>
      <c r="HOD84" s="1185"/>
      <c r="HOE84" s="1185"/>
      <c r="HOF84" s="1185"/>
      <c r="HOG84" s="1185"/>
      <c r="HOH84" s="1185"/>
      <c r="HOI84" s="1185"/>
      <c r="HOJ84" s="1185"/>
      <c r="HOK84" s="1185"/>
      <c r="HOL84" s="1185"/>
      <c r="HOM84" s="1185"/>
      <c r="HON84" s="1185"/>
      <c r="HOO84" s="1185"/>
      <c r="HOP84" s="1185"/>
      <c r="HOQ84" s="1185"/>
      <c r="HOR84" s="1185"/>
      <c r="HOS84" s="1185"/>
      <c r="HOT84" s="1185"/>
      <c r="HOU84" s="1185"/>
      <c r="HOV84" s="1185"/>
      <c r="HOW84" s="1185"/>
      <c r="HOX84" s="1185"/>
      <c r="HOY84" s="1185"/>
      <c r="HOZ84" s="1185"/>
      <c r="HPA84" s="1185"/>
      <c r="HPB84" s="1185"/>
      <c r="HPC84" s="1185"/>
      <c r="HPD84" s="1185"/>
      <c r="HPE84" s="1185"/>
      <c r="HPF84" s="1185"/>
      <c r="HPG84" s="1185"/>
      <c r="HPH84" s="1185"/>
      <c r="HPI84" s="1185"/>
      <c r="HPJ84" s="1185"/>
      <c r="HPK84" s="1185"/>
      <c r="HPL84" s="1185"/>
      <c r="HPM84" s="1185"/>
      <c r="HPN84" s="1185"/>
      <c r="HPO84" s="1185"/>
      <c r="HPP84" s="1185"/>
      <c r="HPQ84" s="1185"/>
      <c r="HPR84" s="1185"/>
      <c r="HPS84" s="1185"/>
      <c r="HPT84" s="1185"/>
      <c r="HPU84" s="1185"/>
      <c r="HPV84" s="1185"/>
      <c r="HPW84" s="1185"/>
      <c r="HPX84" s="1185"/>
      <c r="HPY84" s="1185"/>
      <c r="HPZ84" s="1185"/>
      <c r="HQA84" s="1185"/>
      <c r="HQB84" s="1185"/>
      <c r="HQC84" s="1185"/>
      <c r="HQD84" s="1185"/>
      <c r="HQE84" s="1185"/>
      <c r="HQF84" s="1185"/>
      <c r="HQG84" s="1185"/>
      <c r="HQH84" s="1185"/>
      <c r="HQI84" s="1185"/>
      <c r="HQJ84" s="1185"/>
      <c r="HQK84" s="1185"/>
      <c r="HQL84" s="1185"/>
      <c r="HQM84" s="1185"/>
      <c r="HQN84" s="1185"/>
      <c r="HQO84" s="1185"/>
      <c r="HQP84" s="1185"/>
      <c r="HQQ84" s="1185"/>
      <c r="HQR84" s="1185"/>
      <c r="HQS84" s="1185"/>
      <c r="HQT84" s="1185"/>
      <c r="HQU84" s="1185"/>
      <c r="HQV84" s="1185"/>
      <c r="HQW84" s="1185"/>
      <c r="HQX84" s="1185"/>
      <c r="HQY84" s="1185"/>
      <c r="HQZ84" s="1185"/>
      <c r="HRA84" s="1185"/>
      <c r="HRB84" s="1185"/>
      <c r="HRC84" s="1185"/>
      <c r="HRD84" s="1185"/>
      <c r="HRE84" s="1185"/>
      <c r="HRF84" s="1185"/>
      <c r="HRG84" s="1185"/>
      <c r="HRH84" s="1185"/>
      <c r="HRI84" s="1185"/>
      <c r="HRJ84" s="1185"/>
      <c r="HRK84" s="1185"/>
      <c r="HRL84" s="1185"/>
      <c r="HRM84" s="1185"/>
      <c r="HRN84" s="1185"/>
      <c r="HRO84" s="1185"/>
      <c r="HRP84" s="1185"/>
      <c r="HRQ84" s="1185"/>
      <c r="HRR84" s="1185"/>
      <c r="HRS84" s="1185"/>
      <c r="HRT84" s="1185"/>
      <c r="HRU84" s="1185"/>
      <c r="HRV84" s="1185"/>
      <c r="HRW84" s="1185"/>
      <c r="HRX84" s="1185"/>
      <c r="HRY84" s="1185"/>
      <c r="HRZ84" s="1185"/>
      <c r="HSA84" s="1185"/>
      <c r="HSB84" s="1185"/>
      <c r="HSC84" s="1185"/>
      <c r="HSD84" s="1185"/>
      <c r="HSE84" s="1185"/>
      <c r="HSF84" s="1185"/>
      <c r="HSG84" s="1185"/>
      <c r="HSH84" s="1185"/>
      <c r="HSI84" s="1185"/>
      <c r="HSJ84" s="1185"/>
      <c r="HSK84" s="1185"/>
      <c r="HSL84" s="1185"/>
      <c r="HSM84" s="1185"/>
      <c r="HSN84" s="1185"/>
      <c r="HSO84" s="1185"/>
      <c r="HSP84" s="1185"/>
      <c r="HSQ84" s="1185"/>
      <c r="HSR84" s="1185"/>
      <c r="HSS84" s="1185"/>
      <c r="HST84" s="1185"/>
      <c r="HSU84" s="1185"/>
      <c r="HSV84" s="1185"/>
      <c r="HSW84" s="1185"/>
      <c r="HSX84" s="1185"/>
      <c r="HSY84" s="1185"/>
      <c r="HSZ84" s="1185"/>
      <c r="HTA84" s="1185"/>
      <c r="HTB84" s="1185"/>
      <c r="HTC84" s="1185"/>
      <c r="HTD84" s="1185"/>
      <c r="HTE84" s="1185"/>
      <c r="HTF84" s="1185"/>
      <c r="HTG84" s="1185"/>
      <c r="HTH84" s="1185"/>
      <c r="HTI84" s="1185"/>
      <c r="HTJ84" s="1185"/>
      <c r="HTK84" s="1185"/>
      <c r="HTL84" s="1185"/>
      <c r="HTM84" s="1185"/>
      <c r="HTN84" s="1185"/>
      <c r="HTO84" s="1185"/>
      <c r="HTP84" s="1185"/>
      <c r="HTQ84" s="1185"/>
      <c r="HTR84" s="1185"/>
      <c r="HTS84" s="1185"/>
      <c r="HTT84" s="1185"/>
      <c r="HTU84" s="1185"/>
      <c r="HTV84" s="1185"/>
      <c r="HTW84" s="1185"/>
      <c r="HTX84" s="1185"/>
      <c r="HTY84" s="1185"/>
      <c r="HTZ84" s="1185"/>
      <c r="HUA84" s="1185"/>
      <c r="HUB84" s="1185"/>
      <c r="HUC84" s="1185"/>
      <c r="HUD84" s="1185"/>
      <c r="HUE84" s="1185"/>
      <c r="HUF84" s="1185"/>
      <c r="HUG84" s="1185"/>
      <c r="HUH84" s="1185"/>
      <c r="HUI84" s="1185"/>
      <c r="HUJ84" s="1185"/>
      <c r="HUK84" s="1185"/>
      <c r="HUL84" s="1185"/>
      <c r="HUM84" s="1185"/>
      <c r="HUN84" s="1185"/>
      <c r="HUO84" s="1185"/>
      <c r="HUP84" s="1185"/>
      <c r="HUQ84" s="1185"/>
      <c r="HUR84" s="1185"/>
      <c r="HUS84" s="1185"/>
      <c r="HUT84" s="1185"/>
      <c r="HUU84" s="1185"/>
      <c r="HUV84" s="1185"/>
      <c r="HUW84" s="1185"/>
      <c r="HUX84" s="1185"/>
      <c r="HUY84" s="1185"/>
      <c r="HUZ84" s="1185"/>
      <c r="HVA84" s="1185"/>
      <c r="HVB84" s="1185"/>
      <c r="HVC84" s="1185"/>
      <c r="HVD84" s="1185"/>
      <c r="HVE84" s="1185"/>
      <c r="HVF84" s="1185"/>
      <c r="HVG84" s="1185"/>
      <c r="HVH84" s="1185"/>
      <c r="HVI84" s="1185"/>
      <c r="HVJ84" s="1185"/>
      <c r="HVK84" s="1185"/>
      <c r="HVL84" s="1185"/>
      <c r="HVM84" s="1185"/>
      <c r="HVN84" s="1185"/>
      <c r="HVO84" s="1185"/>
      <c r="HVP84" s="1185"/>
      <c r="HVQ84" s="1185"/>
      <c r="HVR84" s="1185"/>
      <c r="HVS84" s="1185"/>
      <c r="HVT84" s="1185"/>
      <c r="HVU84" s="1185"/>
      <c r="HVV84" s="1185"/>
      <c r="HVW84" s="1185"/>
      <c r="HVX84" s="1185"/>
      <c r="HVY84" s="1185"/>
      <c r="HVZ84" s="1185"/>
      <c r="HWA84" s="1185"/>
      <c r="HWB84" s="1185"/>
      <c r="HWC84" s="1185"/>
      <c r="HWD84" s="1185"/>
      <c r="HWE84" s="1185"/>
      <c r="HWF84" s="1185"/>
      <c r="HWG84" s="1185"/>
      <c r="HWH84" s="1185"/>
      <c r="HWI84" s="1185"/>
      <c r="HWJ84" s="1185"/>
      <c r="HWK84" s="1185"/>
      <c r="HWL84" s="1185"/>
      <c r="HWM84" s="1185"/>
      <c r="HWN84" s="1185"/>
      <c r="HWO84" s="1185"/>
      <c r="HWP84" s="1185"/>
      <c r="HWQ84" s="1185"/>
      <c r="HWR84" s="1185"/>
      <c r="HWS84" s="1185"/>
      <c r="HWT84" s="1185"/>
      <c r="HWU84" s="1185"/>
      <c r="HWV84" s="1185"/>
      <c r="HWW84" s="1185"/>
      <c r="HWX84" s="1185"/>
      <c r="HWY84" s="1185"/>
      <c r="HWZ84" s="1185"/>
      <c r="HXA84" s="1185"/>
      <c r="HXB84" s="1185"/>
      <c r="HXC84" s="1185"/>
      <c r="HXD84" s="1185"/>
      <c r="HXE84" s="1185"/>
      <c r="HXF84" s="1185"/>
      <c r="HXG84" s="1185"/>
      <c r="HXH84" s="1185"/>
      <c r="HXI84" s="1185"/>
      <c r="HXJ84" s="1185"/>
      <c r="HXK84" s="1185"/>
      <c r="HXL84" s="1185"/>
      <c r="HXM84" s="1185"/>
      <c r="HXN84" s="1185"/>
      <c r="HXO84" s="1185"/>
      <c r="HXP84" s="1185"/>
      <c r="HXQ84" s="1185"/>
      <c r="HXR84" s="1185"/>
      <c r="HXS84" s="1185"/>
      <c r="HXT84" s="1185"/>
      <c r="HXU84" s="1185"/>
      <c r="HXV84" s="1185"/>
      <c r="HXW84" s="1185"/>
      <c r="HXX84" s="1185"/>
      <c r="HXY84" s="1185"/>
      <c r="HXZ84" s="1185"/>
      <c r="HYA84" s="1185"/>
      <c r="HYB84" s="1185"/>
      <c r="HYC84" s="1185"/>
      <c r="HYD84" s="1185"/>
      <c r="HYE84" s="1185"/>
      <c r="HYF84" s="1185"/>
      <c r="HYG84" s="1185"/>
      <c r="HYH84" s="1185"/>
      <c r="HYI84" s="1185"/>
      <c r="HYJ84" s="1185"/>
      <c r="HYK84" s="1185"/>
      <c r="HYL84" s="1185"/>
      <c r="HYM84" s="1185"/>
      <c r="HYN84" s="1185"/>
      <c r="HYO84" s="1185"/>
      <c r="HYP84" s="1185"/>
      <c r="HYQ84" s="1185"/>
      <c r="HYR84" s="1185"/>
      <c r="HYS84" s="1185"/>
      <c r="HYT84" s="1185"/>
      <c r="HYU84" s="1185"/>
      <c r="HYV84" s="1185"/>
      <c r="HYW84" s="1185"/>
      <c r="HYX84" s="1185"/>
      <c r="HYY84" s="1185"/>
      <c r="HYZ84" s="1185"/>
      <c r="HZA84" s="1185"/>
      <c r="HZB84" s="1185"/>
      <c r="HZC84" s="1185"/>
      <c r="HZD84" s="1185"/>
      <c r="HZE84" s="1185"/>
      <c r="HZF84" s="1185"/>
      <c r="HZG84" s="1185"/>
      <c r="HZH84" s="1185"/>
      <c r="HZI84" s="1185"/>
      <c r="HZJ84" s="1185"/>
      <c r="HZK84" s="1185"/>
      <c r="HZL84" s="1185"/>
      <c r="HZM84" s="1185"/>
      <c r="HZN84" s="1185"/>
      <c r="HZO84" s="1185"/>
      <c r="HZP84" s="1185"/>
      <c r="HZQ84" s="1185"/>
      <c r="HZR84" s="1185"/>
      <c r="HZS84" s="1185"/>
      <c r="HZT84" s="1185"/>
      <c r="HZU84" s="1185"/>
      <c r="HZV84" s="1185"/>
      <c r="HZW84" s="1185"/>
      <c r="HZX84" s="1185"/>
      <c r="HZY84" s="1185"/>
      <c r="HZZ84" s="1185"/>
      <c r="IAA84" s="1185"/>
      <c r="IAB84" s="1185"/>
      <c r="IAC84" s="1185"/>
      <c r="IAD84" s="1185"/>
      <c r="IAE84" s="1185"/>
      <c r="IAF84" s="1185"/>
      <c r="IAG84" s="1185"/>
      <c r="IAH84" s="1185"/>
      <c r="IAI84" s="1185"/>
      <c r="IAJ84" s="1185"/>
      <c r="IAK84" s="1185"/>
      <c r="IAL84" s="1185"/>
      <c r="IAM84" s="1185"/>
      <c r="IAN84" s="1185"/>
      <c r="IAO84" s="1185"/>
      <c r="IAP84" s="1185"/>
      <c r="IAQ84" s="1185"/>
      <c r="IAR84" s="1185"/>
      <c r="IAS84" s="1185"/>
      <c r="IAT84" s="1185"/>
      <c r="IAU84" s="1185"/>
      <c r="IAV84" s="1185"/>
      <c r="IAW84" s="1185"/>
      <c r="IAX84" s="1185"/>
      <c r="IAY84" s="1185"/>
      <c r="IAZ84" s="1185"/>
      <c r="IBA84" s="1185"/>
      <c r="IBB84" s="1185"/>
      <c r="IBC84" s="1185"/>
      <c r="IBD84" s="1185"/>
      <c r="IBE84" s="1185"/>
      <c r="IBF84" s="1185"/>
      <c r="IBG84" s="1185"/>
      <c r="IBH84" s="1185"/>
      <c r="IBI84" s="1185"/>
      <c r="IBJ84" s="1185"/>
      <c r="IBK84" s="1185"/>
      <c r="IBL84" s="1185"/>
      <c r="IBM84" s="1185"/>
      <c r="IBN84" s="1185"/>
      <c r="IBO84" s="1185"/>
      <c r="IBP84" s="1185"/>
      <c r="IBQ84" s="1185"/>
      <c r="IBR84" s="1185"/>
      <c r="IBS84" s="1185"/>
      <c r="IBT84" s="1185"/>
      <c r="IBU84" s="1185"/>
      <c r="IBV84" s="1185"/>
      <c r="IBW84" s="1185"/>
      <c r="IBX84" s="1185"/>
      <c r="IBY84" s="1185"/>
      <c r="IBZ84" s="1185"/>
      <c r="ICA84" s="1185"/>
      <c r="ICB84" s="1185"/>
      <c r="ICC84" s="1185"/>
      <c r="ICD84" s="1185"/>
      <c r="ICE84" s="1185"/>
      <c r="ICF84" s="1185"/>
      <c r="ICG84" s="1185"/>
      <c r="ICH84" s="1185"/>
      <c r="ICI84" s="1185"/>
      <c r="ICJ84" s="1185"/>
      <c r="ICK84" s="1185"/>
      <c r="ICL84" s="1185"/>
      <c r="ICM84" s="1185"/>
      <c r="ICN84" s="1185"/>
      <c r="ICO84" s="1185"/>
      <c r="ICP84" s="1185"/>
      <c r="ICQ84" s="1185"/>
      <c r="ICR84" s="1185"/>
      <c r="ICS84" s="1185"/>
      <c r="ICT84" s="1185"/>
      <c r="ICU84" s="1185"/>
      <c r="ICV84" s="1185"/>
      <c r="ICW84" s="1185"/>
      <c r="ICX84" s="1185"/>
      <c r="ICY84" s="1185"/>
      <c r="ICZ84" s="1185"/>
      <c r="IDA84" s="1185"/>
      <c r="IDB84" s="1185"/>
      <c r="IDC84" s="1185"/>
      <c r="IDD84" s="1185"/>
      <c r="IDE84" s="1185"/>
      <c r="IDF84" s="1185"/>
      <c r="IDG84" s="1185"/>
      <c r="IDH84" s="1185"/>
      <c r="IDI84" s="1185"/>
      <c r="IDJ84" s="1185"/>
      <c r="IDK84" s="1185"/>
      <c r="IDL84" s="1185"/>
      <c r="IDM84" s="1185"/>
      <c r="IDN84" s="1185"/>
      <c r="IDO84" s="1185"/>
      <c r="IDP84" s="1185"/>
      <c r="IDQ84" s="1185"/>
      <c r="IDR84" s="1185"/>
      <c r="IDS84" s="1185"/>
      <c r="IDT84" s="1185"/>
      <c r="IDU84" s="1185"/>
      <c r="IDV84" s="1185"/>
      <c r="IDW84" s="1185"/>
      <c r="IDX84" s="1185"/>
      <c r="IDY84" s="1185"/>
      <c r="IDZ84" s="1185"/>
      <c r="IEA84" s="1185"/>
      <c r="IEB84" s="1185"/>
      <c r="IEC84" s="1185"/>
      <c r="IED84" s="1185"/>
      <c r="IEE84" s="1185"/>
      <c r="IEF84" s="1185"/>
      <c r="IEG84" s="1185"/>
      <c r="IEH84" s="1185"/>
      <c r="IEI84" s="1185"/>
      <c r="IEJ84" s="1185"/>
      <c r="IEK84" s="1185"/>
      <c r="IEL84" s="1185"/>
      <c r="IEM84" s="1185"/>
      <c r="IEN84" s="1185"/>
      <c r="IEO84" s="1185"/>
      <c r="IEP84" s="1185"/>
      <c r="IEQ84" s="1185"/>
      <c r="IER84" s="1185"/>
      <c r="IES84" s="1185"/>
      <c r="IET84" s="1185"/>
      <c r="IEU84" s="1185"/>
      <c r="IEV84" s="1185"/>
      <c r="IEW84" s="1185"/>
      <c r="IEX84" s="1185"/>
      <c r="IEY84" s="1185"/>
      <c r="IEZ84" s="1185"/>
      <c r="IFA84" s="1185"/>
      <c r="IFB84" s="1185"/>
      <c r="IFC84" s="1185"/>
      <c r="IFD84" s="1185"/>
      <c r="IFE84" s="1185"/>
      <c r="IFF84" s="1185"/>
      <c r="IFG84" s="1185"/>
      <c r="IFH84" s="1185"/>
      <c r="IFI84" s="1185"/>
      <c r="IFJ84" s="1185"/>
      <c r="IFK84" s="1185"/>
      <c r="IFL84" s="1185"/>
      <c r="IFM84" s="1185"/>
      <c r="IFN84" s="1185"/>
      <c r="IFO84" s="1185"/>
      <c r="IFP84" s="1185"/>
      <c r="IFQ84" s="1185"/>
      <c r="IFR84" s="1185"/>
      <c r="IFS84" s="1185"/>
      <c r="IFT84" s="1185"/>
      <c r="IFU84" s="1185"/>
      <c r="IFV84" s="1185"/>
      <c r="IFW84" s="1185"/>
      <c r="IFX84" s="1185"/>
      <c r="IFY84" s="1185"/>
      <c r="IFZ84" s="1185"/>
      <c r="IGA84" s="1185"/>
      <c r="IGB84" s="1185"/>
      <c r="IGC84" s="1185"/>
      <c r="IGD84" s="1185"/>
      <c r="IGE84" s="1185"/>
      <c r="IGF84" s="1185"/>
      <c r="IGG84" s="1185"/>
      <c r="IGH84" s="1185"/>
      <c r="IGI84" s="1185"/>
      <c r="IGJ84" s="1185"/>
      <c r="IGK84" s="1185"/>
      <c r="IGL84" s="1185"/>
      <c r="IGM84" s="1185"/>
      <c r="IGN84" s="1185"/>
      <c r="IGO84" s="1185"/>
      <c r="IGP84" s="1185"/>
      <c r="IGQ84" s="1185"/>
      <c r="IGR84" s="1185"/>
      <c r="IGS84" s="1185"/>
      <c r="IGT84" s="1185"/>
      <c r="IGU84" s="1185"/>
      <c r="IGV84" s="1185"/>
      <c r="IGW84" s="1185"/>
      <c r="IGX84" s="1185"/>
      <c r="IGY84" s="1185"/>
      <c r="IGZ84" s="1185"/>
      <c r="IHA84" s="1185"/>
      <c r="IHB84" s="1185"/>
      <c r="IHC84" s="1185"/>
      <c r="IHD84" s="1185"/>
      <c r="IHE84" s="1185"/>
      <c r="IHF84" s="1185"/>
      <c r="IHG84" s="1185"/>
      <c r="IHH84" s="1185"/>
      <c r="IHI84" s="1185"/>
      <c r="IHJ84" s="1185"/>
      <c r="IHK84" s="1185"/>
      <c r="IHL84" s="1185"/>
      <c r="IHM84" s="1185"/>
      <c r="IHN84" s="1185"/>
      <c r="IHO84" s="1185"/>
      <c r="IHP84" s="1185"/>
      <c r="IHQ84" s="1185"/>
      <c r="IHR84" s="1185"/>
      <c r="IHS84" s="1185"/>
      <c r="IHT84" s="1185"/>
      <c r="IHU84" s="1185"/>
      <c r="IHV84" s="1185"/>
      <c r="IHW84" s="1185"/>
      <c r="IHX84" s="1185"/>
      <c r="IHY84" s="1185"/>
      <c r="IHZ84" s="1185"/>
      <c r="IIA84" s="1185"/>
      <c r="IIB84" s="1185"/>
      <c r="IIC84" s="1185"/>
      <c r="IID84" s="1185"/>
      <c r="IIE84" s="1185"/>
      <c r="IIF84" s="1185"/>
      <c r="IIG84" s="1185"/>
      <c r="IIH84" s="1185"/>
      <c r="III84" s="1185"/>
      <c r="IIJ84" s="1185"/>
      <c r="IIK84" s="1185"/>
      <c r="IIL84" s="1185"/>
      <c r="IIM84" s="1185"/>
      <c r="IIN84" s="1185"/>
      <c r="IIO84" s="1185"/>
      <c r="IIP84" s="1185"/>
      <c r="IIQ84" s="1185"/>
      <c r="IIR84" s="1185"/>
      <c r="IIS84" s="1185"/>
      <c r="IIT84" s="1185"/>
      <c r="IIU84" s="1185"/>
      <c r="IIV84" s="1185"/>
      <c r="IIW84" s="1185"/>
      <c r="IIX84" s="1185"/>
      <c r="IIY84" s="1185"/>
      <c r="IIZ84" s="1185"/>
      <c r="IJA84" s="1185"/>
      <c r="IJB84" s="1185"/>
      <c r="IJC84" s="1185"/>
      <c r="IJD84" s="1185"/>
      <c r="IJE84" s="1185"/>
      <c r="IJF84" s="1185"/>
      <c r="IJG84" s="1185"/>
      <c r="IJH84" s="1185"/>
      <c r="IJI84" s="1185"/>
      <c r="IJJ84" s="1185"/>
      <c r="IJK84" s="1185"/>
      <c r="IJL84" s="1185"/>
      <c r="IJM84" s="1185"/>
      <c r="IJN84" s="1185"/>
      <c r="IJO84" s="1185"/>
      <c r="IJP84" s="1185"/>
      <c r="IJQ84" s="1185"/>
      <c r="IJR84" s="1185"/>
      <c r="IJS84" s="1185"/>
      <c r="IJT84" s="1185"/>
      <c r="IJU84" s="1185"/>
      <c r="IJV84" s="1185"/>
      <c r="IJW84" s="1185"/>
      <c r="IJX84" s="1185"/>
      <c r="IJY84" s="1185"/>
      <c r="IJZ84" s="1185"/>
      <c r="IKA84" s="1185"/>
      <c r="IKB84" s="1185"/>
      <c r="IKC84" s="1185"/>
      <c r="IKD84" s="1185"/>
      <c r="IKE84" s="1185"/>
      <c r="IKF84" s="1185"/>
      <c r="IKG84" s="1185"/>
      <c r="IKH84" s="1185"/>
      <c r="IKI84" s="1185"/>
      <c r="IKJ84" s="1185"/>
      <c r="IKK84" s="1185"/>
      <c r="IKL84" s="1185"/>
      <c r="IKM84" s="1185"/>
      <c r="IKN84" s="1185"/>
      <c r="IKO84" s="1185"/>
      <c r="IKP84" s="1185"/>
      <c r="IKQ84" s="1185"/>
      <c r="IKR84" s="1185"/>
      <c r="IKS84" s="1185"/>
      <c r="IKT84" s="1185"/>
      <c r="IKU84" s="1185"/>
      <c r="IKV84" s="1185"/>
      <c r="IKW84" s="1185"/>
      <c r="IKX84" s="1185"/>
      <c r="IKY84" s="1185"/>
      <c r="IKZ84" s="1185"/>
      <c r="ILA84" s="1185"/>
      <c r="ILB84" s="1185"/>
      <c r="ILC84" s="1185"/>
      <c r="ILD84" s="1185"/>
      <c r="ILE84" s="1185"/>
      <c r="ILF84" s="1185"/>
      <c r="ILG84" s="1185"/>
      <c r="ILH84" s="1185"/>
      <c r="ILI84" s="1185"/>
      <c r="ILJ84" s="1185"/>
      <c r="ILK84" s="1185"/>
      <c r="ILL84" s="1185"/>
      <c r="ILM84" s="1185"/>
      <c r="ILN84" s="1185"/>
      <c r="ILO84" s="1185"/>
      <c r="ILP84" s="1185"/>
      <c r="ILQ84" s="1185"/>
      <c r="ILR84" s="1185"/>
      <c r="ILS84" s="1185"/>
      <c r="ILT84" s="1185"/>
      <c r="ILU84" s="1185"/>
      <c r="ILV84" s="1185"/>
      <c r="ILW84" s="1185"/>
      <c r="ILX84" s="1185"/>
      <c r="ILY84" s="1185"/>
      <c r="ILZ84" s="1185"/>
      <c r="IMA84" s="1185"/>
      <c r="IMB84" s="1185"/>
      <c r="IMC84" s="1185"/>
      <c r="IMD84" s="1185"/>
      <c r="IME84" s="1185"/>
      <c r="IMF84" s="1185"/>
      <c r="IMG84" s="1185"/>
      <c r="IMH84" s="1185"/>
      <c r="IMI84" s="1185"/>
      <c r="IMJ84" s="1185"/>
      <c r="IMK84" s="1185"/>
      <c r="IML84" s="1185"/>
      <c r="IMM84" s="1185"/>
      <c r="IMN84" s="1185"/>
      <c r="IMO84" s="1185"/>
      <c r="IMP84" s="1185"/>
      <c r="IMQ84" s="1185"/>
      <c r="IMR84" s="1185"/>
      <c r="IMS84" s="1185"/>
      <c r="IMT84" s="1185"/>
      <c r="IMU84" s="1185"/>
      <c r="IMV84" s="1185"/>
      <c r="IMW84" s="1185"/>
      <c r="IMX84" s="1185"/>
      <c r="IMY84" s="1185"/>
      <c r="IMZ84" s="1185"/>
      <c r="INA84" s="1185"/>
      <c r="INB84" s="1185"/>
      <c r="INC84" s="1185"/>
      <c r="IND84" s="1185"/>
      <c r="INE84" s="1185"/>
      <c r="INF84" s="1185"/>
      <c r="ING84" s="1185"/>
      <c r="INH84" s="1185"/>
      <c r="INI84" s="1185"/>
      <c r="INJ84" s="1185"/>
      <c r="INK84" s="1185"/>
      <c r="INL84" s="1185"/>
      <c r="INM84" s="1185"/>
      <c r="INN84" s="1185"/>
      <c r="INO84" s="1185"/>
      <c r="INP84" s="1185"/>
      <c r="INQ84" s="1185"/>
      <c r="INR84" s="1185"/>
      <c r="INS84" s="1185"/>
      <c r="INT84" s="1185"/>
      <c r="INU84" s="1185"/>
      <c r="INV84" s="1185"/>
      <c r="INW84" s="1185"/>
      <c r="INX84" s="1185"/>
      <c r="INY84" s="1185"/>
      <c r="INZ84" s="1185"/>
      <c r="IOA84" s="1185"/>
      <c r="IOB84" s="1185"/>
      <c r="IOC84" s="1185"/>
      <c r="IOD84" s="1185"/>
      <c r="IOE84" s="1185"/>
      <c r="IOF84" s="1185"/>
      <c r="IOG84" s="1185"/>
      <c r="IOH84" s="1185"/>
      <c r="IOI84" s="1185"/>
      <c r="IOJ84" s="1185"/>
      <c r="IOK84" s="1185"/>
      <c r="IOL84" s="1185"/>
      <c r="IOM84" s="1185"/>
      <c r="ION84" s="1185"/>
      <c r="IOO84" s="1185"/>
      <c r="IOP84" s="1185"/>
      <c r="IOQ84" s="1185"/>
      <c r="IOR84" s="1185"/>
      <c r="IOS84" s="1185"/>
      <c r="IOT84" s="1185"/>
      <c r="IOU84" s="1185"/>
      <c r="IOV84" s="1185"/>
      <c r="IOW84" s="1185"/>
      <c r="IOX84" s="1185"/>
      <c r="IOY84" s="1185"/>
      <c r="IOZ84" s="1185"/>
      <c r="IPA84" s="1185"/>
      <c r="IPB84" s="1185"/>
      <c r="IPC84" s="1185"/>
      <c r="IPD84" s="1185"/>
      <c r="IPE84" s="1185"/>
      <c r="IPF84" s="1185"/>
      <c r="IPG84" s="1185"/>
      <c r="IPH84" s="1185"/>
      <c r="IPI84" s="1185"/>
      <c r="IPJ84" s="1185"/>
      <c r="IPK84" s="1185"/>
      <c r="IPL84" s="1185"/>
      <c r="IPM84" s="1185"/>
      <c r="IPN84" s="1185"/>
      <c r="IPO84" s="1185"/>
      <c r="IPP84" s="1185"/>
      <c r="IPQ84" s="1185"/>
      <c r="IPR84" s="1185"/>
      <c r="IPS84" s="1185"/>
      <c r="IPT84" s="1185"/>
      <c r="IPU84" s="1185"/>
      <c r="IPV84" s="1185"/>
      <c r="IPW84" s="1185"/>
      <c r="IPX84" s="1185"/>
      <c r="IPY84" s="1185"/>
      <c r="IPZ84" s="1185"/>
      <c r="IQA84" s="1185"/>
      <c r="IQB84" s="1185"/>
      <c r="IQC84" s="1185"/>
      <c r="IQD84" s="1185"/>
      <c r="IQE84" s="1185"/>
      <c r="IQF84" s="1185"/>
      <c r="IQG84" s="1185"/>
      <c r="IQH84" s="1185"/>
      <c r="IQI84" s="1185"/>
      <c r="IQJ84" s="1185"/>
      <c r="IQK84" s="1185"/>
      <c r="IQL84" s="1185"/>
      <c r="IQM84" s="1185"/>
      <c r="IQN84" s="1185"/>
      <c r="IQO84" s="1185"/>
      <c r="IQP84" s="1185"/>
      <c r="IQQ84" s="1185"/>
      <c r="IQR84" s="1185"/>
      <c r="IQS84" s="1185"/>
      <c r="IQT84" s="1185"/>
      <c r="IQU84" s="1185"/>
      <c r="IQV84" s="1185"/>
      <c r="IQW84" s="1185"/>
      <c r="IQX84" s="1185"/>
      <c r="IQY84" s="1185"/>
      <c r="IQZ84" s="1185"/>
      <c r="IRA84" s="1185"/>
      <c r="IRB84" s="1185"/>
      <c r="IRC84" s="1185"/>
      <c r="IRD84" s="1185"/>
      <c r="IRE84" s="1185"/>
      <c r="IRF84" s="1185"/>
      <c r="IRG84" s="1185"/>
      <c r="IRH84" s="1185"/>
      <c r="IRI84" s="1185"/>
      <c r="IRJ84" s="1185"/>
      <c r="IRK84" s="1185"/>
      <c r="IRL84" s="1185"/>
      <c r="IRM84" s="1185"/>
      <c r="IRN84" s="1185"/>
      <c r="IRO84" s="1185"/>
      <c r="IRP84" s="1185"/>
      <c r="IRQ84" s="1185"/>
      <c r="IRR84" s="1185"/>
      <c r="IRS84" s="1185"/>
      <c r="IRT84" s="1185"/>
      <c r="IRU84" s="1185"/>
      <c r="IRV84" s="1185"/>
      <c r="IRW84" s="1185"/>
      <c r="IRX84" s="1185"/>
      <c r="IRY84" s="1185"/>
      <c r="IRZ84" s="1185"/>
      <c r="ISA84" s="1185"/>
      <c r="ISB84" s="1185"/>
      <c r="ISC84" s="1185"/>
      <c r="ISD84" s="1185"/>
      <c r="ISE84" s="1185"/>
      <c r="ISF84" s="1185"/>
      <c r="ISG84" s="1185"/>
      <c r="ISH84" s="1185"/>
      <c r="ISI84" s="1185"/>
      <c r="ISJ84" s="1185"/>
      <c r="ISK84" s="1185"/>
      <c r="ISL84" s="1185"/>
      <c r="ISM84" s="1185"/>
      <c r="ISN84" s="1185"/>
      <c r="ISO84" s="1185"/>
      <c r="ISP84" s="1185"/>
      <c r="ISQ84" s="1185"/>
      <c r="ISR84" s="1185"/>
      <c r="ISS84" s="1185"/>
      <c r="IST84" s="1185"/>
      <c r="ISU84" s="1185"/>
      <c r="ISV84" s="1185"/>
      <c r="ISW84" s="1185"/>
      <c r="ISX84" s="1185"/>
      <c r="ISY84" s="1185"/>
      <c r="ISZ84" s="1185"/>
      <c r="ITA84" s="1185"/>
      <c r="ITB84" s="1185"/>
      <c r="ITC84" s="1185"/>
      <c r="ITD84" s="1185"/>
      <c r="ITE84" s="1185"/>
      <c r="ITF84" s="1185"/>
      <c r="ITG84" s="1185"/>
      <c r="ITH84" s="1185"/>
      <c r="ITI84" s="1185"/>
      <c r="ITJ84" s="1185"/>
      <c r="ITK84" s="1185"/>
      <c r="ITL84" s="1185"/>
      <c r="ITM84" s="1185"/>
      <c r="ITN84" s="1185"/>
      <c r="ITO84" s="1185"/>
      <c r="ITP84" s="1185"/>
      <c r="ITQ84" s="1185"/>
      <c r="ITR84" s="1185"/>
      <c r="ITS84" s="1185"/>
      <c r="ITT84" s="1185"/>
      <c r="ITU84" s="1185"/>
      <c r="ITV84" s="1185"/>
      <c r="ITW84" s="1185"/>
      <c r="ITX84" s="1185"/>
      <c r="ITY84" s="1185"/>
      <c r="ITZ84" s="1185"/>
      <c r="IUA84" s="1185"/>
      <c r="IUB84" s="1185"/>
      <c r="IUC84" s="1185"/>
      <c r="IUD84" s="1185"/>
      <c r="IUE84" s="1185"/>
      <c r="IUF84" s="1185"/>
      <c r="IUG84" s="1185"/>
      <c r="IUH84" s="1185"/>
      <c r="IUI84" s="1185"/>
      <c r="IUJ84" s="1185"/>
      <c r="IUK84" s="1185"/>
      <c r="IUL84" s="1185"/>
      <c r="IUM84" s="1185"/>
      <c r="IUN84" s="1185"/>
      <c r="IUO84" s="1185"/>
      <c r="IUP84" s="1185"/>
      <c r="IUQ84" s="1185"/>
      <c r="IUR84" s="1185"/>
      <c r="IUS84" s="1185"/>
      <c r="IUT84" s="1185"/>
      <c r="IUU84" s="1185"/>
      <c r="IUV84" s="1185"/>
      <c r="IUW84" s="1185"/>
      <c r="IUX84" s="1185"/>
      <c r="IUY84" s="1185"/>
      <c r="IUZ84" s="1185"/>
      <c r="IVA84" s="1185"/>
      <c r="IVB84" s="1185"/>
      <c r="IVC84" s="1185"/>
      <c r="IVD84" s="1185"/>
      <c r="IVE84" s="1185"/>
      <c r="IVF84" s="1185"/>
      <c r="IVG84" s="1185"/>
      <c r="IVH84" s="1185"/>
      <c r="IVI84" s="1185"/>
      <c r="IVJ84" s="1185"/>
      <c r="IVK84" s="1185"/>
      <c r="IVL84" s="1185"/>
      <c r="IVM84" s="1185"/>
      <c r="IVN84" s="1185"/>
      <c r="IVO84" s="1185"/>
      <c r="IVP84" s="1185"/>
      <c r="IVQ84" s="1185"/>
      <c r="IVR84" s="1185"/>
      <c r="IVS84" s="1185"/>
      <c r="IVT84" s="1185"/>
      <c r="IVU84" s="1185"/>
      <c r="IVV84" s="1185"/>
      <c r="IVW84" s="1185"/>
      <c r="IVX84" s="1185"/>
      <c r="IVY84" s="1185"/>
      <c r="IVZ84" s="1185"/>
      <c r="IWA84" s="1185"/>
      <c r="IWB84" s="1185"/>
      <c r="IWC84" s="1185"/>
      <c r="IWD84" s="1185"/>
      <c r="IWE84" s="1185"/>
      <c r="IWF84" s="1185"/>
      <c r="IWG84" s="1185"/>
      <c r="IWH84" s="1185"/>
      <c r="IWI84" s="1185"/>
      <c r="IWJ84" s="1185"/>
      <c r="IWK84" s="1185"/>
      <c r="IWL84" s="1185"/>
      <c r="IWM84" s="1185"/>
      <c r="IWN84" s="1185"/>
      <c r="IWO84" s="1185"/>
      <c r="IWP84" s="1185"/>
      <c r="IWQ84" s="1185"/>
      <c r="IWR84" s="1185"/>
      <c r="IWS84" s="1185"/>
      <c r="IWT84" s="1185"/>
      <c r="IWU84" s="1185"/>
      <c r="IWV84" s="1185"/>
      <c r="IWW84" s="1185"/>
      <c r="IWX84" s="1185"/>
      <c r="IWY84" s="1185"/>
      <c r="IWZ84" s="1185"/>
      <c r="IXA84" s="1185"/>
      <c r="IXB84" s="1185"/>
      <c r="IXC84" s="1185"/>
      <c r="IXD84" s="1185"/>
      <c r="IXE84" s="1185"/>
      <c r="IXF84" s="1185"/>
      <c r="IXG84" s="1185"/>
      <c r="IXH84" s="1185"/>
      <c r="IXI84" s="1185"/>
      <c r="IXJ84" s="1185"/>
      <c r="IXK84" s="1185"/>
      <c r="IXL84" s="1185"/>
      <c r="IXM84" s="1185"/>
      <c r="IXN84" s="1185"/>
      <c r="IXO84" s="1185"/>
      <c r="IXP84" s="1185"/>
      <c r="IXQ84" s="1185"/>
      <c r="IXR84" s="1185"/>
      <c r="IXS84" s="1185"/>
      <c r="IXT84" s="1185"/>
      <c r="IXU84" s="1185"/>
      <c r="IXV84" s="1185"/>
      <c r="IXW84" s="1185"/>
      <c r="IXX84" s="1185"/>
      <c r="IXY84" s="1185"/>
      <c r="IXZ84" s="1185"/>
      <c r="IYA84" s="1185"/>
      <c r="IYB84" s="1185"/>
      <c r="IYC84" s="1185"/>
      <c r="IYD84" s="1185"/>
      <c r="IYE84" s="1185"/>
      <c r="IYF84" s="1185"/>
      <c r="IYG84" s="1185"/>
      <c r="IYH84" s="1185"/>
      <c r="IYI84" s="1185"/>
      <c r="IYJ84" s="1185"/>
      <c r="IYK84" s="1185"/>
      <c r="IYL84" s="1185"/>
      <c r="IYM84" s="1185"/>
      <c r="IYN84" s="1185"/>
      <c r="IYO84" s="1185"/>
      <c r="IYP84" s="1185"/>
      <c r="IYQ84" s="1185"/>
      <c r="IYR84" s="1185"/>
      <c r="IYS84" s="1185"/>
      <c r="IYT84" s="1185"/>
      <c r="IYU84" s="1185"/>
      <c r="IYV84" s="1185"/>
      <c r="IYW84" s="1185"/>
      <c r="IYX84" s="1185"/>
      <c r="IYY84" s="1185"/>
      <c r="IYZ84" s="1185"/>
      <c r="IZA84" s="1185"/>
      <c r="IZB84" s="1185"/>
      <c r="IZC84" s="1185"/>
      <c r="IZD84" s="1185"/>
      <c r="IZE84" s="1185"/>
      <c r="IZF84" s="1185"/>
      <c r="IZG84" s="1185"/>
      <c r="IZH84" s="1185"/>
      <c r="IZI84" s="1185"/>
      <c r="IZJ84" s="1185"/>
      <c r="IZK84" s="1185"/>
      <c r="IZL84" s="1185"/>
      <c r="IZM84" s="1185"/>
      <c r="IZN84" s="1185"/>
      <c r="IZO84" s="1185"/>
      <c r="IZP84" s="1185"/>
      <c r="IZQ84" s="1185"/>
      <c r="IZR84" s="1185"/>
      <c r="IZS84" s="1185"/>
      <c r="IZT84" s="1185"/>
      <c r="IZU84" s="1185"/>
      <c r="IZV84" s="1185"/>
      <c r="IZW84" s="1185"/>
      <c r="IZX84" s="1185"/>
      <c r="IZY84" s="1185"/>
      <c r="IZZ84" s="1185"/>
      <c r="JAA84" s="1185"/>
      <c r="JAB84" s="1185"/>
      <c r="JAC84" s="1185"/>
      <c r="JAD84" s="1185"/>
      <c r="JAE84" s="1185"/>
      <c r="JAF84" s="1185"/>
      <c r="JAG84" s="1185"/>
      <c r="JAH84" s="1185"/>
      <c r="JAI84" s="1185"/>
      <c r="JAJ84" s="1185"/>
      <c r="JAK84" s="1185"/>
      <c r="JAL84" s="1185"/>
      <c r="JAM84" s="1185"/>
      <c r="JAN84" s="1185"/>
      <c r="JAO84" s="1185"/>
      <c r="JAP84" s="1185"/>
      <c r="JAQ84" s="1185"/>
      <c r="JAR84" s="1185"/>
      <c r="JAS84" s="1185"/>
      <c r="JAT84" s="1185"/>
      <c r="JAU84" s="1185"/>
      <c r="JAV84" s="1185"/>
      <c r="JAW84" s="1185"/>
      <c r="JAX84" s="1185"/>
      <c r="JAY84" s="1185"/>
      <c r="JAZ84" s="1185"/>
      <c r="JBA84" s="1185"/>
      <c r="JBB84" s="1185"/>
      <c r="JBC84" s="1185"/>
      <c r="JBD84" s="1185"/>
      <c r="JBE84" s="1185"/>
      <c r="JBF84" s="1185"/>
      <c r="JBG84" s="1185"/>
      <c r="JBH84" s="1185"/>
      <c r="JBI84" s="1185"/>
      <c r="JBJ84" s="1185"/>
      <c r="JBK84" s="1185"/>
      <c r="JBL84" s="1185"/>
      <c r="JBM84" s="1185"/>
      <c r="JBN84" s="1185"/>
      <c r="JBO84" s="1185"/>
      <c r="JBP84" s="1185"/>
      <c r="JBQ84" s="1185"/>
      <c r="JBR84" s="1185"/>
      <c r="JBS84" s="1185"/>
      <c r="JBT84" s="1185"/>
      <c r="JBU84" s="1185"/>
      <c r="JBV84" s="1185"/>
      <c r="JBW84" s="1185"/>
      <c r="JBX84" s="1185"/>
      <c r="JBY84" s="1185"/>
      <c r="JBZ84" s="1185"/>
      <c r="JCA84" s="1185"/>
      <c r="JCB84" s="1185"/>
      <c r="JCC84" s="1185"/>
      <c r="JCD84" s="1185"/>
      <c r="JCE84" s="1185"/>
      <c r="JCF84" s="1185"/>
      <c r="JCG84" s="1185"/>
      <c r="JCH84" s="1185"/>
      <c r="JCI84" s="1185"/>
      <c r="JCJ84" s="1185"/>
      <c r="JCK84" s="1185"/>
      <c r="JCL84" s="1185"/>
      <c r="JCM84" s="1185"/>
      <c r="JCN84" s="1185"/>
      <c r="JCO84" s="1185"/>
      <c r="JCP84" s="1185"/>
      <c r="JCQ84" s="1185"/>
      <c r="JCR84" s="1185"/>
      <c r="JCS84" s="1185"/>
      <c r="JCT84" s="1185"/>
      <c r="JCU84" s="1185"/>
      <c r="JCV84" s="1185"/>
      <c r="JCW84" s="1185"/>
      <c r="JCX84" s="1185"/>
      <c r="JCY84" s="1185"/>
      <c r="JCZ84" s="1185"/>
      <c r="JDA84" s="1185"/>
      <c r="JDB84" s="1185"/>
      <c r="JDC84" s="1185"/>
      <c r="JDD84" s="1185"/>
      <c r="JDE84" s="1185"/>
      <c r="JDF84" s="1185"/>
      <c r="JDG84" s="1185"/>
      <c r="JDH84" s="1185"/>
      <c r="JDI84" s="1185"/>
      <c r="JDJ84" s="1185"/>
      <c r="JDK84" s="1185"/>
      <c r="JDL84" s="1185"/>
      <c r="JDM84" s="1185"/>
      <c r="JDN84" s="1185"/>
      <c r="JDO84" s="1185"/>
      <c r="JDP84" s="1185"/>
      <c r="JDQ84" s="1185"/>
      <c r="JDR84" s="1185"/>
      <c r="JDS84" s="1185"/>
      <c r="JDT84" s="1185"/>
      <c r="JDU84" s="1185"/>
      <c r="JDV84" s="1185"/>
      <c r="JDW84" s="1185"/>
      <c r="JDX84" s="1185"/>
      <c r="JDY84" s="1185"/>
      <c r="JDZ84" s="1185"/>
      <c r="JEA84" s="1185"/>
      <c r="JEB84" s="1185"/>
      <c r="JEC84" s="1185"/>
      <c r="JED84" s="1185"/>
      <c r="JEE84" s="1185"/>
      <c r="JEF84" s="1185"/>
      <c r="JEG84" s="1185"/>
      <c r="JEH84" s="1185"/>
      <c r="JEI84" s="1185"/>
      <c r="JEJ84" s="1185"/>
      <c r="JEK84" s="1185"/>
      <c r="JEL84" s="1185"/>
      <c r="JEM84" s="1185"/>
      <c r="JEN84" s="1185"/>
      <c r="JEO84" s="1185"/>
      <c r="JEP84" s="1185"/>
      <c r="JEQ84" s="1185"/>
      <c r="JER84" s="1185"/>
      <c r="JES84" s="1185"/>
      <c r="JET84" s="1185"/>
      <c r="JEU84" s="1185"/>
      <c r="JEV84" s="1185"/>
      <c r="JEW84" s="1185"/>
      <c r="JEX84" s="1185"/>
      <c r="JEY84" s="1185"/>
      <c r="JEZ84" s="1185"/>
      <c r="JFA84" s="1185"/>
      <c r="JFB84" s="1185"/>
      <c r="JFC84" s="1185"/>
      <c r="JFD84" s="1185"/>
      <c r="JFE84" s="1185"/>
      <c r="JFF84" s="1185"/>
      <c r="JFG84" s="1185"/>
      <c r="JFH84" s="1185"/>
      <c r="JFI84" s="1185"/>
      <c r="JFJ84" s="1185"/>
      <c r="JFK84" s="1185"/>
      <c r="JFL84" s="1185"/>
      <c r="JFM84" s="1185"/>
      <c r="JFN84" s="1185"/>
      <c r="JFO84" s="1185"/>
      <c r="JFP84" s="1185"/>
      <c r="JFQ84" s="1185"/>
      <c r="JFR84" s="1185"/>
      <c r="JFS84" s="1185"/>
      <c r="JFT84" s="1185"/>
      <c r="JFU84" s="1185"/>
      <c r="JFV84" s="1185"/>
      <c r="JFW84" s="1185"/>
      <c r="JFX84" s="1185"/>
      <c r="JFY84" s="1185"/>
      <c r="JFZ84" s="1185"/>
      <c r="JGA84" s="1185"/>
      <c r="JGB84" s="1185"/>
      <c r="JGC84" s="1185"/>
      <c r="JGD84" s="1185"/>
      <c r="JGE84" s="1185"/>
      <c r="JGF84" s="1185"/>
      <c r="JGG84" s="1185"/>
      <c r="JGH84" s="1185"/>
      <c r="JGI84" s="1185"/>
      <c r="JGJ84" s="1185"/>
      <c r="JGK84" s="1185"/>
      <c r="JGL84" s="1185"/>
      <c r="JGM84" s="1185"/>
      <c r="JGN84" s="1185"/>
      <c r="JGO84" s="1185"/>
      <c r="JGP84" s="1185"/>
      <c r="JGQ84" s="1185"/>
      <c r="JGR84" s="1185"/>
      <c r="JGS84" s="1185"/>
      <c r="JGT84" s="1185"/>
      <c r="JGU84" s="1185"/>
      <c r="JGV84" s="1185"/>
      <c r="JGW84" s="1185"/>
      <c r="JGX84" s="1185"/>
      <c r="JGY84" s="1185"/>
      <c r="JGZ84" s="1185"/>
      <c r="JHA84" s="1185"/>
      <c r="JHB84" s="1185"/>
      <c r="JHC84" s="1185"/>
      <c r="JHD84" s="1185"/>
      <c r="JHE84" s="1185"/>
      <c r="JHF84" s="1185"/>
      <c r="JHG84" s="1185"/>
      <c r="JHH84" s="1185"/>
      <c r="JHI84" s="1185"/>
      <c r="JHJ84" s="1185"/>
      <c r="JHK84" s="1185"/>
      <c r="JHL84" s="1185"/>
      <c r="JHM84" s="1185"/>
      <c r="JHN84" s="1185"/>
      <c r="JHO84" s="1185"/>
      <c r="JHP84" s="1185"/>
      <c r="JHQ84" s="1185"/>
      <c r="JHR84" s="1185"/>
      <c r="JHS84" s="1185"/>
      <c r="JHT84" s="1185"/>
      <c r="JHU84" s="1185"/>
      <c r="JHV84" s="1185"/>
      <c r="JHW84" s="1185"/>
      <c r="JHX84" s="1185"/>
      <c r="JHY84" s="1185"/>
      <c r="JHZ84" s="1185"/>
      <c r="JIA84" s="1185"/>
      <c r="JIB84" s="1185"/>
      <c r="JIC84" s="1185"/>
      <c r="JID84" s="1185"/>
      <c r="JIE84" s="1185"/>
      <c r="JIF84" s="1185"/>
      <c r="JIG84" s="1185"/>
      <c r="JIH84" s="1185"/>
      <c r="JII84" s="1185"/>
      <c r="JIJ84" s="1185"/>
      <c r="JIK84" s="1185"/>
      <c r="JIL84" s="1185"/>
      <c r="JIM84" s="1185"/>
      <c r="JIN84" s="1185"/>
      <c r="JIO84" s="1185"/>
      <c r="JIP84" s="1185"/>
      <c r="JIQ84" s="1185"/>
      <c r="JIR84" s="1185"/>
      <c r="JIS84" s="1185"/>
      <c r="JIT84" s="1185"/>
      <c r="JIU84" s="1185"/>
      <c r="JIV84" s="1185"/>
      <c r="JIW84" s="1185"/>
      <c r="JIX84" s="1185"/>
      <c r="JIY84" s="1185"/>
      <c r="JIZ84" s="1185"/>
      <c r="JJA84" s="1185"/>
      <c r="JJB84" s="1185"/>
      <c r="JJC84" s="1185"/>
      <c r="JJD84" s="1185"/>
      <c r="JJE84" s="1185"/>
      <c r="JJF84" s="1185"/>
      <c r="JJG84" s="1185"/>
      <c r="JJH84" s="1185"/>
      <c r="JJI84" s="1185"/>
      <c r="JJJ84" s="1185"/>
      <c r="JJK84" s="1185"/>
      <c r="JJL84" s="1185"/>
      <c r="JJM84" s="1185"/>
      <c r="JJN84" s="1185"/>
      <c r="JJO84" s="1185"/>
      <c r="JJP84" s="1185"/>
      <c r="JJQ84" s="1185"/>
      <c r="JJR84" s="1185"/>
      <c r="JJS84" s="1185"/>
      <c r="JJT84" s="1185"/>
      <c r="JJU84" s="1185"/>
      <c r="JJV84" s="1185"/>
      <c r="JJW84" s="1185"/>
      <c r="JJX84" s="1185"/>
      <c r="JJY84" s="1185"/>
      <c r="JJZ84" s="1185"/>
      <c r="JKA84" s="1185"/>
      <c r="JKB84" s="1185"/>
      <c r="JKC84" s="1185"/>
      <c r="JKD84" s="1185"/>
      <c r="JKE84" s="1185"/>
      <c r="JKF84" s="1185"/>
      <c r="JKG84" s="1185"/>
      <c r="JKH84" s="1185"/>
      <c r="JKI84" s="1185"/>
      <c r="JKJ84" s="1185"/>
      <c r="JKK84" s="1185"/>
      <c r="JKL84" s="1185"/>
      <c r="JKM84" s="1185"/>
      <c r="JKN84" s="1185"/>
      <c r="JKO84" s="1185"/>
      <c r="JKP84" s="1185"/>
      <c r="JKQ84" s="1185"/>
      <c r="JKR84" s="1185"/>
      <c r="JKS84" s="1185"/>
      <c r="JKT84" s="1185"/>
      <c r="JKU84" s="1185"/>
      <c r="JKV84" s="1185"/>
      <c r="JKW84" s="1185"/>
      <c r="JKX84" s="1185"/>
      <c r="JKY84" s="1185"/>
      <c r="JKZ84" s="1185"/>
      <c r="JLA84" s="1185"/>
      <c r="JLB84" s="1185"/>
      <c r="JLC84" s="1185"/>
      <c r="JLD84" s="1185"/>
      <c r="JLE84" s="1185"/>
      <c r="JLF84" s="1185"/>
      <c r="JLG84" s="1185"/>
      <c r="JLH84" s="1185"/>
      <c r="JLI84" s="1185"/>
      <c r="JLJ84" s="1185"/>
      <c r="JLK84" s="1185"/>
      <c r="JLL84" s="1185"/>
      <c r="JLM84" s="1185"/>
      <c r="JLN84" s="1185"/>
      <c r="JLO84" s="1185"/>
      <c r="JLP84" s="1185"/>
      <c r="JLQ84" s="1185"/>
      <c r="JLR84" s="1185"/>
      <c r="JLS84" s="1185"/>
      <c r="JLT84" s="1185"/>
      <c r="JLU84" s="1185"/>
      <c r="JLV84" s="1185"/>
      <c r="JLW84" s="1185"/>
      <c r="JLX84" s="1185"/>
      <c r="JLY84" s="1185"/>
      <c r="JLZ84" s="1185"/>
      <c r="JMA84" s="1185"/>
      <c r="JMB84" s="1185"/>
      <c r="JMC84" s="1185"/>
      <c r="JMD84" s="1185"/>
      <c r="JME84" s="1185"/>
      <c r="JMF84" s="1185"/>
      <c r="JMG84" s="1185"/>
      <c r="JMH84" s="1185"/>
      <c r="JMI84" s="1185"/>
      <c r="JMJ84" s="1185"/>
      <c r="JMK84" s="1185"/>
      <c r="JML84" s="1185"/>
      <c r="JMM84" s="1185"/>
      <c r="JMN84" s="1185"/>
      <c r="JMO84" s="1185"/>
      <c r="JMP84" s="1185"/>
      <c r="JMQ84" s="1185"/>
      <c r="JMR84" s="1185"/>
      <c r="JMS84" s="1185"/>
      <c r="JMT84" s="1185"/>
      <c r="JMU84" s="1185"/>
      <c r="JMV84" s="1185"/>
      <c r="JMW84" s="1185"/>
      <c r="JMX84" s="1185"/>
      <c r="JMY84" s="1185"/>
      <c r="JMZ84" s="1185"/>
      <c r="JNA84" s="1185"/>
      <c r="JNB84" s="1185"/>
      <c r="JNC84" s="1185"/>
      <c r="JND84" s="1185"/>
      <c r="JNE84" s="1185"/>
      <c r="JNF84" s="1185"/>
      <c r="JNG84" s="1185"/>
      <c r="JNH84" s="1185"/>
      <c r="JNI84" s="1185"/>
      <c r="JNJ84" s="1185"/>
      <c r="JNK84" s="1185"/>
      <c r="JNL84" s="1185"/>
      <c r="JNM84" s="1185"/>
      <c r="JNN84" s="1185"/>
      <c r="JNO84" s="1185"/>
      <c r="JNP84" s="1185"/>
      <c r="JNQ84" s="1185"/>
      <c r="JNR84" s="1185"/>
      <c r="JNS84" s="1185"/>
      <c r="JNT84" s="1185"/>
      <c r="JNU84" s="1185"/>
      <c r="JNV84" s="1185"/>
      <c r="JNW84" s="1185"/>
      <c r="JNX84" s="1185"/>
      <c r="JNY84" s="1185"/>
      <c r="JNZ84" s="1185"/>
      <c r="JOA84" s="1185"/>
      <c r="JOB84" s="1185"/>
      <c r="JOC84" s="1185"/>
      <c r="JOD84" s="1185"/>
      <c r="JOE84" s="1185"/>
      <c r="JOF84" s="1185"/>
      <c r="JOG84" s="1185"/>
      <c r="JOH84" s="1185"/>
      <c r="JOI84" s="1185"/>
      <c r="JOJ84" s="1185"/>
      <c r="JOK84" s="1185"/>
      <c r="JOL84" s="1185"/>
      <c r="JOM84" s="1185"/>
      <c r="JON84" s="1185"/>
      <c r="JOO84" s="1185"/>
      <c r="JOP84" s="1185"/>
      <c r="JOQ84" s="1185"/>
      <c r="JOR84" s="1185"/>
      <c r="JOS84" s="1185"/>
      <c r="JOT84" s="1185"/>
      <c r="JOU84" s="1185"/>
      <c r="JOV84" s="1185"/>
      <c r="JOW84" s="1185"/>
      <c r="JOX84" s="1185"/>
      <c r="JOY84" s="1185"/>
      <c r="JOZ84" s="1185"/>
      <c r="JPA84" s="1185"/>
      <c r="JPB84" s="1185"/>
      <c r="JPC84" s="1185"/>
      <c r="JPD84" s="1185"/>
      <c r="JPE84" s="1185"/>
      <c r="JPF84" s="1185"/>
      <c r="JPG84" s="1185"/>
      <c r="JPH84" s="1185"/>
      <c r="JPI84" s="1185"/>
      <c r="JPJ84" s="1185"/>
      <c r="JPK84" s="1185"/>
      <c r="JPL84" s="1185"/>
      <c r="JPM84" s="1185"/>
      <c r="JPN84" s="1185"/>
      <c r="JPO84" s="1185"/>
      <c r="JPP84" s="1185"/>
      <c r="JPQ84" s="1185"/>
      <c r="JPR84" s="1185"/>
      <c r="JPS84" s="1185"/>
      <c r="JPT84" s="1185"/>
      <c r="JPU84" s="1185"/>
      <c r="JPV84" s="1185"/>
      <c r="JPW84" s="1185"/>
      <c r="JPX84" s="1185"/>
      <c r="JPY84" s="1185"/>
      <c r="JPZ84" s="1185"/>
      <c r="JQA84" s="1185"/>
      <c r="JQB84" s="1185"/>
      <c r="JQC84" s="1185"/>
      <c r="JQD84" s="1185"/>
      <c r="JQE84" s="1185"/>
      <c r="JQF84" s="1185"/>
      <c r="JQG84" s="1185"/>
      <c r="JQH84" s="1185"/>
      <c r="JQI84" s="1185"/>
      <c r="JQJ84" s="1185"/>
      <c r="JQK84" s="1185"/>
      <c r="JQL84" s="1185"/>
      <c r="JQM84" s="1185"/>
      <c r="JQN84" s="1185"/>
      <c r="JQO84" s="1185"/>
      <c r="JQP84" s="1185"/>
      <c r="JQQ84" s="1185"/>
      <c r="JQR84" s="1185"/>
      <c r="JQS84" s="1185"/>
      <c r="JQT84" s="1185"/>
      <c r="JQU84" s="1185"/>
      <c r="JQV84" s="1185"/>
      <c r="JQW84" s="1185"/>
      <c r="JQX84" s="1185"/>
      <c r="JQY84" s="1185"/>
      <c r="JQZ84" s="1185"/>
      <c r="JRA84" s="1185"/>
      <c r="JRB84" s="1185"/>
      <c r="JRC84" s="1185"/>
      <c r="JRD84" s="1185"/>
      <c r="JRE84" s="1185"/>
      <c r="JRF84" s="1185"/>
      <c r="JRG84" s="1185"/>
      <c r="JRH84" s="1185"/>
      <c r="JRI84" s="1185"/>
      <c r="JRJ84" s="1185"/>
      <c r="JRK84" s="1185"/>
      <c r="JRL84" s="1185"/>
      <c r="JRM84" s="1185"/>
      <c r="JRN84" s="1185"/>
      <c r="JRO84" s="1185"/>
      <c r="JRP84" s="1185"/>
      <c r="JRQ84" s="1185"/>
      <c r="JRR84" s="1185"/>
      <c r="JRS84" s="1185"/>
      <c r="JRT84" s="1185"/>
      <c r="JRU84" s="1185"/>
      <c r="JRV84" s="1185"/>
      <c r="JRW84" s="1185"/>
      <c r="JRX84" s="1185"/>
      <c r="JRY84" s="1185"/>
      <c r="JRZ84" s="1185"/>
      <c r="JSA84" s="1185"/>
      <c r="JSB84" s="1185"/>
      <c r="JSC84" s="1185"/>
      <c r="JSD84" s="1185"/>
      <c r="JSE84" s="1185"/>
      <c r="JSF84" s="1185"/>
      <c r="JSG84" s="1185"/>
      <c r="JSH84" s="1185"/>
      <c r="JSI84" s="1185"/>
      <c r="JSJ84" s="1185"/>
      <c r="JSK84" s="1185"/>
      <c r="JSL84" s="1185"/>
      <c r="JSM84" s="1185"/>
      <c r="JSN84" s="1185"/>
      <c r="JSO84" s="1185"/>
      <c r="JSP84" s="1185"/>
      <c r="JSQ84" s="1185"/>
      <c r="JSR84" s="1185"/>
      <c r="JSS84" s="1185"/>
      <c r="JST84" s="1185"/>
      <c r="JSU84" s="1185"/>
      <c r="JSV84" s="1185"/>
      <c r="JSW84" s="1185"/>
      <c r="JSX84" s="1185"/>
      <c r="JSY84" s="1185"/>
      <c r="JSZ84" s="1185"/>
      <c r="JTA84" s="1185"/>
      <c r="JTB84" s="1185"/>
      <c r="JTC84" s="1185"/>
      <c r="JTD84" s="1185"/>
      <c r="JTE84" s="1185"/>
      <c r="JTF84" s="1185"/>
      <c r="JTG84" s="1185"/>
      <c r="JTH84" s="1185"/>
      <c r="JTI84" s="1185"/>
      <c r="JTJ84" s="1185"/>
      <c r="JTK84" s="1185"/>
      <c r="JTL84" s="1185"/>
      <c r="JTM84" s="1185"/>
      <c r="JTN84" s="1185"/>
      <c r="JTO84" s="1185"/>
      <c r="JTP84" s="1185"/>
      <c r="JTQ84" s="1185"/>
      <c r="JTR84" s="1185"/>
      <c r="JTS84" s="1185"/>
      <c r="JTT84" s="1185"/>
      <c r="JTU84" s="1185"/>
      <c r="JTV84" s="1185"/>
      <c r="JTW84" s="1185"/>
      <c r="JTX84" s="1185"/>
      <c r="JTY84" s="1185"/>
      <c r="JTZ84" s="1185"/>
      <c r="JUA84" s="1185"/>
      <c r="JUB84" s="1185"/>
      <c r="JUC84" s="1185"/>
      <c r="JUD84" s="1185"/>
      <c r="JUE84" s="1185"/>
      <c r="JUF84" s="1185"/>
      <c r="JUG84" s="1185"/>
      <c r="JUH84" s="1185"/>
      <c r="JUI84" s="1185"/>
      <c r="JUJ84" s="1185"/>
      <c r="JUK84" s="1185"/>
      <c r="JUL84" s="1185"/>
      <c r="JUM84" s="1185"/>
      <c r="JUN84" s="1185"/>
      <c r="JUO84" s="1185"/>
      <c r="JUP84" s="1185"/>
      <c r="JUQ84" s="1185"/>
      <c r="JUR84" s="1185"/>
      <c r="JUS84" s="1185"/>
      <c r="JUT84" s="1185"/>
      <c r="JUU84" s="1185"/>
      <c r="JUV84" s="1185"/>
      <c r="JUW84" s="1185"/>
      <c r="JUX84" s="1185"/>
      <c r="JUY84" s="1185"/>
      <c r="JUZ84" s="1185"/>
      <c r="JVA84" s="1185"/>
      <c r="JVB84" s="1185"/>
      <c r="JVC84" s="1185"/>
      <c r="JVD84" s="1185"/>
      <c r="JVE84" s="1185"/>
      <c r="JVF84" s="1185"/>
      <c r="JVG84" s="1185"/>
      <c r="JVH84" s="1185"/>
      <c r="JVI84" s="1185"/>
      <c r="JVJ84" s="1185"/>
      <c r="JVK84" s="1185"/>
      <c r="JVL84" s="1185"/>
      <c r="JVM84" s="1185"/>
      <c r="JVN84" s="1185"/>
      <c r="JVO84" s="1185"/>
      <c r="JVP84" s="1185"/>
      <c r="JVQ84" s="1185"/>
      <c r="JVR84" s="1185"/>
      <c r="JVS84" s="1185"/>
      <c r="JVT84" s="1185"/>
      <c r="JVU84" s="1185"/>
      <c r="JVV84" s="1185"/>
      <c r="JVW84" s="1185"/>
      <c r="JVX84" s="1185"/>
      <c r="JVY84" s="1185"/>
      <c r="JVZ84" s="1185"/>
      <c r="JWA84" s="1185"/>
      <c r="JWB84" s="1185"/>
      <c r="JWC84" s="1185"/>
      <c r="JWD84" s="1185"/>
      <c r="JWE84" s="1185"/>
      <c r="JWF84" s="1185"/>
      <c r="JWG84" s="1185"/>
      <c r="JWH84" s="1185"/>
      <c r="JWI84" s="1185"/>
      <c r="JWJ84" s="1185"/>
      <c r="JWK84" s="1185"/>
      <c r="JWL84" s="1185"/>
      <c r="JWM84" s="1185"/>
      <c r="JWN84" s="1185"/>
      <c r="JWO84" s="1185"/>
      <c r="JWP84" s="1185"/>
      <c r="JWQ84" s="1185"/>
      <c r="JWR84" s="1185"/>
      <c r="JWS84" s="1185"/>
      <c r="JWT84" s="1185"/>
      <c r="JWU84" s="1185"/>
      <c r="JWV84" s="1185"/>
      <c r="JWW84" s="1185"/>
      <c r="JWX84" s="1185"/>
      <c r="JWY84" s="1185"/>
      <c r="JWZ84" s="1185"/>
      <c r="JXA84" s="1185"/>
      <c r="JXB84" s="1185"/>
      <c r="JXC84" s="1185"/>
      <c r="JXD84" s="1185"/>
      <c r="JXE84" s="1185"/>
      <c r="JXF84" s="1185"/>
      <c r="JXG84" s="1185"/>
      <c r="JXH84" s="1185"/>
      <c r="JXI84" s="1185"/>
      <c r="JXJ84" s="1185"/>
      <c r="JXK84" s="1185"/>
      <c r="JXL84" s="1185"/>
      <c r="JXM84" s="1185"/>
      <c r="JXN84" s="1185"/>
      <c r="JXO84" s="1185"/>
      <c r="JXP84" s="1185"/>
      <c r="JXQ84" s="1185"/>
      <c r="JXR84" s="1185"/>
      <c r="JXS84" s="1185"/>
      <c r="JXT84" s="1185"/>
      <c r="JXU84" s="1185"/>
      <c r="JXV84" s="1185"/>
      <c r="JXW84" s="1185"/>
      <c r="JXX84" s="1185"/>
      <c r="JXY84" s="1185"/>
      <c r="JXZ84" s="1185"/>
      <c r="JYA84" s="1185"/>
      <c r="JYB84" s="1185"/>
      <c r="JYC84" s="1185"/>
      <c r="JYD84" s="1185"/>
      <c r="JYE84" s="1185"/>
      <c r="JYF84" s="1185"/>
      <c r="JYG84" s="1185"/>
      <c r="JYH84" s="1185"/>
      <c r="JYI84" s="1185"/>
      <c r="JYJ84" s="1185"/>
      <c r="JYK84" s="1185"/>
      <c r="JYL84" s="1185"/>
      <c r="JYM84" s="1185"/>
      <c r="JYN84" s="1185"/>
      <c r="JYO84" s="1185"/>
      <c r="JYP84" s="1185"/>
      <c r="JYQ84" s="1185"/>
      <c r="JYR84" s="1185"/>
      <c r="JYS84" s="1185"/>
      <c r="JYT84" s="1185"/>
      <c r="JYU84" s="1185"/>
      <c r="JYV84" s="1185"/>
      <c r="JYW84" s="1185"/>
      <c r="JYX84" s="1185"/>
      <c r="JYY84" s="1185"/>
      <c r="JYZ84" s="1185"/>
      <c r="JZA84" s="1185"/>
      <c r="JZB84" s="1185"/>
      <c r="JZC84" s="1185"/>
      <c r="JZD84" s="1185"/>
      <c r="JZE84" s="1185"/>
      <c r="JZF84" s="1185"/>
      <c r="JZG84" s="1185"/>
      <c r="JZH84" s="1185"/>
      <c r="JZI84" s="1185"/>
      <c r="JZJ84" s="1185"/>
      <c r="JZK84" s="1185"/>
      <c r="JZL84" s="1185"/>
      <c r="JZM84" s="1185"/>
      <c r="JZN84" s="1185"/>
      <c r="JZO84" s="1185"/>
      <c r="JZP84" s="1185"/>
      <c r="JZQ84" s="1185"/>
      <c r="JZR84" s="1185"/>
      <c r="JZS84" s="1185"/>
      <c r="JZT84" s="1185"/>
      <c r="JZU84" s="1185"/>
      <c r="JZV84" s="1185"/>
      <c r="JZW84" s="1185"/>
      <c r="JZX84" s="1185"/>
      <c r="JZY84" s="1185"/>
      <c r="JZZ84" s="1185"/>
      <c r="KAA84" s="1185"/>
      <c r="KAB84" s="1185"/>
      <c r="KAC84" s="1185"/>
      <c r="KAD84" s="1185"/>
      <c r="KAE84" s="1185"/>
      <c r="KAF84" s="1185"/>
      <c r="KAG84" s="1185"/>
      <c r="KAH84" s="1185"/>
      <c r="KAI84" s="1185"/>
      <c r="KAJ84" s="1185"/>
      <c r="KAK84" s="1185"/>
      <c r="KAL84" s="1185"/>
      <c r="KAM84" s="1185"/>
      <c r="KAN84" s="1185"/>
      <c r="KAO84" s="1185"/>
      <c r="KAP84" s="1185"/>
      <c r="KAQ84" s="1185"/>
      <c r="KAR84" s="1185"/>
      <c r="KAS84" s="1185"/>
      <c r="KAT84" s="1185"/>
      <c r="KAU84" s="1185"/>
      <c r="KAV84" s="1185"/>
      <c r="KAW84" s="1185"/>
      <c r="KAX84" s="1185"/>
      <c r="KAY84" s="1185"/>
      <c r="KAZ84" s="1185"/>
      <c r="KBA84" s="1185"/>
      <c r="KBB84" s="1185"/>
      <c r="KBC84" s="1185"/>
      <c r="KBD84" s="1185"/>
      <c r="KBE84" s="1185"/>
      <c r="KBF84" s="1185"/>
      <c r="KBG84" s="1185"/>
      <c r="KBH84" s="1185"/>
      <c r="KBI84" s="1185"/>
      <c r="KBJ84" s="1185"/>
      <c r="KBK84" s="1185"/>
      <c r="KBL84" s="1185"/>
      <c r="KBM84" s="1185"/>
      <c r="KBN84" s="1185"/>
      <c r="KBO84" s="1185"/>
      <c r="KBP84" s="1185"/>
      <c r="KBQ84" s="1185"/>
      <c r="KBR84" s="1185"/>
      <c r="KBS84" s="1185"/>
      <c r="KBT84" s="1185"/>
      <c r="KBU84" s="1185"/>
      <c r="KBV84" s="1185"/>
      <c r="KBW84" s="1185"/>
      <c r="KBX84" s="1185"/>
      <c r="KBY84" s="1185"/>
      <c r="KBZ84" s="1185"/>
      <c r="KCA84" s="1185"/>
      <c r="KCB84" s="1185"/>
      <c r="KCC84" s="1185"/>
      <c r="KCD84" s="1185"/>
      <c r="KCE84" s="1185"/>
      <c r="KCF84" s="1185"/>
      <c r="KCG84" s="1185"/>
      <c r="KCH84" s="1185"/>
      <c r="KCI84" s="1185"/>
      <c r="KCJ84" s="1185"/>
      <c r="KCK84" s="1185"/>
      <c r="KCL84" s="1185"/>
      <c r="KCM84" s="1185"/>
      <c r="KCN84" s="1185"/>
      <c r="KCO84" s="1185"/>
      <c r="KCP84" s="1185"/>
      <c r="KCQ84" s="1185"/>
      <c r="KCR84" s="1185"/>
      <c r="KCS84" s="1185"/>
      <c r="KCT84" s="1185"/>
      <c r="KCU84" s="1185"/>
      <c r="KCV84" s="1185"/>
      <c r="KCW84" s="1185"/>
      <c r="KCX84" s="1185"/>
      <c r="KCY84" s="1185"/>
      <c r="KCZ84" s="1185"/>
      <c r="KDA84" s="1185"/>
      <c r="KDB84" s="1185"/>
      <c r="KDC84" s="1185"/>
      <c r="KDD84" s="1185"/>
      <c r="KDE84" s="1185"/>
      <c r="KDF84" s="1185"/>
      <c r="KDG84" s="1185"/>
      <c r="KDH84" s="1185"/>
      <c r="KDI84" s="1185"/>
      <c r="KDJ84" s="1185"/>
      <c r="KDK84" s="1185"/>
      <c r="KDL84" s="1185"/>
      <c r="KDM84" s="1185"/>
      <c r="KDN84" s="1185"/>
      <c r="KDO84" s="1185"/>
      <c r="KDP84" s="1185"/>
      <c r="KDQ84" s="1185"/>
      <c r="KDR84" s="1185"/>
      <c r="KDS84" s="1185"/>
      <c r="KDT84" s="1185"/>
      <c r="KDU84" s="1185"/>
      <c r="KDV84" s="1185"/>
      <c r="KDW84" s="1185"/>
      <c r="KDX84" s="1185"/>
      <c r="KDY84" s="1185"/>
      <c r="KDZ84" s="1185"/>
      <c r="KEA84" s="1185"/>
      <c r="KEB84" s="1185"/>
      <c r="KEC84" s="1185"/>
      <c r="KED84" s="1185"/>
      <c r="KEE84" s="1185"/>
      <c r="KEF84" s="1185"/>
      <c r="KEG84" s="1185"/>
      <c r="KEH84" s="1185"/>
      <c r="KEI84" s="1185"/>
      <c r="KEJ84" s="1185"/>
      <c r="KEK84" s="1185"/>
      <c r="KEL84" s="1185"/>
      <c r="KEM84" s="1185"/>
      <c r="KEN84" s="1185"/>
      <c r="KEO84" s="1185"/>
      <c r="KEP84" s="1185"/>
      <c r="KEQ84" s="1185"/>
      <c r="KER84" s="1185"/>
      <c r="KES84" s="1185"/>
      <c r="KET84" s="1185"/>
      <c r="KEU84" s="1185"/>
      <c r="KEV84" s="1185"/>
      <c r="KEW84" s="1185"/>
      <c r="KEX84" s="1185"/>
      <c r="KEY84" s="1185"/>
      <c r="KEZ84" s="1185"/>
      <c r="KFA84" s="1185"/>
      <c r="KFB84" s="1185"/>
      <c r="KFC84" s="1185"/>
      <c r="KFD84" s="1185"/>
      <c r="KFE84" s="1185"/>
      <c r="KFF84" s="1185"/>
      <c r="KFG84" s="1185"/>
      <c r="KFH84" s="1185"/>
      <c r="KFI84" s="1185"/>
      <c r="KFJ84" s="1185"/>
      <c r="KFK84" s="1185"/>
      <c r="KFL84" s="1185"/>
      <c r="KFM84" s="1185"/>
      <c r="KFN84" s="1185"/>
      <c r="KFO84" s="1185"/>
      <c r="KFP84" s="1185"/>
      <c r="KFQ84" s="1185"/>
      <c r="KFR84" s="1185"/>
      <c r="KFS84" s="1185"/>
      <c r="KFT84" s="1185"/>
      <c r="KFU84" s="1185"/>
      <c r="KFV84" s="1185"/>
      <c r="KFW84" s="1185"/>
      <c r="KFX84" s="1185"/>
      <c r="KFY84" s="1185"/>
      <c r="KFZ84" s="1185"/>
      <c r="KGA84" s="1185"/>
      <c r="KGB84" s="1185"/>
      <c r="KGC84" s="1185"/>
      <c r="KGD84" s="1185"/>
      <c r="KGE84" s="1185"/>
      <c r="KGF84" s="1185"/>
      <c r="KGG84" s="1185"/>
      <c r="KGH84" s="1185"/>
      <c r="KGI84" s="1185"/>
      <c r="KGJ84" s="1185"/>
      <c r="KGK84" s="1185"/>
      <c r="KGL84" s="1185"/>
      <c r="KGM84" s="1185"/>
      <c r="KGN84" s="1185"/>
      <c r="KGO84" s="1185"/>
      <c r="KGP84" s="1185"/>
      <c r="KGQ84" s="1185"/>
      <c r="KGR84" s="1185"/>
      <c r="KGS84" s="1185"/>
      <c r="KGT84" s="1185"/>
      <c r="KGU84" s="1185"/>
      <c r="KGV84" s="1185"/>
      <c r="KGW84" s="1185"/>
      <c r="KGX84" s="1185"/>
      <c r="KGY84" s="1185"/>
      <c r="KGZ84" s="1185"/>
      <c r="KHA84" s="1185"/>
      <c r="KHB84" s="1185"/>
      <c r="KHC84" s="1185"/>
      <c r="KHD84" s="1185"/>
      <c r="KHE84" s="1185"/>
      <c r="KHF84" s="1185"/>
      <c r="KHG84" s="1185"/>
      <c r="KHH84" s="1185"/>
      <c r="KHI84" s="1185"/>
      <c r="KHJ84" s="1185"/>
      <c r="KHK84" s="1185"/>
      <c r="KHL84" s="1185"/>
      <c r="KHM84" s="1185"/>
      <c r="KHN84" s="1185"/>
      <c r="KHO84" s="1185"/>
      <c r="KHP84" s="1185"/>
      <c r="KHQ84" s="1185"/>
      <c r="KHR84" s="1185"/>
      <c r="KHS84" s="1185"/>
      <c r="KHT84" s="1185"/>
      <c r="KHU84" s="1185"/>
      <c r="KHV84" s="1185"/>
      <c r="KHW84" s="1185"/>
      <c r="KHX84" s="1185"/>
      <c r="KHY84" s="1185"/>
      <c r="KHZ84" s="1185"/>
      <c r="KIA84" s="1185"/>
      <c r="KIB84" s="1185"/>
      <c r="KIC84" s="1185"/>
      <c r="KID84" s="1185"/>
      <c r="KIE84" s="1185"/>
      <c r="KIF84" s="1185"/>
      <c r="KIG84" s="1185"/>
      <c r="KIH84" s="1185"/>
      <c r="KII84" s="1185"/>
      <c r="KIJ84" s="1185"/>
      <c r="KIK84" s="1185"/>
      <c r="KIL84" s="1185"/>
      <c r="KIM84" s="1185"/>
      <c r="KIN84" s="1185"/>
      <c r="KIO84" s="1185"/>
      <c r="KIP84" s="1185"/>
      <c r="KIQ84" s="1185"/>
      <c r="KIR84" s="1185"/>
      <c r="KIS84" s="1185"/>
      <c r="KIT84" s="1185"/>
      <c r="KIU84" s="1185"/>
      <c r="KIV84" s="1185"/>
      <c r="KIW84" s="1185"/>
      <c r="KIX84" s="1185"/>
      <c r="KIY84" s="1185"/>
      <c r="KIZ84" s="1185"/>
      <c r="KJA84" s="1185"/>
      <c r="KJB84" s="1185"/>
      <c r="KJC84" s="1185"/>
      <c r="KJD84" s="1185"/>
      <c r="KJE84" s="1185"/>
      <c r="KJF84" s="1185"/>
      <c r="KJG84" s="1185"/>
      <c r="KJH84" s="1185"/>
      <c r="KJI84" s="1185"/>
      <c r="KJJ84" s="1185"/>
      <c r="KJK84" s="1185"/>
      <c r="KJL84" s="1185"/>
      <c r="KJM84" s="1185"/>
      <c r="KJN84" s="1185"/>
      <c r="KJO84" s="1185"/>
      <c r="KJP84" s="1185"/>
      <c r="KJQ84" s="1185"/>
      <c r="KJR84" s="1185"/>
      <c r="KJS84" s="1185"/>
      <c r="KJT84" s="1185"/>
      <c r="KJU84" s="1185"/>
      <c r="KJV84" s="1185"/>
      <c r="KJW84" s="1185"/>
      <c r="KJX84" s="1185"/>
      <c r="KJY84" s="1185"/>
      <c r="KJZ84" s="1185"/>
      <c r="KKA84" s="1185"/>
      <c r="KKB84" s="1185"/>
      <c r="KKC84" s="1185"/>
      <c r="KKD84" s="1185"/>
      <c r="KKE84" s="1185"/>
      <c r="KKF84" s="1185"/>
      <c r="KKG84" s="1185"/>
      <c r="KKH84" s="1185"/>
      <c r="KKI84" s="1185"/>
      <c r="KKJ84" s="1185"/>
      <c r="KKK84" s="1185"/>
      <c r="KKL84" s="1185"/>
      <c r="KKM84" s="1185"/>
      <c r="KKN84" s="1185"/>
      <c r="KKO84" s="1185"/>
      <c r="KKP84" s="1185"/>
      <c r="KKQ84" s="1185"/>
      <c r="KKR84" s="1185"/>
      <c r="KKS84" s="1185"/>
      <c r="KKT84" s="1185"/>
      <c r="KKU84" s="1185"/>
      <c r="KKV84" s="1185"/>
      <c r="KKW84" s="1185"/>
      <c r="KKX84" s="1185"/>
      <c r="KKY84" s="1185"/>
      <c r="KKZ84" s="1185"/>
      <c r="KLA84" s="1185"/>
      <c r="KLB84" s="1185"/>
      <c r="KLC84" s="1185"/>
      <c r="KLD84" s="1185"/>
      <c r="KLE84" s="1185"/>
      <c r="KLF84" s="1185"/>
      <c r="KLG84" s="1185"/>
      <c r="KLH84" s="1185"/>
      <c r="KLI84" s="1185"/>
      <c r="KLJ84" s="1185"/>
      <c r="KLK84" s="1185"/>
      <c r="KLL84" s="1185"/>
      <c r="KLM84" s="1185"/>
      <c r="KLN84" s="1185"/>
      <c r="KLO84" s="1185"/>
      <c r="KLP84" s="1185"/>
      <c r="KLQ84" s="1185"/>
      <c r="KLR84" s="1185"/>
      <c r="KLS84" s="1185"/>
      <c r="KLT84" s="1185"/>
      <c r="KLU84" s="1185"/>
      <c r="KLV84" s="1185"/>
      <c r="KLW84" s="1185"/>
      <c r="KLX84" s="1185"/>
      <c r="KLY84" s="1185"/>
      <c r="KLZ84" s="1185"/>
      <c r="KMA84" s="1185"/>
      <c r="KMB84" s="1185"/>
      <c r="KMC84" s="1185"/>
      <c r="KMD84" s="1185"/>
      <c r="KME84" s="1185"/>
      <c r="KMF84" s="1185"/>
      <c r="KMG84" s="1185"/>
      <c r="KMH84" s="1185"/>
      <c r="KMI84" s="1185"/>
      <c r="KMJ84" s="1185"/>
      <c r="KMK84" s="1185"/>
      <c r="KML84" s="1185"/>
      <c r="KMM84" s="1185"/>
      <c r="KMN84" s="1185"/>
      <c r="KMO84" s="1185"/>
      <c r="KMP84" s="1185"/>
      <c r="KMQ84" s="1185"/>
      <c r="KMR84" s="1185"/>
      <c r="KMS84" s="1185"/>
      <c r="KMT84" s="1185"/>
      <c r="KMU84" s="1185"/>
      <c r="KMV84" s="1185"/>
      <c r="KMW84" s="1185"/>
      <c r="KMX84" s="1185"/>
      <c r="KMY84" s="1185"/>
      <c r="KMZ84" s="1185"/>
      <c r="KNA84" s="1185"/>
      <c r="KNB84" s="1185"/>
      <c r="KNC84" s="1185"/>
      <c r="KND84" s="1185"/>
      <c r="KNE84" s="1185"/>
      <c r="KNF84" s="1185"/>
      <c r="KNG84" s="1185"/>
      <c r="KNH84" s="1185"/>
      <c r="KNI84" s="1185"/>
      <c r="KNJ84" s="1185"/>
      <c r="KNK84" s="1185"/>
      <c r="KNL84" s="1185"/>
      <c r="KNM84" s="1185"/>
      <c r="KNN84" s="1185"/>
      <c r="KNO84" s="1185"/>
      <c r="KNP84" s="1185"/>
      <c r="KNQ84" s="1185"/>
      <c r="KNR84" s="1185"/>
      <c r="KNS84" s="1185"/>
      <c r="KNT84" s="1185"/>
      <c r="KNU84" s="1185"/>
      <c r="KNV84" s="1185"/>
      <c r="KNW84" s="1185"/>
      <c r="KNX84" s="1185"/>
      <c r="KNY84" s="1185"/>
      <c r="KNZ84" s="1185"/>
      <c r="KOA84" s="1185"/>
      <c r="KOB84" s="1185"/>
      <c r="KOC84" s="1185"/>
      <c r="KOD84" s="1185"/>
      <c r="KOE84" s="1185"/>
      <c r="KOF84" s="1185"/>
      <c r="KOG84" s="1185"/>
      <c r="KOH84" s="1185"/>
      <c r="KOI84" s="1185"/>
      <c r="KOJ84" s="1185"/>
      <c r="KOK84" s="1185"/>
      <c r="KOL84" s="1185"/>
      <c r="KOM84" s="1185"/>
      <c r="KON84" s="1185"/>
      <c r="KOO84" s="1185"/>
      <c r="KOP84" s="1185"/>
      <c r="KOQ84" s="1185"/>
      <c r="KOR84" s="1185"/>
      <c r="KOS84" s="1185"/>
      <c r="KOT84" s="1185"/>
      <c r="KOU84" s="1185"/>
      <c r="KOV84" s="1185"/>
      <c r="KOW84" s="1185"/>
      <c r="KOX84" s="1185"/>
      <c r="KOY84" s="1185"/>
      <c r="KOZ84" s="1185"/>
      <c r="KPA84" s="1185"/>
      <c r="KPB84" s="1185"/>
      <c r="KPC84" s="1185"/>
      <c r="KPD84" s="1185"/>
      <c r="KPE84" s="1185"/>
      <c r="KPF84" s="1185"/>
      <c r="KPG84" s="1185"/>
      <c r="KPH84" s="1185"/>
      <c r="KPI84" s="1185"/>
      <c r="KPJ84" s="1185"/>
      <c r="KPK84" s="1185"/>
      <c r="KPL84" s="1185"/>
      <c r="KPM84" s="1185"/>
      <c r="KPN84" s="1185"/>
      <c r="KPO84" s="1185"/>
      <c r="KPP84" s="1185"/>
      <c r="KPQ84" s="1185"/>
      <c r="KPR84" s="1185"/>
      <c r="KPS84" s="1185"/>
      <c r="KPT84" s="1185"/>
      <c r="KPU84" s="1185"/>
      <c r="KPV84" s="1185"/>
      <c r="KPW84" s="1185"/>
      <c r="KPX84" s="1185"/>
      <c r="KPY84" s="1185"/>
      <c r="KPZ84" s="1185"/>
      <c r="KQA84" s="1185"/>
      <c r="KQB84" s="1185"/>
      <c r="KQC84" s="1185"/>
      <c r="KQD84" s="1185"/>
      <c r="KQE84" s="1185"/>
      <c r="KQF84" s="1185"/>
      <c r="KQG84" s="1185"/>
      <c r="KQH84" s="1185"/>
      <c r="KQI84" s="1185"/>
      <c r="KQJ84" s="1185"/>
      <c r="KQK84" s="1185"/>
      <c r="KQL84" s="1185"/>
      <c r="KQM84" s="1185"/>
      <c r="KQN84" s="1185"/>
      <c r="KQO84" s="1185"/>
      <c r="KQP84" s="1185"/>
      <c r="KQQ84" s="1185"/>
      <c r="KQR84" s="1185"/>
      <c r="KQS84" s="1185"/>
      <c r="KQT84" s="1185"/>
      <c r="KQU84" s="1185"/>
      <c r="KQV84" s="1185"/>
      <c r="KQW84" s="1185"/>
      <c r="KQX84" s="1185"/>
      <c r="KQY84" s="1185"/>
      <c r="KQZ84" s="1185"/>
      <c r="KRA84" s="1185"/>
      <c r="KRB84" s="1185"/>
      <c r="KRC84" s="1185"/>
      <c r="KRD84" s="1185"/>
      <c r="KRE84" s="1185"/>
      <c r="KRF84" s="1185"/>
      <c r="KRG84" s="1185"/>
      <c r="KRH84" s="1185"/>
      <c r="KRI84" s="1185"/>
      <c r="KRJ84" s="1185"/>
      <c r="KRK84" s="1185"/>
      <c r="KRL84" s="1185"/>
      <c r="KRM84" s="1185"/>
      <c r="KRN84" s="1185"/>
      <c r="KRO84" s="1185"/>
      <c r="KRP84" s="1185"/>
      <c r="KRQ84" s="1185"/>
      <c r="KRR84" s="1185"/>
      <c r="KRS84" s="1185"/>
      <c r="KRT84" s="1185"/>
      <c r="KRU84" s="1185"/>
      <c r="KRV84" s="1185"/>
      <c r="KRW84" s="1185"/>
      <c r="KRX84" s="1185"/>
      <c r="KRY84" s="1185"/>
      <c r="KRZ84" s="1185"/>
      <c r="KSA84" s="1185"/>
      <c r="KSB84" s="1185"/>
      <c r="KSC84" s="1185"/>
      <c r="KSD84" s="1185"/>
      <c r="KSE84" s="1185"/>
      <c r="KSF84" s="1185"/>
      <c r="KSG84" s="1185"/>
      <c r="KSH84" s="1185"/>
      <c r="KSI84" s="1185"/>
      <c r="KSJ84" s="1185"/>
      <c r="KSK84" s="1185"/>
      <c r="KSL84" s="1185"/>
      <c r="KSM84" s="1185"/>
      <c r="KSN84" s="1185"/>
      <c r="KSO84" s="1185"/>
      <c r="KSP84" s="1185"/>
      <c r="KSQ84" s="1185"/>
      <c r="KSR84" s="1185"/>
      <c r="KSS84" s="1185"/>
      <c r="KST84" s="1185"/>
      <c r="KSU84" s="1185"/>
      <c r="KSV84" s="1185"/>
      <c r="KSW84" s="1185"/>
      <c r="KSX84" s="1185"/>
      <c r="KSY84" s="1185"/>
      <c r="KSZ84" s="1185"/>
      <c r="KTA84" s="1185"/>
      <c r="KTB84" s="1185"/>
      <c r="KTC84" s="1185"/>
      <c r="KTD84" s="1185"/>
      <c r="KTE84" s="1185"/>
      <c r="KTF84" s="1185"/>
      <c r="KTG84" s="1185"/>
      <c r="KTH84" s="1185"/>
      <c r="KTI84" s="1185"/>
      <c r="KTJ84" s="1185"/>
      <c r="KTK84" s="1185"/>
      <c r="KTL84" s="1185"/>
      <c r="KTM84" s="1185"/>
      <c r="KTN84" s="1185"/>
      <c r="KTO84" s="1185"/>
      <c r="KTP84" s="1185"/>
      <c r="KTQ84" s="1185"/>
      <c r="KTR84" s="1185"/>
      <c r="KTS84" s="1185"/>
      <c r="KTT84" s="1185"/>
      <c r="KTU84" s="1185"/>
      <c r="KTV84" s="1185"/>
      <c r="KTW84" s="1185"/>
      <c r="KTX84" s="1185"/>
      <c r="KTY84" s="1185"/>
      <c r="KTZ84" s="1185"/>
      <c r="KUA84" s="1185"/>
      <c r="KUB84" s="1185"/>
      <c r="KUC84" s="1185"/>
      <c r="KUD84" s="1185"/>
      <c r="KUE84" s="1185"/>
      <c r="KUF84" s="1185"/>
      <c r="KUG84" s="1185"/>
      <c r="KUH84" s="1185"/>
      <c r="KUI84" s="1185"/>
      <c r="KUJ84" s="1185"/>
      <c r="KUK84" s="1185"/>
      <c r="KUL84" s="1185"/>
      <c r="KUM84" s="1185"/>
      <c r="KUN84" s="1185"/>
      <c r="KUO84" s="1185"/>
      <c r="KUP84" s="1185"/>
      <c r="KUQ84" s="1185"/>
      <c r="KUR84" s="1185"/>
      <c r="KUS84" s="1185"/>
      <c r="KUT84" s="1185"/>
      <c r="KUU84" s="1185"/>
      <c r="KUV84" s="1185"/>
      <c r="KUW84" s="1185"/>
      <c r="KUX84" s="1185"/>
      <c r="KUY84" s="1185"/>
      <c r="KUZ84" s="1185"/>
      <c r="KVA84" s="1185"/>
      <c r="KVB84" s="1185"/>
      <c r="KVC84" s="1185"/>
      <c r="KVD84" s="1185"/>
      <c r="KVE84" s="1185"/>
      <c r="KVF84" s="1185"/>
      <c r="KVG84" s="1185"/>
      <c r="KVH84" s="1185"/>
      <c r="KVI84" s="1185"/>
      <c r="KVJ84" s="1185"/>
      <c r="KVK84" s="1185"/>
      <c r="KVL84" s="1185"/>
      <c r="KVM84" s="1185"/>
      <c r="KVN84" s="1185"/>
      <c r="KVO84" s="1185"/>
      <c r="KVP84" s="1185"/>
      <c r="KVQ84" s="1185"/>
      <c r="KVR84" s="1185"/>
      <c r="KVS84" s="1185"/>
      <c r="KVT84" s="1185"/>
      <c r="KVU84" s="1185"/>
      <c r="KVV84" s="1185"/>
      <c r="KVW84" s="1185"/>
      <c r="KVX84" s="1185"/>
      <c r="KVY84" s="1185"/>
      <c r="KVZ84" s="1185"/>
      <c r="KWA84" s="1185"/>
      <c r="KWB84" s="1185"/>
      <c r="KWC84" s="1185"/>
      <c r="KWD84" s="1185"/>
      <c r="KWE84" s="1185"/>
      <c r="KWF84" s="1185"/>
      <c r="KWG84" s="1185"/>
      <c r="KWH84" s="1185"/>
      <c r="KWI84" s="1185"/>
      <c r="KWJ84" s="1185"/>
      <c r="KWK84" s="1185"/>
      <c r="KWL84" s="1185"/>
      <c r="KWM84" s="1185"/>
      <c r="KWN84" s="1185"/>
      <c r="KWO84" s="1185"/>
      <c r="KWP84" s="1185"/>
      <c r="KWQ84" s="1185"/>
      <c r="KWR84" s="1185"/>
      <c r="KWS84" s="1185"/>
      <c r="KWT84" s="1185"/>
      <c r="KWU84" s="1185"/>
      <c r="KWV84" s="1185"/>
      <c r="KWW84" s="1185"/>
      <c r="KWX84" s="1185"/>
      <c r="KWY84" s="1185"/>
      <c r="KWZ84" s="1185"/>
      <c r="KXA84" s="1185"/>
      <c r="KXB84" s="1185"/>
      <c r="KXC84" s="1185"/>
      <c r="KXD84" s="1185"/>
      <c r="KXE84" s="1185"/>
      <c r="KXF84" s="1185"/>
      <c r="KXG84" s="1185"/>
      <c r="KXH84" s="1185"/>
      <c r="KXI84" s="1185"/>
      <c r="KXJ84" s="1185"/>
      <c r="KXK84" s="1185"/>
      <c r="KXL84" s="1185"/>
      <c r="KXM84" s="1185"/>
      <c r="KXN84" s="1185"/>
      <c r="KXO84" s="1185"/>
      <c r="KXP84" s="1185"/>
      <c r="KXQ84" s="1185"/>
      <c r="KXR84" s="1185"/>
      <c r="KXS84" s="1185"/>
      <c r="KXT84" s="1185"/>
      <c r="KXU84" s="1185"/>
      <c r="KXV84" s="1185"/>
      <c r="KXW84" s="1185"/>
      <c r="KXX84" s="1185"/>
      <c r="KXY84" s="1185"/>
      <c r="KXZ84" s="1185"/>
      <c r="KYA84" s="1185"/>
      <c r="KYB84" s="1185"/>
      <c r="KYC84" s="1185"/>
      <c r="KYD84" s="1185"/>
      <c r="KYE84" s="1185"/>
      <c r="KYF84" s="1185"/>
      <c r="KYG84" s="1185"/>
      <c r="KYH84" s="1185"/>
      <c r="KYI84" s="1185"/>
      <c r="KYJ84" s="1185"/>
      <c r="KYK84" s="1185"/>
      <c r="KYL84" s="1185"/>
      <c r="KYM84" s="1185"/>
      <c r="KYN84" s="1185"/>
      <c r="KYO84" s="1185"/>
      <c r="KYP84" s="1185"/>
      <c r="KYQ84" s="1185"/>
      <c r="KYR84" s="1185"/>
      <c r="KYS84" s="1185"/>
      <c r="KYT84" s="1185"/>
      <c r="KYU84" s="1185"/>
      <c r="KYV84" s="1185"/>
      <c r="KYW84" s="1185"/>
      <c r="KYX84" s="1185"/>
      <c r="KYY84" s="1185"/>
      <c r="KYZ84" s="1185"/>
      <c r="KZA84" s="1185"/>
      <c r="KZB84" s="1185"/>
      <c r="KZC84" s="1185"/>
      <c r="KZD84" s="1185"/>
      <c r="KZE84" s="1185"/>
      <c r="KZF84" s="1185"/>
      <c r="KZG84" s="1185"/>
      <c r="KZH84" s="1185"/>
      <c r="KZI84" s="1185"/>
      <c r="KZJ84" s="1185"/>
      <c r="KZK84" s="1185"/>
      <c r="KZL84" s="1185"/>
      <c r="KZM84" s="1185"/>
      <c r="KZN84" s="1185"/>
      <c r="KZO84" s="1185"/>
      <c r="KZP84" s="1185"/>
      <c r="KZQ84" s="1185"/>
      <c r="KZR84" s="1185"/>
      <c r="KZS84" s="1185"/>
      <c r="KZT84" s="1185"/>
      <c r="KZU84" s="1185"/>
      <c r="KZV84" s="1185"/>
      <c r="KZW84" s="1185"/>
      <c r="KZX84" s="1185"/>
      <c r="KZY84" s="1185"/>
      <c r="KZZ84" s="1185"/>
      <c r="LAA84" s="1185"/>
      <c r="LAB84" s="1185"/>
      <c r="LAC84" s="1185"/>
      <c r="LAD84" s="1185"/>
      <c r="LAE84" s="1185"/>
      <c r="LAF84" s="1185"/>
      <c r="LAG84" s="1185"/>
      <c r="LAH84" s="1185"/>
      <c r="LAI84" s="1185"/>
      <c r="LAJ84" s="1185"/>
      <c r="LAK84" s="1185"/>
      <c r="LAL84" s="1185"/>
      <c r="LAM84" s="1185"/>
      <c r="LAN84" s="1185"/>
      <c r="LAO84" s="1185"/>
      <c r="LAP84" s="1185"/>
      <c r="LAQ84" s="1185"/>
      <c r="LAR84" s="1185"/>
      <c r="LAS84" s="1185"/>
      <c r="LAT84" s="1185"/>
      <c r="LAU84" s="1185"/>
      <c r="LAV84" s="1185"/>
      <c r="LAW84" s="1185"/>
      <c r="LAX84" s="1185"/>
      <c r="LAY84" s="1185"/>
      <c r="LAZ84" s="1185"/>
      <c r="LBA84" s="1185"/>
      <c r="LBB84" s="1185"/>
      <c r="LBC84" s="1185"/>
      <c r="LBD84" s="1185"/>
      <c r="LBE84" s="1185"/>
      <c r="LBF84" s="1185"/>
      <c r="LBG84" s="1185"/>
      <c r="LBH84" s="1185"/>
      <c r="LBI84" s="1185"/>
      <c r="LBJ84" s="1185"/>
      <c r="LBK84" s="1185"/>
      <c r="LBL84" s="1185"/>
      <c r="LBM84" s="1185"/>
      <c r="LBN84" s="1185"/>
      <c r="LBO84" s="1185"/>
      <c r="LBP84" s="1185"/>
      <c r="LBQ84" s="1185"/>
      <c r="LBR84" s="1185"/>
      <c r="LBS84" s="1185"/>
      <c r="LBT84" s="1185"/>
      <c r="LBU84" s="1185"/>
      <c r="LBV84" s="1185"/>
      <c r="LBW84" s="1185"/>
      <c r="LBX84" s="1185"/>
      <c r="LBY84" s="1185"/>
      <c r="LBZ84" s="1185"/>
      <c r="LCA84" s="1185"/>
      <c r="LCB84" s="1185"/>
      <c r="LCC84" s="1185"/>
      <c r="LCD84" s="1185"/>
      <c r="LCE84" s="1185"/>
      <c r="LCF84" s="1185"/>
      <c r="LCG84" s="1185"/>
      <c r="LCH84" s="1185"/>
      <c r="LCI84" s="1185"/>
      <c r="LCJ84" s="1185"/>
      <c r="LCK84" s="1185"/>
      <c r="LCL84" s="1185"/>
      <c r="LCM84" s="1185"/>
      <c r="LCN84" s="1185"/>
      <c r="LCO84" s="1185"/>
      <c r="LCP84" s="1185"/>
      <c r="LCQ84" s="1185"/>
      <c r="LCR84" s="1185"/>
      <c r="LCS84" s="1185"/>
      <c r="LCT84" s="1185"/>
      <c r="LCU84" s="1185"/>
      <c r="LCV84" s="1185"/>
      <c r="LCW84" s="1185"/>
      <c r="LCX84" s="1185"/>
      <c r="LCY84" s="1185"/>
      <c r="LCZ84" s="1185"/>
      <c r="LDA84" s="1185"/>
      <c r="LDB84" s="1185"/>
      <c r="LDC84" s="1185"/>
      <c r="LDD84" s="1185"/>
      <c r="LDE84" s="1185"/>
      <c r="LDF84" s="1185"/>
      <c r="LDG84" s="1185"/>
      <c r="LDH84" s="1185"/>
      <c r="LDI84" s="1185"/>
      <c r="LDJ84" s="1185"/>
      <c r="LDK84" s="1185"/>
      <c r="LDL84" s="1185"/>
      <c r="LDM84" s="1185"/>
      <c r="LDN84" s="1185"/>
      <c r="LDO84" s="1185"/>
      <c r="LDP84" s="1185"/>
      <c r="LDQ84" s="1185"/>
      <c r="LDR84" s="1185"/>
      <c r="LDS84" s="1185"/>
      <c r="LDT84" s="1185"/>
      <c r="LDU84" s="1185"/>
      <c r="LDV84" s="1185"/>
      <c r="LDW84" s="1185"/>
      <c r="LDX84" s="1185"/>
      <c r="LDY84" s="1185"/>
      <c r="LDZ84" s="1185"/>
      <c r="LEA84" s="1185"/>
      <c r="LEB84" s="1185"/>
      <c r="LEC84" s="1185"/>
      <c r="LED84" s="1185"/>
      <c r="LEE84" s="1185"/>
      <c r="LEF84" s="1185"/>
      <c r="LEG84" s="1185"/>
      <c r="LEH84" s="1185"/>
      <c r="LEI84" s="1185"/>
      <c r="LEJ84" s="1185"/>
      <c r="LEK84" s="1185"/>
      <c r="LEL84" s="1185"/>
      <c r="LEM84" s="1185"/>
      <c r="LEN84" s="1185"/>
      <c r="LEO84" s="1185"/>
      <c r="LEP84" s="1185"/>
      <c r="LEQ84" s="1185"/>
      <c r="LER84" s="1185"/>
      <c r="LES84" s="1185"/>
      <c r="LET84" s="1185"/>
      <c r="LEU84" s="1185"/>
      <c r="LEV84" s="1185"/>
      <c r="LEW84" s="1185"/>
      <c r="LEX84" s="1185"/>
      <c r="LEY84" s="1185"/>
      <c r="LEZ84" s="1185"/>
      <c r="LFA84" s="1185"/>
      <c r="LFB84" s="1185"/>
      <c r="LFC84" s="1185"/>
      <c r="LFD84" s="1185"/>
      <c r="LFE84" s="1185"/>
      <c r="LFF84" s="1185"/>
      <c r="LFG84" s="1185"/>
      <c r="LFH84" s="1185"/>
      <c r="LFI84" s="1185"/>
      <c r="LFJ84" s="1185"/>
      <c r="LFK84" s="1185"/>
      <c r="LFL84" s="1185"/>
      <c r="LFM84" s="1185"/>
      <c r="LFN84" s="1185"/>
      <c r="LFO84" s="1185"/>
      <c r="LFP84" s="1185"/>
      <c r="LFQ84" s="1185"/>
      <c r="LFR84" s="1185"/>
      <c r="LFS84" s="1185"/>
      <c r="LFT84" s="1185"/>
      <c r="LFU84" s="1185"/>
      <c r="LFV84" s="1185"/>
      <c r="LFW84" s="1185"/>
      <c r="LFX84" s="1185"/>
      <c r="LFY84" s="1185"/>
      <c r="LFZ84" s="1185"/>
      <c r="LGA84" s="1185"/>
      <c r="LGB84" s="1185"/>
      <c r="LGC84" s="1185"/>
      <c r="LGD84" s="1185"/>
      <c r="LGE84" s="1185"/>
      <c r="LGF84" s="1185"/>
      <c r="LGG84" s="1185"/>
      <c r="LGH84" s="1185"/>
      <c r="LGI84" s="1185"/>
      <c r="LGJ84" s="1185"/>
      <c r="LGK84" s="1185"/>
      <c r="LGL84" s="1185"/>
      <c r="LGM84" s="1185"/>
      <c r="LGN84" s="1185"/>
      <c r="LGO84" s="1185"/>
      <c r="LGP84" s="1185"/>
      <c r="LGQ84" s="1185"/>
      <c r="LGR84" s="1185"/>
      <c r="LGS84" s="1185"/>
      <c r="LGT84" s="1185"/>
      <c r="LGU84" s="1185"/>
      <c r="LGV84" s="1185"/>
      <c r="LGW84" s="1185"/>
      <c r="LGX84" s="1185"/>
      <c r="LGY84" s="1185"/>
      <c r="LGZ84" s="1185"/>
      <c r="LHA84" s="1185"/>
      <c r="LHB84" s="1185"/>
      <c r="LHC84" s="1185"/>
      <c r="LHD84" s="1185"/>
      <c r="LHE84" s="1185"/>
      <c r="LHF84" s="1185"/>
      <c r="LHG84" s="1185"/>
      <c r="LHH84" s="1185"/>
      <c r="LHI84" s="1185"/>
      <c r="LHJ84" s="1185"/>
      <c r="LHK84" s="1185"/>
      <c r="LHL84" s="1185"/>
      <c r="LHM84" s="1185"/>
      <c r="LHN84" s="1185"/>
      <c r="LHO84" s="1185"/>
      <c r="LHP84" s="1185"/>
      <c r="LHQ84" s="1185"/>
      <c r="LHR84" s="1185"/>
      <c r="LHS84" s="1185"/>
      <c r="LHT84" s="1185"/>
      <c r="LHU84" s="1185"/>
      <c r="LHV84" s="1185"/>
      <c r="LHW84" s="1185"/>
      <c r="LHX84" s="1185"/>
      <c r="LHY84" s="1185"/>
      <c r="LHZ84" s="1185"/>
      <c r="LIA84" s="1185"/>
      <c r="LIB84" s="1185"/>
      <c r="LIC84" s="1185"/>
      <c r="LID84" s="1185"/>
      <c r="LIE84" s="1185"/>
      <c r="LIF84" s="1185"/>
      <c r="LIG84" s="1185"/>
      <c r="LIH84" s="1185"/>
      <c r="LII84" s="1185"/>
      <c r="LIJ84" s="1185"/>
      <c r="LIK84" s="1185"/>
      <c r="LIL84" s="1185"/>
      <c r="LIM84" s="1185"/>
      <c r="LIN84" s="1185"/>
      <c r="LIO84" s="1185"/>
      <c r="LIP84" s="1185"/>
      <c r="LIQ84" s="1185"/>
      <c r="LIR84" s="1185"/>
      <c r="LIS84" s="1185"/>
      <c r="LIT84" s="1185"/>
      <c r="LIU84" s="1185"/>
      <c r="LIV84" s="1185"/>
      <c r="LIW84" s="1185"/>
      <c r="LIX84" s="1185"/>
      <c r="LIY84" s="1185"/>
      <c r="LIZ84" s="1185"/>
      <c r="LJA84" s="1185"/>
      <c r="LJB84" s="1185"/>
      <c r="LJC84" s="1185"/>
      <c r="LJD84" s="1185"/>
      <c r="LJE84" s="1185"/>
      <c r="LJF84" s="1185"/>
      <c r="LJG84" s="1185"/>
      <c r="LJH84" s="1185"/>
      <c r="LJI84" s="1185"/>
      <c r="LJJ84" s="1185"/>
      <c r="LJK84" s="1185"/>
      <c r="LJL84" s="1185"/>
      <c r="LJM84" s="1185"/>
      <c r="LJN84" s="1185"/>
      <c r="LJO84" s="1185"/>
      <c r="LJP84" s="1185"/>
      <c r="LJQ84" s="1185"/>
      <c r="LJR84" s="1185"/>
      <c r="LJS84" s="1185"/>
      <c r="LJT84" s="1185"/>
      <c r="LJU84" s="1185"/>
      <c r="LJV84" s="1185"/>
      <c r="LJW84" s="1185"/>
      <c r="LJX84" s="1185"/>
      <c r="LJY84" s="1185"/>
      <c r="LJZ84" s="1185"/>
      <c r="LKA84" s="1185"/>
      <c r="LKB84" s="1185"/>
      <c r="LKC84" s="1185"/>
      <c r="LKD84" s="1185"/>
      <c r="LKE84" s="1185"/>
      <c r="LKF84" s="1185"/>
      <c r="LKG84" s="1185"/>
      <c r="LKH84" s="1185"/>
      <c r="LKI84" s="1185"/>
      <c r="LKJ84" s="1185"/>
      <c r="LKK84" s="1185"/>
      <c r="LKL84" s="1185"/>
      <c r="LKM84" s="1185"/>
      <c r="LKN84" s="1185"/>
      <c r="LKO84" s="1185"/>
      <c r="LKP84" s="1185"/>
      <c r="LKQ84" s="1185"/>
      <c r="LKR84" s="1185"/>
      <c r="LKS84" s="1185"/>
      <c r="LKT84" s="1185"/>
      <c r="LKU84" s="1185"/>
      <c r="LKV84" s="1185"/>
      <c r="LKW84" s="1185"/>
      <c r="LKX84" s="1185"/>
      <c r="LKY84" s="1185"/>
      <c r="LKZ84" s="1185"/>
      <c r="LLA84" s="1185"/>
      <c r="LLB84" s="1185"/>
      <c r="LLC84" s="1185"/>
      <c r="LLD84" s="1185"/>
      <c r="LLE84" s="1185"/>
      <c r="LLF84" s="1185"/>
      <c r="LLG84" s="1185"/>
      <c r="LLH84" s="1185"/>
      <c r="LLI84" s="1185"/>
      <c r="LLJ84" s="1185"/>
      <c r="LLK84" s="1185"/>
      <c r="LLL84" s="1185"/>
      <c r="LLM84" s="1185"/>
      <c r="LLN84" s="1185"/>
      <c r="LLO84" s="1185"/>
      <c r="LLP84" s="1185"/>
      <c r="LLQ84" s="1185"/>
      <c r="LLR84" s="1185"/>
      <c r="LLS84" s="1185"/>
      <c r="LLT84" s="1185"/>
      <c r="LLU84" s="1185"/>
      <c r="LLV84" s="1185"/>
      <c r="LLW84" s="1185"/>
      <c r="LLX84" s="1185"/>
      <c r="LLY84" s="1185"/>
      <c r="LLZ84" s="1185"/>
      <c r="LMA84" s="1185"/>
      <c r="LMB84" s="1185"/>
      <c r="LMC84" s="1185"/>
      <c r="LMD84" s="1185"/>
      <c r="LME84" s="1185"/>
      <c r="LMF84" s="1185"/>
      <c r="LMG84" s="1185"/>
      <c r="LMH84" s="1185"/>
      <c r="LMI84" s="1185"/>
      <c r="LMJ84" s="1185"/>
      <c r="LMK84" s="1185"/>
      <c r="LML84" s="1185"/>
      <c r="LMM84" s="1185"/>
      <c r="LMN84" s="1185"/>
      <c r="LMO84" s="1185"/>
      <c r="LMP84" s="1185"/>
      <c r="LMQ84" s="1185"/>
      <c r="LMR84" s="1185"/>
      <c r="LMS84" s="1185"/>
      <c r="LMT84" s="1185"/>
      <c r="LMU84" s="1185"/>
      <c r="LMV84" s="1185"/>
      <c r="LMW84" s="1185"/>
      <c r="LMX84" s="1185"/>
      <c r="LMY84" s="1185"/>
      <c r="LMZ84" s="1185"/>
      <c r="LNA84" s="1185"/>
      <c r="LNB84" s="1185"/>
      <c r="LNC84" s="1185"/>
      <c r="LND84" s="1185"/>
      <c r="LNE84" s="1185"/>
      <c r="LNF84" s="1185"/>
      <c r="LNG84" s="1185"/>
      <c r="LNH84" s="1185"/>
      <c r="LNI84" s="1185"/>
      <c r="LNJ84" s="1185"/>
      <c r="LNK84" s="1185"/>
      <c r="LNL84" s="1185"/>
      <c r="LNM84" s="1185"/>
      <c r="LNN84" s="1185"/>
      <c r="LNO84" s="1185"/>
      <c r="LNP84" s="1185"/>
      <c r="LNQ84" s="1185"/>
      <c r="LNR84" s="1185"/>
      <c r="LNS84" s="1185"/>
      <c r="LNT84" s="1185"/>
      <c r="LNU84" s="1185"/>
      <c r="LNV84" s="1185"/>
      <c r="LNW84" s="1185"/>
      <c r="LNX84" s="1185"/>
      <c r="LNY84" s="1185"/>
      <c r="LNZ84" s="1185"/>
      <c r="LOA84" s="1185"/>
      <c r="LOB84" s="1185"/>
      <c r="LOC84" s="1185"/>
      <c r="LOD84" s="1185"/>
      <c r="LOE84" s="1185"/>
      <c r="LOF84" s="1185"/>
      <c r="LOG84" s="1185"/>
      <c r="LOH84" s="1185"/>
      <c r="LOI84" s="1185"/>
      <c r="LOJ84" s="1185"/>
      <c r="LOK84" s="1185"/>
      <c r="LOL84" s="1185"/>
      <c r="LOM84" s="1185"/>
      <c r="LON84" s="1185"/>
      <c r="LOO84" s="1185"/>
      <c r="LOP84" s="1185"/>
      <c r="LOQ84" s="1185"/>
      <c r="LOR84" s="1185"/>
      <c r="LOS84" s="1185"/>
      <c r="LOT84" s="1185"/>
      <c r="LOU84" s="1185"/>
      <c r="LOV84" s="1185"/>
      <c r="LOW84" s="1185"/>
      <c r="LOX84" s="1185"/>
      <c r="LOY84" s="1185"/>
      <c r="LOZ84" s="1185"/>
      <c r="LPA84" s="1185"/>
      <c r="LPB84" s="1185"/>
      <c r="LPC84" s="1185"/>
      <c r="LPD84" s="1185"/>
      <c r="LPE84" s="1185"/>
      <c r="LPF84" s="1185"/>
      <c r="LPG84" s="1185"/>
      <c r="LPH84" s="1185"/>
      <c r="LPI84" s="1185"/>
      <c r="LPJ84" s="1185"/>
      <c r="LPK84" s="1185"/>
      <c r="LPL84" s="1185"/>
      <c r="LPM84" s="1185"/>
      <c r="LPN84" s="1185"/>
      <c r="LPO84" s="1185"/>
      <c r="LPP84" s="1185"/>
      <c r="LPQ84" s="1185"/>
      <c r="LPR84" s="1185"/>
      <c r="LPS84" s="1185"/>
      <c r="LPT84" s="1185"/>
      <c r="LPU84" s="1185"/>
      <c r="LPV84" s="1185"/>
      <c r="LPW84" s="1185"/>
      <c r="LPX84" s="1185"/>
      <c r="LPY84" s="1185"/>
      <c r="LPZ84" s="1185"/>
      <c r="LQA84" s="1185"/>
      <c r="LQB84" s="1185"/>
      <c r="LQC84" s="1185"/>
      <c r="LQD84" s="1185"/>
      <c r="LQE84" s="1185"/>
      <c r="LQF84" s="1185"/>
      <c r="LQG84" s="1185"/>
      <c r="LQH84" s="1185"/>
      <c r="LQI84" s="1185"/>
      <c r="LQJ84" s="1185"/>
      <c r="LQK84" s="1185"/>
      <c r="LQL84" s="1185"/>
      <c r="LQM84" s="1185"/>
      <c r="LQN84" s="1185"/>
      <c r="LQO84" s="1185"/>
      <c r="LQP84" s="1185"/>
      <c r="LQQ84" s="1185"/>
      <c r="LQR84" s="1185"/>
      <c r="LQS84" s="1185"/>
      <c r="LQT84" s="1185"/>
      <c r="LQU84" s="1185"/>
      <c r="LQV84" s="1185"/>
      <c r="LQW84" s="1185"/>
      <c r="LQX84" s="1185"/>
      <c r="LQY84" s="1185"/>
      <c r="LQZ84" s="1185"/>
      <c r="LRA84" s="1185"/>
      <c r="LRB84" s="1185"/>
      <c r="LRC84" s="1185"/>
      <c r="LRD84" s="1185"/>
      <c r="LRE84" s="1185"/>
      <c r="LRF84" s="1185"/>
      <c r="LRG84" s="1185"/>
      <c r="LRH84" s="1185"/>
      <c r="LRI84" s="1185"/>
      <c r="LRJ84" s="1185"/>
      <c r="LRK84" s="1185"/>
      <c r="LRL84" s="1185"/>
      <c r="LRM84" s="1185"/>
      <c r="LRN84" s="1185"/>
      <c r="LRO84" s="1185"/>
      <c r="LRP84" s="1185"/>
      <c r="LRQ84" s="1185"/>
      <c r="LRR84" s="1185"/>
      <c r="LRS84" s="1185"/>
      <c r="LRT84" s="1185"/>
      <c r="LRU84" s="1185"/>
      <c r="LRV84" s="1185"/>
      <c r="LRW84" s="1185"/>
      <c r="LRX84" s="1185"/>
      <c r="LRY84" s="1185"/>
      <c r="LRZ84" s="1185"/>
      <c r="LSA84" s="1185"/>
      <c r="LSB84" s="1185"/>
      <c r="LSC84" s="1185"/>
      <c r="LSD84" s="1185"/>
      <c r="LSE84" s="1185"/>
      <c r="LSF84" s="1185"/>
      <c r="LSG84" s="1185"/>
      <c r="LSH84" s="1185"/>
      <c r="LSI84" s="1185"/>
      <c r="LSJ84" s="1185"/>
      <c r="LSK84" s="1185"/>
      <c r="LSL84" s="1185"/>
      <c r="LSM84" s="1185"/>
      <c r="LSN84" s="1185"/>
      <c r="LSO84" s="1185"/>
      <c r="LSP84" s="1185"/>
      <c r="LSQ84" s="1185"/>
      <c r="LSR84" s="1185"/>
      <c r="LSS84" s="1185"/>
      <c r="LST84" s="1185"/>
      <c r="LSU84" s="1185"/>
      <c r="LSV84" s="1185"/>
      <c r="LSW84" s="1185"/>
      <c r="LSX84" s="1185"/>
      <c r="LSY84" s="1185"/>
      <c r="LSZ84" s="1185"/>
      <c r="LTA84" s="1185"/>
      <c r="LTB84" s="1185"/>
      <c r="LTC84" s="1185"/>
      <c r="LTD84" s="1185"/>
      <c r="LTE84" s="1185"/>
      <c r="LTF84" s="1185"/>
      <c r="LTG84" s="1185"/>
      <c r="LTH84" s="1185"/>
      <c r="LTI84" s="1185"/>
      <c r="LTJ84" s="1185"/>
      <c r="LTK84" s="1185"/>
      <c r="LTL84" s="1185"/>
      <c r="LTM84" s="1185"/>
      <c r="LTN84" s="1185"/>
      <c r="LTO84" s="1185"/>
      <c r="LTP84" s="1185"/>
      <c r="LTQ84" s="1185"/>
      <c r="LTR84" s="1185"/>
      <c r="LTS84" s="1185"/>
      <c r="LTT84" s="1185"/>
      <c r="LTU84" s="1185"/>
      <c r="LTV84" s="1185"/>
      <c r="LTW84" s="1185"/>
      <c r="LTX84" s="1185"/>
      <c r="LTY84" s="1185"/>
      <c r="LTZ84" s="1185"/>
      <c r="LUA84" s="1185"/>
      <c r="LUB84" s="1185"/>
      <c r="LUC84" s="1185"/>
      <c r="LUD84" s="1185"/>
      <c r="LUE84" s="1185"/>
      <c r="LUF84" s="1185"/>
      <c r="LUG84" s="1185"/>
      <c r="LUH84" s="1185"/>
      <c r="LUI84" s="1185"/>
      <c r="LUJ84" s="1185"/>
      <c r="LUK84" s="1185"/>
      <c r="LUL84" s="1185"/>
      <c r="LUM84" s="1185"/>
      <c r="LUN84" s="1185"/>
      <c r="LUO84" s="1185"/>
      <c r="LUP84" s="1185"/>
      <c r="LUQ84" s="1185"/>
      <c r="LUR84" s="1185"/>
      <c r="LUS84" s="1185"/>
      <c r="LUT84" s="1185"/>
      <c r="LUU84" s="1185"/>
      <c r="LUV84" s="1185"/>
      <c r="LUW84" s="1185"/>
      <c r="LUX84" s="1185"/>
      <c r="LUY84" s="1185"/>
      <c r="LUZ84" s="1185"/>
      <c r="LVA84" s="1185"/>
      <c r="LVB84" s="1185"/>
      <c r="LVC84" s="1185"/>
      <c r="LVD84" s="1185"/>
      <c r="LVE84" s="1185"/>
      <c r="LVF84" s="1185"/>
      <c r="LVG84" s="1185"/>
      <c r="LVH84" s="1185"/>
      <c r="LVI84" s="1185"/>
      <c r="LVJ84" s="1185"/>
      <c r="LVK84" s="1185"/>
      <c r="LVL84" s="1185"/>
      <c r="LVM84" s="1185"/>
      <c r="LVN84" s="1185"/>
      <c r="LVO84" s="1185"/>
      <c r="LVP84" s="1185"/>
      <c r="LVQ84" s="1185"/>
      <c r="LVR84" s="1185"/>
      <c r="LVS84" s="1185"/>
      <c r="LVT84" s="1185"/>
      <c r="LVU84" s="1185"/>
      <c r="LVV84" s="1185"/>
      <c r="LVW84" s="1185"/>
      <c r="LVX84" s="1185"/>
      <c r="LVY84" s="1185"/>
      <c r="LVZ84" s="1185"/>
      <c r="LWA84" s="1185"/>
      <c r="LWB84" s="1185"/>
      <c r="LWC84" s="1185"/>
      <c r="LWD84" s="1185"/>
      <c r="LWE84" s="1185"/>
      <c r="LWF84" s="1185"/>
      <c r="LWG84" s="1185"/>
      <c r="LWH84" s="1185"/>
      <c r="LWI84" s="1185"/>
      <c r="LWJ84" s="1185"/>
      <c r="LWK84" s="1185"/>
      <c r="LWL84" s="1185"/>
      <c r="LWM84" s="1185"/>
      <c r="LWN84" s="1185"/>
      <c r="LWO84" s="1185"/>
      <c r="LWP84" s="1185"/>
      <c r="LWQ84" s="1185"/>
      <c r="LWR84" s="1185"/>
      <c r="LWS84" s="1185"/>
      <c r="LWT84" s="1185"/>
      <c r="LWU84" s="1185"/>
      <c r="LWV84" s="1185"/>
      <c r="LWW84" s="1185"/>
      <c r="LWX84" s="1185"/>
      <c r="LWY84" s="1185"/>
      <c r="LWZ84" s="1185"/>
      <c r="LXA84" s="1185"/>
      <c r="LXB84" s="1185"/>
      <c r="LXC84" s="1185"/>
      <c r="LXD84" s="1185"/>
      <c r="LXE84" s="1185"/>
      <c r="LXF84" s="1185"/>
      <c r="LXG84" s="1185"/>
      <c r="LXH84" s="1185"/>
      <c r="LXI84" s="1185"/>
      <c r="LXJ84" s="1185"/>
      <c r="LXK84" s="1185"/>
      <c r="LXL84" s="1185"/>
      <c r="LXM84" s="1185"/>
      <c r="LXN84" s="1185"/>
      <c r="LXO84" s="1185"/>
      <c r="LXP84" s="1185"/>
      <c r="LXQ84" s="1185"/>
      <c r="LXR84" s="1185"/>
      <c r="LXS84" s="1185"/>
      <c r="LXT84" s="1185"/>
      <c r="LXU84" s="1185"/>
      <c r="LXV84" s="1185"/>
      <c r="LXW84" s="1185"/>
      <c r="LXX84" s="1185"/>
      <c r="LXY84" s="1185"/>
      <c r="LXZ84" s="1185"/>
      <c r="LYA84" s="1185"/>
      <c r="LYB84" s="1185"/>
      <c r="LYC84" s="1185"/>
      <c r="LYD84" s="1185"/>
      <c r="LYE84" s="1185"/>
      <c r="LYF84" s="1185"/>
      <c r="LYG84" s="1185"/>
      <c r="LYH84" s="1185"/>
      <c r="LYI84" s="1185"/>
      <c r="LYJ84" s="1185"/>
      <c r="LYK84" s="1185"/>
      <c r="LYL84" s="1185"/>
      <c r="LYM84" s="1185"/>
      <c r="LYN84" s="1185"/>
      <c r="LYO84" s="1185"/>
      <c r="LYP84" s="1185"/>
      <c r="LYQ84" s="1185"/>
      <c r="LYR84" s="1185"/>
      <c r="LYS84" s="1185"/>
      <c r="LYT84" s="1185"/>
      <c r="LYU84" s="1185"/>
      <c r="LYV84" s="1185"/>
      <c r="LYW84" s="1185"/>
      <c r="LYX84" s="1185"/>
      <c r="LYY84" s="1185"/>
      <c r="LYZ84" s="1185"/>
      <c r="LZA84" s="1185"/>
      <c r="LZB84" s="1185"/>
      <c r="LZC84" s="1185"/>
      <c r="LZD84" s="1185"/>
      <c r="LZE84" s="1185"/>
      <c r="LZF84" s="1185"/>
      <c r="LZG84" s="1185"/>
      <c r="LZH84" s="1185"/>
      <c r="LZI84" s="1185"/>
      <c r="LZJ84" s="1185"/>
      <c r="LZK84" s="1185"/>
      <c r="LZL84" s="1185"/>
      <c r="LZM84" s="1185"/>
      <c r="LZN84" s="1185"/>
      <c r="LZO84" s="1185"/>
      <c r="LZP84" s="1185"/>
      <c r="LZQ84" s="1185"/>
      <c r="LZR84" s="1185"/>
      <c r="LZS84" s="1185"/>
      <c r="LZT84" s="1185"/>
      <c r="LZU84" s="1185"/>
      <c r="LZV84" s="1185"/>
      <c r="LZW84" s="1185"/>
      <c r="LZX84" s="1185"/>
      <c r="LZY84" s="1185"/>
      <c r="LZZ84" s="1185"/>
      <c r="MAA84" s="1185"/>
      <c r="MAB84" s="1185"/>
      <c r="MAC84" s="1185"/>
      <c r="MAD84" s="1185"/>
      <c r="MAE84" s="1185"/>
      <c r="MAF84" s="1185"/>
      <c r="MAG84" s="1185"/>
      <c r="MAH84" s="1185"/>
      <c r="MAI84" s="1185"/>
      <c r="MAJ84" s="1185"/>
      <c r="MAK84" s="1185"/>
      <c r="MAL84" s="1185"/>
      <c r="MAM84" s="1185"/>
      <c r="MAN84" s="1185"/>
      <c r="MAO84" s="1185"/>
      <c r="MAP84" s="1185"/>
      <c r="MAQ84" s="1185"/>
      <c r="MAR84" s="1185"/>
      <c r="MAS84" s="1185"/>
      <c r="MAT84" s="1185"/>
      <c r="MAU84" s="1185"/>
      <c r="MAV84" s="1185"/>
      <c r="MAW84" s="1185"/>
      <c r="MAX84" s="1185"/>
      <c r="MAY84" s="1185"/>
      <c r="MAZ84" s="1185"/>
      <c r="MBA84" s="1185"/>
      <c r="MBB84" s="1185"/>
      <c r="MBC84" s="1185"/>
      <c r="MBD84" s="1185"/>
      <c r="MBE84" s="1185"/>
      <c r="MBF84" s="1185"/>
      <c r="MBG84" s="1185"/>
      <c r="MBH84" s="1185"/>
      <c r="MBI84" s="1185"/>
      <c r="MBJ84" s="1185"/>
      <c r="MBK84" s="1185"/>
      <c r="MBL84" s="1185"/>
      <c r="MBM84" s="1185"/>
      <c r="MBN84" s="1185"/>
      <c r="MBO84" s="1185"/>
      <c r="MBP84" s="1185"/>
      <c r="MBQ84" s="1185"/>
      <c r="MBR84" s="1185"/>
      <c r="MBS84" s="1185"/>
      <c r="MBT84" s="1185"/>
      <c r="MBU84" s="1185"/>
      <c r="MBV84" s="1185"/>
      <c r="MBW84" s="1185"/>
      <c r="MBX84" s="1185"/>
      <c r="MBY84" s="1185"/>
      <c r="MBZ84" s="1185"/>
      <c r="MCA84" s="1185"/>
      <c r="MCB84" s="1185"/>
      <c r="MCC84" s="1185"/>
      <c r="MCD84" s="1185"/>
      <c r="MCE84" s="1185"/>
      <c r="MCF84" s="1185"/>
      <c r="MCG84" s="1185"/>
      <c r="MCH84" s="1185"/>
      <c r="MCI84" s="1185"/>
      <c r="MCJ84" s="1185"/>
      <c r="MCK84" s="1185"/>
      <c r="MCL84" s="1185"/>
      <c r="MCM84" s="1185"/>
      <c r="MCN84" s="1185"/>
      <c r="MCO84" s="1185"/>
      <c r="MCP84" s="1185"/>
      <c r="MCQ84" s="1185"/>
      <c r="MCR84" s="1185"/>
      <c r="MCS84" s="1185"/>
      <c r="MCT84" s="1185"/>
      <c r="MCU84" s="1185"/>
      <c r="MCV84" s="1185"/>
      <c r="MCW84" s="1185"/>
      <c r="MCX84" s="1185"/>
      <c r="MCY84" s="1185"/>
      <c r="MCZ84" s="1185"/>
      <c r="MDA84" s="1185"/>
      <c r="MDB84" s="1185"/>
      <c r="MDC84" s="1185"/>
      <c r="MDD84" s="1185"/>
      <c r="MDE84" s="1185"/>
      <c r="MDF84" s="1185"/>
      <c r="MDG84" s="1185"/>
      <c r="MDH84" s="1185"/>
      <c r="MDI84" s="1185"/>
      <c r="MDJ84" s="1185"/>
      <c r="MDK84" s="1185"/>
      <c r="MDL84" s="1185"/>
      <c r="MDM84" s="1185"/>
      <c r="MDN84" s="1185"/>
      <c r="MDO84" s="1185"/>
      <c r="MDP84" s="1185"/>
      <c r="MDQ84" s="1185"/>
      <c r="MDR84" s="1185"/>
      <c r="MDS84" s="1185"/>
      <c r="MDT84" s="1185"/>
      <c r="MDU84" s="1185"/>
      <c r="MDV84" s="1185"/>
      <c r="MDW84" s="1185"/>
      <c r="MDX84" s="1185"/>
      <c r="MDY84" s="1185"/>
      <c r="MDZ84" s="1185"/>
      <c r="MEA84" s="1185"/>
      <c r="MEB84" s="1185"/>
      <c r="MEC84" s="1185"/>
      <c r="MED84" s="1185"/>
      <c r="MEE84" s="1185"/>
      <c r="MEF84" s="1185"/>
      <c r="MEG84" s="1185"/>
      <c r="MEH84" s="1185"/>
      <c r="MEI84" s="1185"/>
      <c r="MEJ84" s="1185"/>
      <c r="MEK84" s="1185"/>
      <c r="MEL84" s="1185"/>
      <c r="MEM84" s="1185"/>
      <c r="MEN84" s="1185"/>
      <c r="MEO84" s="1185"/>
      <c r="MEP84" s="1185"/>
      <c r="MEQ84" s="1185"/>
      <c r="MER84" s="1185"/>
      <c r="MES84" s="1185"/>
      <c r="MET84" s="1185"/>
      <c r="MEU84" s="1185"/>
      <c r="MEV84" s="1185"/>
      <c r="MEW84" s="1185"/>
      <c r="MEX84" s="1185"/>
      <c r="MEY84" s="1185"/>
      <c r="MEZ84" s="1185"/>
      <c r="MFA84" s="1185"/>
      <c r="MFB84" s="1185"/>
      <c r="MFC84" s="1185"/>
      <c r="MFD84" s="1185"/>
      <c r="MFE84" s="1185"/>
      <c r="MFF84" s="1185"/>
      <c r="MFG84" s="1185"/>
      <c r="MFH84" s="1185"/>
      <c r="MFI84" s="1185"/>
      <c r="MFJ84" s="1185"/>
      <c r="MFK84" s="1185"/>
      <c r="MFL84" s="1185"/>
      <c r="MFM84" s="1185"/>
      <c r="MFN84" s="1185"/>
      <c r="MFO84" s="1185"/>
      <c r="MFP84" s="1185"/>
      <c r="MFQ84" s="1185"/>
      <c r="MFR84" s="1185"/>
      <c r="MFS84" s="1185"/>
      <c r="MFT84" s="1185"/>
      <c r="MFU84" s="1185"/>
      <c r="MFV84" s="1185"/>
      <c r="MFW84" s="1185"/>
      <c r="MFX84" s="1185"/>
      <c r="MFY84" s="1185"/>
      <c r="MFZ84" s="1185"/>
      <c r="MGA84" s="1185"/>
      <c r="MGB84" s="1185"/>
      <c r="MGC84" s="1185"/>
      <c r="MGD84" s="1185"/>
      <c r="MGE84" s="1185"/>
      <c r="MGF84" s="1185"/>
      <c r="MGG84" s="1185"/>
      <c r="MGH84" s="1185"/>
      <c r="MGI84" s="1185"/>
      <c r="MGJ84" s="1185"/>
      <c r="MGK84" s="1185"/>
      <c r="MGL84" s="1185"/>
      <c r="MGM84" s="1185"/>
      <c r="MGN84" s="1185"/>
      <c r="MGO84" s="1185"/>
      <c r="MGP84" s="1185"/>
      <c r="MGQ84" s="1185"/>
      <c r="MGR84" s="1185"/>
      <c r="MGS84" s="1185"/>
      <c r="MGT84" s="1185"/>
      <c r="MGU84" s="1185"/>
      <c r="MGV84" s="1185"/>
      <c r="MGW84" s="1185"/>
      <c r="MGX84" s="1185"/>
      <c r="MGY84" s="1185"/>
      <c r="MGZ84" s="1185"/>
      <c r="MHA84" s="1185"/>
      <c r="MHB84" s="1185"/>
      <c r="MHC84" s="1185"/>
      <c r="MHD84" s="1185"/>
      <c r="MHE84" s="1185"/>
      <c r="MHF84" s="1185"/>
      <c r="MHG84" s="1185"/>
      <c r="MHH84" s="1185"/>
      <c r="MHI84" s="1185"/>
      <c r="MHJ84" s="1185"/>
      <c r="MHK84" s="1185"/>
      <c r="MHL84" s="1185"/>
      <c r="MHM84" s="1185"/>
      <c r="MHN84" s="1185"/>
      <c r="MHO84" s="1185"/>
      <c r="MHP84" s="1185"/>
      <c r="MHQ84" s="1185"/>
      <c r="MHR84" s="1185"/>
      <c r="MHS84" s="1185"/>
      <c r="MHT84" s="1185"/>
      <c r="MHU84" s="1185"/>
      <c r="MHV84" s="1185"/>
      <c r="MHW84" s="1185"/>
      <c r="MHX84" s="1185"/>
      <c r="MHY84" s="1185"/>
      <c r="MHZ84" s="1185"/>
      <c r="MIA84" s="1185"/>
      <c r="MIB84" s="1185"/>
      <c r="MIC84" s="1185"/>
      <c r="MID84" s="1185"/>
      <c r="MIE84" s="1185"/>
      <c r="MIF84" s="1185"/>
      <c r="MIG84" s="1185"/>
      <c r="MIH84" s="1185"/>
      <c r="MII84" s="1185"/>
      <c r="MIJ84" s="1185"/>
      <c r="MIK84" s="1185"/>
      <c r="MIL84" s="1185"/>
      <c r="MIM84" s="1185"/>
      <c r="MIN84" s="1185"/>
      <c r="MIO84" s="1185"/>
      <c r="MIP84" s="1185"/>
      <c r="MIQ84" s="1185"/>
      <c r="MIR84" s="1185"/>
      <c r="MIS84" s="1185"/>
      <c r="MIT84" s="1185"/>
      <c r="MIU84" s="1185"/>
      <c r="MIV84" s="1185"/>
      <c r="MIW84" s="1185"/>
      <c r="MIX84" s="1185"/>
      <c r="MIY84" s="1185"/>
      <c r="MIZ84" s="1185"/>
      <c r="MJA84" s="1185"/>
      <c r="MJB84" s="1185"/>
      <c r="MJC84" s="1185"/>
      <c r="MJD84" s="1185"/>
      <c r="MJE84" s="1185"/>
      <c r="MJF84" s="1185"/>
      <c r="MJG84" s="1185"/>
      <c r="MJH84" s="1185"/>
      <c r="MJI84" s="1185"/>
      <c r="MJJ84" s="1185"/>
      <c r="MJK84" s="1185"/>
      <c r="MJL84" s="1185"/>
      <c r="MJM84" s="1185"/>
      <c r="MJN84" s="1185"/>
      <c r="MJO84" s="1185"/>
      <c r="MJP84" s="1185"/>
      <c r="MJQ84" s="1185"/>
      <c r="MJR84" s="1185"/>
      <c r="MJS84" s="1185"/>
      <c r="MJT84" s="1185"/>
      <c r="MJU84" s="1185"/>
      <c r="MJV84" s="1185"/>
      <c r="MJW84" s="1185"/>
      <c r="MJX84" s="1185"/>
      <c r="MJY84" s="1185"/>
      <c r="MJZ84" s="1185"/>
      <c r="MKA84" s="1185"/>
      <c r="MKB84" s="1185"/>
      <c r="MKC84" s="1185"/>
      <c r="MKD84" s="1185"/>
      <c r="MKE84" s="1185"/>
      <c r="MKF84" s="1185"/>
      <c r="MKG84" s="1185"/>
      <c r="MKH84" s="1185"/>
      <c r="MKI84" s="1185"/>
      <c r="MKJ84" s="1185"/>
      <c r="MKK84" s="1185"/>
      <c r="MKL84" s="1185"/>
      <c r="MKM84" s="1185"/>
      <c r="MKN84" s="1185"/>
      <c r="MKO84" s="1185"/>
      <c r="MKP84" s="1185"/>
      <c r="MKQ84" s="1185"/>
      <c r="MKR84" s="1185"/>
      <c r="MKS84" s="1185"/>
      <c r="MKT84" s="1185"/>
      <c r="MKU84" s="1185"/>
      <c r="MKV84" s="1185"/>
      <c r="MKW84" s="1185"/>
      <c r="MKX84" s="1185"/>
      <c r="MKY84" s="1185"/>
      <c r="MKZ84" s="1185"/>
      <c r="MLA84" s="1185"/>
      <c r="MLB84" s="1185"/>
      <c r="MLC84" s="1185"/>
      <c r="MLD84" s="1185"/>
      <c r="MLE84" s="1185"/>
      <c r="MLF84" s="1185"/>
      <c r="MLG84" s="1185"/>
      <c r="MLH84" s="1185"/>
      <c r="MLI84" s="1185"/>
      <c r="MLJ84" s="1185"/>
      <c r="MLK84" s="1185"/>
      <c r="MLL84" s="1185"/>
      <c r="MLM84" s="1185"/>
      <c r="MLN84" s="1185"/>
      <c r="MLO84" s="1185"/>
      <c r="MLP84" s="1185"/>
      <c r="MLQ84" s="1185"/>
      <c r="MLR84" s="1185"/>
      <c r="MLS84" s="1185"/>
      <c r="MLT84" s="1185"/>
      <c r="MLU84" s="1185"/>
      <c r="MLV84" s="1185"/>
      <c r="MLW84" s="1185"/>
      <c r="MLX84" s="1185"/>
      <c r="MLY84" s="1185"/>
      <c r="MLZ84" s="1185"/>
      <c r="MMA84" s="1185"/>
      <c r="MMB84" s="1185"/>
      <c r="MMC84" s="1185"/>
      <c r="MMD84" s="1185"/>
      <c r="MME84" s="1185"/>
      <c r="MMF84" s="1185"/>
      <c r="MMG84" s="1185"/>
      <c r="MMH84" s="1185"/>
      <c r="MMI84" s="1185"/>
      <c r="MMJ84" s="1185"/>
      <c r="MMK84" s="1185"/>
      <c r="MML84" s="1185"/>
      <c r="MMM84" s="1185"/>
      <c r="MMN84" s="1185"/>
      <c r="MMO84" s="1185"/>
      <c r="MMP84" s="1185"/>
      <c r="MMQ84" s="1185"/>
      <c r="MMR84" s="1185"/>
      <c r="MMS84" s="1185"/>
      <c r="MMT84" s="1185"/>
      <c r="MMU84" s="1185"/>
      <c r="MMV84" s="1185"/>
      <c r="MMW84" s="1185"/>
      <c r="MMX84" s="1185"/>
      <c r="MMY84" s="1185"/>
      <c r="MMZ84" s="1185"/>
      <c r="MNA84" s="1185"/>
      <c r="MNB84" s="1185"/>
      <c r="MNC84" s="1185"/>
      <c r="MND84" s="1185"/>
      <c r="MNE84" s="1185"/>
      <c r="MNF84" s="1185"/>
      <c r="MNG84" s="1185"/>
      <c r="MNH84" s="1185"/>
      <c r="MNI84" s="1185"/>
      <c r="MNJ84" s="1185"/>
      <c r="MNK84" s="1185"/>
      <c r="MNL84" s="1185"/>
      <c r="MNM84" s="1185"/>
      <c r="MNN84" s="1185"/>
      <c r="MNO84" s="1185"/>
      <c r="MNP84" s="1185"/>
      <c r="MNQ84" s="1185"/>
      <c r="MNR84" s="1185"/>
      <c r="MNS84" s="1185"/>
      <c r="MNT84" s="1185"/>
      <c r="MNU84" s="1185"/>
      <c r="MNV84" s="1185"/>
      <c r="MNW84" s="1185"/>
      <c r="MNX84" s="1185"/>
      <c r="MNY84" s="1185"/>
      <c r="MNZ84" s="1185"/>
      <c r="MOA84" s="1185"/>
      <c r="MOB84" s="1185"/>
      <c r="MOC84" s="1185"/>
      <c r="MOD84" s="1185"/>
      <c r="MOE84" s="1185"/>
      <c r="MOF84" s="1185"/>
      <c r="MOG84" s="1185"/>
      <c r="MOH84" s="1185"/>
      <c r="MOI84" s="1185"/>
      <c r="MOJ84" s="1185"/>
      <c r="MOK84" s="1185"/>
      <c r="MOL84" s="1185"/>
      <c r="MOM84" s="1185"/>
      <c r="MON84" s="1185"/>
      <c r="MOO84" s="1185"/>
      <c r="MOP84" s="1185"/>
      <c r="MOQ84" s="1185"/>
      <c r="MOR84" s="1185"/>
      <c r="MOS84" s="1185"/>
      <c r="MOT84" s="1185"/>
      <c r="MOU84" s="1185"/>
      <c r="MOV84" s="1185"/>
      <c r="MOW84" s="1185"/>
      <c r="MOX84" s="1185"/>
      <c r="MOY84" s="1185"/>
      <c r="MOZ84" s="1185"/>
      <c r="MPA84" s="1185"/>
      <c r="MPB84" s="1185"/>
      <c r="MPC84" s="1185"/>
      <c r="MPD84" s="1185"/>
      <c r="MPE84" s="1185"/>
      <c r="MPF84" s="1185"/>
      <c r="MPG84" s="1185"/>
      <c r="MPH84" s="1185"/>
      <c r="MPI84" s="1185"/>
      <c r="MPJ84" s="1185"/>
      <c r="MPK84" s="1185"/>
      <c r="MPL84" s="1185"/>
      <c r="MPM84" s="1185"/>
      <c r="MPN84" s="1185"/>
      <c r="MPO84" s="1185"/>
      <c r="MPP84" s="1185"/>
      <c r="MPQ84" s="1185"/>
      <c r="MPR84" s="1185"/>
      <c r="MPS84" s="1185"/>
      <c r="MPT84" s="1185"/>
      <c r="MPU84" s="1185"/>
      <c r="MPV84" s="1185"/>
      <c r="MPW84" s="1185"/>
      <c r="MPX84" s="1185"/>
      <c r="MPY84" s="1185"/>
      <c r="MPZ84" s="1185"/>
      <c r="MQA84" s="1185"/>
      <c r="MQB84" s="1185"/>
      <c r="MQC84" s="1185"/>
      <c r="MQD84" s="1185"/>
      <c r="MQE84" s="1185"/>
      <c r="MQF84" s="1185"/>
      <c r="MQG84" s="1185"/>
      <c r="MQH84" s="1185"/>
      <c r="MQI84" s="1185"/>
      <c r="MQJ84" s="1185"/>
      <c r="MQK84" s="1185"/>
      <c r="MQL84" s="1185"/>
      <c r="MQM84" s="1185"/>
      <c r="MQN84" s="1185"/>
      <c r="MQO84" s="1185"/>
      <c r="MQP84" s="1185"/>
      <c r="MQQ84" s="1185"/>
      <c r="MQR84" s="1185"/>
      <c r="MQS84" s="1185"/>
      <c r="MQT84" s="1185"/>
      <c r="MQU84" s="1185"/>
      <c r="MQV84" s="1185"/>
      <c r="MQW84" s="1185"/>
      <c r="MQX84" s="1185"/>
      <c r="MQY84" s="1185"/>
      <c r="MQZ84" s="1185"/>
      <c r="MRA84" s="1185"/>
      <c r="MRB84" s="1185"/>
      <c r="MRC84" s="1185"/>
      <c r="MRD84" s="1185"/>
      <c r="MRE84" s="1185"/>
      <c r="MRF84" s="1185"/>
      <c r="MRG84" s="1185"/>
      <c r="MRH84" s="1185"/>
      <c r="MRI84" s="1185"/>
      <c r="MRJ84" s="1185"/>
      <c r="MRK84" s="1185"/>
      <c r="MRL84" s="1185"/>
      <c r="MRM84" s="1185"/>
      <c r="MRN84" s="1185"/>
      <c r="MRO84" s="1185"/>
      <c r="MRP84" s="1185"/>
      <c r="MRQ84" s="1185"/>
      <c r="MRR84" s="1185"/>
      <c r="MRS84" s="1185"/>
      <c r="MRT84" s="1185"/>
      <c r="MRU84" s="1185"/>
      <c r="MRV84" s="1185"/>
      <c r="MRW84" s="1185"/>
      <c r="MRX84" s="1185"/>
      <c r="MRY84" s="1185"/>
      <c r="MRZ84" s="1185"/>
      <c r="MSA84" s="1185"/>
      <c r="MSB84" s="1185"/>
      <c r="MSC84" s="1185"/>
      <c r="MSD84" s="1185"/>
      <c r="MSE84" s="1185"/>
      <c r="MSF84" s="1185"/>
      <c r="MSG84" s="1185"/>
      <c r="MSH84" s="1185"/>
      <c r="MSI84" s="1185"/>
      <c r="MSJ84" s="1185"/>
      <c r="MSK84" s="1185"/>
      <c r="MSL84" s="1185"/>
      <c r="MSM84" s="1185"/>
      <c r="MSN84" s="1185"/>
      <c r="MSO84" s="1185"/>
      <c r="MSP84" s="1185"/>
      <c r="MSQ84" s="1185"/>
      <c r="MSR84" s="1185"/>
      <c r="MSS84" s="1185"/>
      <c r="MST84" s="1185"/>
      <c r="MSU84" s="1185"/>
      <c r="MSV84" s="1185"/>
      <c r="MSW84" s="1185"/>
      <c r="MSX84" s="1185"/>
      <c r="MSY84" s="1185"/>
      <c r="MSZ84" s="1185"/>
      <c r="MTA84" s="1185"/>
      <c r="MTB84" s="1185"/>
      <c r="MTC84" s="1185"/>
      <c r="MTD84" s="1185"/>
      <c r="MTE84" s="1185"/>
      <c r="MTF84" s="1185"/>
      <c r="MTG84" s="1185"/>
      <c r="MTH84" s="1185"/>
      <c r="MTI84" s="1185"/>
      <c r="MTJ84" s="1185"/>
      <c r="MTK84" s="1185"/>
      <c r="MTL84" s="1185"/>
      <c r="MTM84" s="1185"/>
      <c r="MTN84" s="1185"/>
      <c r="MTO84" s="1185"/>
      <c r="MTP84" s="1185"/>
      <c r="MTQ84" s="1185"/>
      <c r="MTR84" s="1185"/>
      <c r="MTS84" s="1185"/>
      <c r="MTT84" s="1185"/>
      <c r="MTU84" s="1185"/>
      <c r="MTV84" s="1185"/>
      <c r="MTW84" s="1185"/>
      <c r="MTX84" s="1185"/>
      <c r="MTY84" s="1185"/>
      <c r="MTZ84" s="1185"/>
      <c r="MUA84" s="1185"/>
      <c r="MUB84" s="1185"/>
      <c r="MUC84" s="1185"/>
      <c r="MUD84" s="1185"/>
      <c r="MUE84" s="1185"/>
      <c r="MUF84" s="1185"/>
      <c r="MUG84" s="1185"/>
      <c r="MUH84" s="1185"/>
      <c r="MUI84" s="1185"/>
      <c r="MUJ84" s="1185"/>
      <c r="MUK84" s="1185"/>
      <c r="MUL84" s="1185"/>
      <c r="MUM84" s="1185"/>
      <c r="MUN84" s="1185"/>
      <c r="MUO84" s="1185"/>
      <c r="MUP84" s="1185"/>
      <c r="MUQ84" s="1185"/>
      <c r="MUR84" s="1185"/>
      <c r="MUS84" s="1185"/>
      <c r="MUT84" s="1185"/>
      <c r="MUU84" s="1185"/>
      <c r="MUV84" s="1185"/>
      <c r="MUW84" s="1185"/>
      <c r="MUX84" s="1185"/>
      <c r="MUY84" s="1185"/>
      <c r="MUZ84" s="1185"/>
      <c r="MVA84" s="1185"/>
      <c r="MVB84" s="1185"/>
      <c r="MVC84" s="1185"/>
      <c r="MVD84" s="1185"/>
      <c r="MVE84" s="1185"/>
      <c r="MVF84" s="1185"/>
      <c r="MVG84" s="1185"/>
      <c r="MVH84" s="1185"/>
      <c r="MVI84" s="1185"/>
      <c r="MVJ84" s="1185"/>
      <c r="MVK84" s="1185"/>
      <c r="MVL84" s="1185"/>
      <c r="MVM84" s="1185"/>
      <c r="MVN84" s="1185"/>
      <c r="MVO84" s="1185"/>
      <c r="MVP84" s="1185"/>
      <c r="MVQ84" s="1185"/>
      <c r="MVR84" s="1185"/>
      <c r="MVS84" s="1185"/>
      <c r="MVT84" s="1185"/>
      <c r="MVU84" s="1185"/>
      <c r="MVV84" s="1185"/>
      <c r="MVW84" s="1185"/>
      <c r="MVX84" s="1185"/>
      <c r="MVY84" s="1185"/>
      <c r="MVZ84" s="1185"/>
      <c r="MWA84" s="1185"/>
      <c r="MWB84" s="1185"/>
      <c r="MWC84" s="1185"/>
      <c r="MWD84" s="1185"/>
      <c r="MWE84" s="1185"/>
      <c r="MWF84" s="1185"/>
      <c r="MWG84" s="1185"/>
      <c r="MWH84" s="1185"/>
      <c r="MWI84" s="1185"/>
      <c r="MWJ84" s="1185"/>
      <c r="MWK84" s="1185"/>
      <c r="MWL84" s="1185"/>
      <c r="MWM84" s="1185"/>
      <c r="MWN84" s="1185"/>
      <c r="MWO84" s="1185"/>
      <c r="MWP84" s="1185"/>
      <c r="MWQ84" s="1185"/>
      <c r="MWR84" s="1185"/>
      <c r="MWS84" s="1185"/>
      <c r="MWT84" s="1185"/>
      <c r="MWU84" s="1185"/>
      <c r="MWV84" s="1185"/>
      <c r="MWW84" s="1185"/>
      <c r="MWX84" s="1185"/>
      <c r="MWY84" s="1185"/>
      <c r="MWZ84" s="1185"/>
      <c r="MXA84" s="1185"/>
      <c r="MXB84" s="1185"/>
      <c r="MXC84" s="1185"/>
      <c r="MXD84" s="1185"/>
      <c r="MXE84" s="1185"/>
      <c r="MXF84" s="1185"/>
      <c r="MXG84" s="1185"/>
      <c r="MXH84" s="1185"/>
      <c r="MXI84" s="1185"/>
      <c r="MXJ84" s="1185"/>
      <c r="MXK84" s="1185"/>
      <c r="MXL84" s="1185"/>
      <c r="MXM84" s="1185"/>
      <c r="MXN84" s="1185"/>
      <c r="MXO84" s="1185"/>
      <c r="MXP84" s="1185"/>
      <c r="MXQ84" s="1185"/>
      <c r="MXR84" s="1185"/>
      <c r="MXS84" s="1185"/>
      <c r="MXT84" s="1185"/>
      <c r="MXU84" s="1185"/>
      <c r="MXV84" s="1185"/>
      <c r="MXW84" s="1185"/>
      <c r="MXX84" s="1185"/>
      <c r="MXY84" s="1185"/>
      <c r="MXZ84" s="1185"/>
      <c r="MYA84" s="1185"/>
      <c r="MYB84" s="1185"/>
      <c r="MYC84" s="1185"/>
      <c r="MYD84" s="1185"/>
      <c r="MYE84" s="1185"/>
      <c r="MYF84" s="1185"/>
      <c r="MYG84" s="1185"/>
      <c r="MYH84" s="1185"/>
      <c r="MYI84" s="1185"/>
      <c r="MYJ84" s="1185"/>
      <c r="MYK84" s="1185"/>
      <c r="MYL84" s="1185"/>
      <c r="MYM84" s="1185"/>
      <c r="MYN84" s="1185"/>
      <c r="MYO84" s="1185"/>
      <c r="MYP84" s="1185"/>
      <c r="MYQ84" s="1185"/>
      <c r="MYR84" s="1185"/>
      <c r="MYS84" s="1185"/>
      <c r="MYT84" s="1185"/>
      <c r="MYU84" s="1185"/>
      <c r="MYV84" s="1185"/>
      <c r="MYW84" s="1185"/>
      <c r="MYX84" s="1185"/>
      <c r="MYY84" s="1185"/>
      <c r="MYZ84" s="1185"/>
      <c r="MZA84" s="1185"/>
      <c r="MZB84" s="1185"/>
      <c r="MZC84" s="1185"/>
      <c r="MZD84" s="1185"/>
      <c r="MZE84" s="1185"/>
      <c r="MZF84" s="1185"/>
      <c r="MZG84" s="1185"/>
      <c r="MZH84" s="1185"/>
      <c r="MZI84" s="1185"/>
      <c r="MZJ84" s="1185"/>
      <c r="MZK84" s="1185"/>
      <c r="MZL84" s="1185"/>
      <c r="MZM84" s="1185"/>
      <c r="MZN84" s="1185"/>
      <c r="MZO84" s="1185"/>
      <c r="MZP84" s="1185"/>
      <c r="MZQ84" s="1185"/>
      <c r="MZR84" s="1185"/>
      <c r="MZS84" s="1185"/>
      <c r="MZT84" s="1185"/>
      <c r="MZU84" s="1185"/>
      <c r="MZV84" s="1185"/>
      <c r="MZW84" s="1185"/>
      <c r="MZX84" s="1185"/>
      <c r="MZY84" s="1185"/>
      <c r="MZZ84" s="1185"/>
      <c r="NAA84" s="1185"/>
      <c r="NAB84" s="1185"/>
      <c r="NAC84" s="1185"/>
      <c r="NAD84" s="1185"/>
      <c r="NAE84" s="1185"/>
      <c r="NAF84" s="1185"/>
      <c r="NAG84" s="1185"/>
      <c r="NAH84" s="1185"/>
      <c r="NAI84" s="1185"/>
      <c r="NAJ84" s="1185"/>
      <c r="NAK84" s="1185"/>
      <c r="NAL84" s="1185"/>
      <c r="NAM84" s="1185"/>
      <c r="NAN84" s="1185"/>
      <c r="NAO84" s="1185"/>
      <c r="NAP84" s="1185"/>
      <c r="NAQ84" s="1185"/>
      <c r="NAR84" s="1185"/>
      <c r="NAS84" s="1185"/>
      <c r="NAT84" s="1185"/>
      <c r="NAU84" s="1185"/>
      <c r="NAV84" s="1185"/>
      <c r="NAW84" s="1185"/>
      <c r="NAX84" s="1185"/>
      <c r="NAY84" s="1185"/>
      <c r="NAZ84" s="1185"/>
      <c r="NBA84" s="1185"/>
      <c r="NBB84" s="1185"/>
      <c r="NBC84" s="1185"/>
      <c r="NBD84" s="1185"/>
      <c r="NBE84" s="1185"/>
      <c r="NBF84" s="1185"/>
      <c r="NBG84" s="1185"/>
      <c r="NBH84" s="1185"/>
      <c r="NBI84" s="1185"/>
      <c r="NBJ84" s="1185"/>
      <c r="NBK84" s="1185"/>
      <c r="NBL84" s="1185"/>
      <c r="NBM84" s="1185"/>
      <c r="NBN84" s="1185"/>
      <c r="NBO84" s="1185"/>
      <c r="NBP84" s="1185"/>
      <c r="NBQ84" s="1185"/>
      <c r="NBR84" s="1185"/>
      <c r="NBS84" s="1185"/>
      <c r="NBT84" s="1185"/>
      <c r="NBU84" s="1185"/>
      <c r="NBV84" s="1185"/>
      <c r="NBW84" s="1185"/>
      <c r="NBX84" s="1185"/>
      <c r="NBY84" s="1185"/>
      <c r="NBZ84" s="1185"/>
      <c r="NCA84" s="1185"/>
      <c r="NCB84" s="1185"/>
      <c r="NCC84" s="1185"/>
      <c r="NCD84" s="1185"/>
      <c r="NCE84" s="1185"/>
      <c r="NCF84" s="1185"/>
      <c r="NCG84" s="1185"/>
      <c r="NCH84" s="1185"/>
      <c r="NCI84" s="1185"/>
      <c r="NCJ84" s="1185"/>
      <c r="NCK84" s="1185"/>
      <c r="NCL84" s="1185"/>
      <c r="NCM84" s="1185"/>
      <c r="NCN84" s="1185"/>
      <c r="NCO84" s="1185"/>
      <c r="NCP84" s="1185"/>
      <c r="NCQ84" s="1185"/>
      <c r="NCR84" s="1185"/>
      <c r="NCS84" s="1185"/>
      <c r="NCT84" s="1185"/>
      <c r="NCU84" s="1185"/>
      <c r="NCV84" s="1185"/>
      <c r="NCW84" s="1185"/>
      <c r="NCX84" s="1185"/>
      <c r="NCY84" s="1185"/>
      <c r="NCZ84" s="1185"/>
      <c r="NDA84" s="1185"/>
      <c r="NDB84" s="1185"/>
      <c r="NDC84" s="1185"/>
      <c r="NDD84" s="1185"/>
      <c r="NDE84" s="1185"/>
      <c r="NDF84" s="1185"/>
      <c r="NDG84" s="1185"/>
      <c r="NDH84" s="1185"/>
      <c r="NDI84" s="1185"/>
      <c r="NDJ84" s="1185"/>
      <c r="NDK84" s="1185"/>
      <c r="NDL84" s="1185"/>
      <c r="NDM84" s="1185"/>
      <c r="NDN84" s="1185"/>
      <c r="NDO84" s="1185"/>
      <c r="NDP84" s="1185"/>
      <c r="NDQ84" s="1185"/>
      <c r="NDR84" s="1185"/>
      <c r="NDS84" s="1185"/>
      <c r="NDT84" s="1185"/>
      <c r="NDU84" s="1185"/>
      <c r="NDV84" s="1185"/>
      <c r="NDW84" s="1185"/>
      <c r="NDX84" s="1185"/>
      <c r="NDY84" s="1185"/>
      <c r="NDZ84" s="1185"/>
      <c r="NEA84" s="1185"/>
      <c r="NEB84" s="1185"/>
      <c r="NEC84" s="1185"/>
      <c r="NED84" s="1185"/>
      <c r="NEE84" s="1185"/>
      <c r="NEF84" s="1185"/>
      <c r="NEG84" s="1185"/>
      <c r="NEH84" s="1185"/>
      <c r="NEI84" s="1185"/>
      <c r="NEJ84" s="1185"/>
      <c r="NEK84" s="1185"/>
      <c r="NEL84" s="1185"/>
      <c r="NEM84" s="1185"/>
      <c r="NEN84" s="1185"/>
      <c r="NEO84" s="1185"/>
      <c r="NEP84" s="1185"/>
      <c r="NEQ84" s="1185"/>
      <c r="NER84" s="1185"/>
      <c r="NES84" s="1185"/>
      <c r="NET84" s="1185"/>
      <c r="NEU84" s="1185"/>
      <c r="NEV84" s="1185"/>
      <c r="NEW84" s="1185"/>
      <c r="NEX84" s="1185"/>
      <c r="NEY84" s="1185"/>
      <c r="NEZ84" s="1185"/>
      <c r="NFA84" s="1185"/>
      <c r="NFB84" s="1185"/>
      <c r="NFC84" s="1185"/>
      <c r="NFD84" s="1185"/>
      <c r="NFE84" s="1185"/>
      <c r="NFF84" s="1185"/>
      <c r="NFG84" s="1185"/>
      <c r="NFH84" s="1185"/>
      <c r="NFI84" s="1185"/>
      <c r="NFJ84" s="1185"/>
      <c r="NFK84" s="1185"/>
      <c r="NFL84" s="1185"/>
      <c r="NFM84" s="1185"/>
      <c r="NFN84" s="1185"/>
      <c r="NFO84" s="1185"/>
      <c r="NFP84" s="1185"/>
      <c r="NFQ84" s="1185"/>
      <c r="NFR84" s="1185"/>
      <c r="NFS84" s="1185"/>
      <c r="NFT84" s="1185"/>
      <c r="NFU84" s="1185"/>
      <c r="NFV84" s="1185"/>
      <c r="NFW84" s="1185"/>
      <c r="NFX84" s="1185"/>
      <c r="NFY84" s="1185"/>
      <c r="NFZ84" s="1185"/>
      <c r="NGA84" s="1185"/>
      <c r="NGB84" s="1185"/>
      <c r="NGC84" s="1185"/>
      <c r="NGD84" s="1185"/>
      <c r="NGE84" s="1185"/>
      <c r="NGF84" s="1185"/>
      <c r="NGG84" s="1185"/>
      <c r="NGH84" s="1185"/>
      <c r="NGI84" s="1185"/>
      <c r="NGJ84" s="1185"/>
      <c r="NGK84" s="1185"/>
      <c r="NGL84" s="1185"/>
      <c r="NGM84" s="1185"/>
      <c r="NGN84" s="1185"/>
      <c r="NGO84" s="1185"/>
      <c r="NGP84" s="1185"/>
      <c r="NGQ84" s="1185"/>
      <c r="NGR84" s="1185"/>
      <c r="NGS84" s="1185"/>
      <c r="NGT84" s="1185"/>
      <c r="NGU84" s="1185"/>
      <c r="NGV84" s="1185"/>
      <c r="NGW84" s="1185"/>
      <c r="NGX84" s="1185"/>
      <c r="NGY84" s="1185"/>
      <c r="NGZ84" s="1185"/>
      <c r="NHA84" s="1185"/>
      <c r="NHB84" s="1185"/>
      <c r="NHC84" s="1185"/>
      <c r="NHD84" s="1185"/>
      <c r="NHE84" s="1185"/>
      <c r="NHF84" s="1185"/>
      <c r="NHG84" s="1185"/>
      <c r="NHH84" s="1185"/>
      <c r="NHI84" s="1185"/>
      <c r="NHJ84" s="1185"/>
      <c r="NHK84" s="1185"/>
      <c r="NHL84" s="1185"/>
      <c r="NHM84" s="1185"/>
      <c r="NHN84" s="1185"/>
      <c r="NHO84" s="1185"/>
      <c r="NHP84" s="1185"/>
      <c r="NHQ84" s="1185"/>
      <c r="NHR84" s="1185"/>
      <c r="NHS84" s="1185"/>
      <c r="NHT84" s="1185"/>
      <c r="NHU84" s="1185"/>
      <c r="NHV84" s="1185"/>
      <c r="NHW84" s="1185"/>
      <c r="NHX84" s="1185"/>
      <c r="NHY84" s="1185"/>
      <c r="NHZ84" s="1185"/>
      <c r="NIA84" s="1185"/>
      <c r="NIB84" s="1185"/>
      <c r="NIC84" s="1185"/>
      <c r="NID84" s="1185"/>
      <c r="NIE84" s="1185"/>
      <c r="NIF84" s="1185"/>
      <c r="NIG84" s="1185"/>
      <c r="NIH84" s="1185"/>
      <c r="NII84" s="1185"/>
      <c r="NIJ84" s="1185"/>
      <c r="NIK84" s="1185"/>
      <c r="NIL84" s="1185"/>
      <c r="NIM84" s="1185"/>
      <c r="NIN84" s="1185"/>
      <c r="NIO84" s="1185"/>
      <c r="NIP84" s="1185"/>
      <c r="NIQ84" s="1185"/>
      <c r="NIR84" s="1185"/>
      <c r="NIS84" s="1185"/>
      <c r="NIT84" s="1185"/>
      <c r="NIU84" s="1185"/>
      <c r="NIV84" s="1185"/>
      <c r="NIW84" s="1185"/>
      <c r="NIX84" s="1185"/>
      <c r="NIY84" s="1185"/>
      <c r="NIZ84" s="1185"/>
      <c r="NJA84" s="1185"/>
      <c r="NJB84" s="1185"/>
      <c r="NJC84" s="1185"/>
      <c r="NJD84" s="1185"/>
      <c r="NJE84" s="1185"/>
      <c r="NJF84" s="1185"/>
      <c r="NJG84" s="1185"/>
      <c r="NJH84" s="1185"/>
      <c r="NJI84" s="1185"/>
      <c r="NJJ84" s="1185"/>
      <c r="NJK84" s="1185"/>
      <c r="NJL84" s="1185"/>
      <c r="NJM84" s="1185"/>
      <c r="NJN84" s="1185"/>
      <c r="NJO84" s="1185"/>
      <c r="NJP84" s="1185"/>
      <c r="NJQ84" s="1185"/>
      <c r="NJR84" s="1185"/>
      <c r="NJS84" s="1185"/>
      <c r="NJT84" s="1185"/>
      <c r="NJU84" s="1185"/>
      <c r="NJV84" s="1185"/>
      <c r="NJW84" s="1185"/>
      <c r="NJX84" s="1185"/>
      <c r="NJY84" s="1185"/>
      <c r="NJZ84" s="1185"/>
      <c r="NKA84" s="1185"/>
      <c r="NKB84" s="1185"/>
      <c r="NKC84" s="1185"/>
      <c r="NKD84" s="1185"/>
      <c r="NKE84" s="1185"/>
      <c r="NKF84" s="1185"/>
      <c r="NKG84" s="1185"/>
      <c r="NKH84" s="1185"/>
      <c r="NKI84" s="1185"/>
      <c r="NKJ84" s="1185"/>
      <c r="NKK84" s="1185"/>
      <c r="NKL84" s="1185"/>
      <c r="NKM84" s="1185"/>
      <c r="NKN84" s="1185"/>
      <c r="NKO84" s="1185"/>
      <c r="NKP84" s="1185"/>
      <c r="NKQ84" s="1185"/>
      <c r="NKR84" s="1185"/>
      <c r="NKS84" s="1185"/>
      <c r="NKT84" s="1185"/>
      <c r="NKU84" s="1185"/>
      <c r="NKV84" s="1185"/>
      <c r="NKW84" s="1185"/>
      <c r="NKX84" s="1185"/>
      <c r="NKY84" s="1185"/>
      <c r="NKZ84" s="1185"/>
      <c r="NLA84" s="1185"/>
      <c r="NLB84" s="1185"/>
      <c r="NLC84" s="1185"/>
      <c r="NLD84" s="1185"/>
      <c r="NLE84" s="1185"/>
      <c r="NLF84" s="1185"/>
      <c r="NLG84" s="1185"/>
      <c r="NLH84" s="1185"/>
      <c r="NLI84" s="1185"/>
      <c r="NLJ84" s="1185"/>
      <c r="NLK84" s="1185"/>
      <c r="NLL84" s="1185"/>
      <c r="NLM84" s="1185"/>
      <c r="NLN84" s="1185"/>
      <c r="NLO84" s="1185"/>
      <c r="NLP84" s="1185"/>
      <c r="NLQ84" s="1185"/>
      <c r="NLR84" s="1185"/>
      <c r="NLS84" s="1185"/>
      <c r="NLT84" s="1185"/>
      <c r="NLU84" s="1185"/>
      <c r="NLV84" s="1185"/>
      <c r="NLW84" s="1185"/>
      <c r="NLX84" s="1185"/>
      <c r="NLY84" s="1185"/>
      <c r="NLZ84" s="1185"/>
      <c r="NMA84" s="1185"/>
      <c r="NMB84" s="1185"/>
      <c r="NMC84" s="1185"/>
      <c r="NMD84" s="1185"/>
      <c r="NME84" s="1185"/>
      <c r="NMF84" s="1185"/>
      <c r="NMG84" s="1185"/>
      <c r="NMH84" s="1185"/>
      <c r="NMI84" s="1185"/>
      <c r="NMJ84" s="1185"/>
      <c r="NMK84" s="1185"/>
      <c r="NML84" s="1185"/>
      <c r="NMM84" s="1185"/>
      <c r="NMN84" s="1185"/>
      <c r="NMO84" s="1185"/>
      <c r="NMP84" s="1185"/>
      <c r="NMQ84" s="1185"/>
      <c r="NMR84" s="1185"/>
      <c r="NMS84" s="1185"/>
      <c r="NMT84" s="1185"/>
      <c r="NMU84" s="1185"/>
      <c r="NMV84" s="1185"/>
      <c r="NMW84" s="1185"/>
      <c r="NMX84" s="1185"/>
      <c r="NMY84" s="1185"/>
      <c r="NMZ84" s="1185"/>
      <c r="NNA84" s="1185"/>
      <c r="NNB84" s="1185"/>
      <c r="NNC84" s="1185"/>
      <c r="NND84" s="1185"/>
      <c r="NNE84" s="1185"/>
      <c r="NNF84" s="1185"/>
      <c r="NNG84" s="1185"/>
      <c r="NNH84" s="1185"/>
      <c r="NNI84" s="1185"/>
      <c r="NNJ84" s="1185"/>
      <c r="NNK84" s="1185"/>
      <c r="NNL84" s="1185"/>
      <c r="NNM84" s="1185"/>
      <c r="NNN84" s="1185"/>
      <c r="NNO84" s="1185"/>
      <c r="NNP84" s="1185"/>
      <c r="NNQ84" s="1185"/>
      <c r="NNR84" s="1185"/>
      <c r="NNS84" s="1185"/>
      <c r="NNT84" s="1185"/>
      <c r="NNU84" s="1185"/>
      <c r="NNV84" s="1185"/>
      <c r="NNW84" s="1185"/>
      <c r="NNX84" s="1185"/>
      <c r="NNY84" s="1185"/>
      <c r="NNZ84" s="1185"/>
      <c r="NOA84" s="1185"/>
      <c r="NOB84" s="1185"/>
      <c r="NOC84" s="1185"/>
      <c r="NOD84" s="1185"/>
      <c r="NOE84" s="1185"/>
      <c r="NOF84" s="1185"/>
      <c r="NOG84" s="1185"/>
      <c r="NOH84" s="1185"/>
      <c r="NOI84" s="1185"/>
      <c r="NOJ84" s="1185"/>
      <c r="NOK84" s="1185"/>
      <c r="NOL84" s="1185"/>
      <c r="NOM84" s="1185"/>
      <c r="NON84" s="1185"/>
      <c r="NOO84" s="1185"/>
      <c r="NOP84" s="1185"/>
      <c r="NOQ84" s="1185"/>
      <c r="NOR84" s="1185"/>
      <c r="NOS84" s="1185"/>
      <c r="NOT84" s="1185"/>
      <c r="NOU84" s="1185"/>
      <c r="NOV84" s="1185"/>
      <c r="NOW84" s="1185"/>
      <c r="NOX84" s="1185"/>
      <c r="NOY84" s="1185"/>
      <c r="NOZ84" s="1185"/>
      <c r="NPA84" s="1185"/>
      <c r="NPB84" s="1185"/>
      <c r="NPC84" s="1185"/>
      <c r="NPD84" s="1185"/>
      <c r="NPE84" s="1185"/>
      <c r="NPF84" s="1185"/>
      <c r="NPG84" s="1185"/>
      <c r="NPH84" s="1185"/>
      <c r="NPI84" s="1185"/>
      <c r="NPJ84" s="1185"/>
      <c r="NPK84" s="1185"/>
      <c r="NPL84" s="1185"/>
      <c r="NPM84" s="1185"/>
      <c r="NPN84" s="1185"/>
      <c r="NPO84" s="1185"/>
      <c r="NPP84" s="1185"/>
      <c r="NPQ84" s="1185"/>
      <c r="NPR84" s="1185"/>
      <c r="NPS84" s="1185"/>
      <c r="NPT84" s="1185"/>
      <c r="NPU84" s="1185"/>
      <c r="NPV84" s="1185"/>
      <c r="NPW84" s="1185"/>
      <c r="NPX84" s="1185"/>
      <c r="NPY84" s="1185"/>
      <c r="NPZ84" s="1185"/>
      <c r="NQA84" s="1185"/>
      <c r="NQB84" s="1185"/>
      <c r="NQC84" s="1185"/>
      <c r="NQD84" s="1185"/>
      <c r="NQE84" s="1185"/>
      <c r="NQF84" s="1185"/>
      <c r="NQG84" s="1185"/>
      <c r="NQH84" s="1185"/>
      <c r="NQI84" s="1185"/>
      <c r="NQJ84" s="1185"/>
      <c r="NQK84" s="1185"/>
      <c r="NQL84" s="1185"/>
      <c r="NQM84" s="1185"/>
      <c r="NQN84" s="1185"/>
      <c r="NQO84" s="1185"/>
      <c r="NQP84" s="1185"/>
      <c r="NQQ84" s="1185"/>
      <c r="NQR84" s="1185"/>
      <c r="NQS84" s="1185"/>
      <c r="NQT84" s="1185"/>
      <c r="NQU84" s="1185"/>
      <c r="NQV84" s="1185"/>
      <c r="NQW84" s="1185"/>
      <c r="NQX84" s="1185"/>
      <c r="NQY84" s="1185"/>
      <c r="NQZ84" s="1185"/>
      <c r="NRA84" s="1185"/>
      <c r="NRB84" s="1185"/>
      <c r="NRC84" s="1185"/>
      <c r="NRD84" s="1185"/>
      <c r="NRE84" s="1185"/>
      <c r="NRF84" s="1185"/>
      <c r="NRG84" s="1185"/>
      <c r="NRH84" s="1185"/>
      <c r="NRI84" s="1185"/>
      <c r="NRJ84" s="1185"/>
      <c r="NRK84" s="1185"/>
      <c r="NRL84" s="1185"/>
      <c r="NRM84" s="1185"/>
      <c r="NRN84" s="1185"/>
      <c r="NRO84" s="1185"/>
      <c r="NRP84" s="1185"/>
      <c r="NRQ84" s="1185"/>
      <c r="NRR84" s="1185"/>
      <c r="NRS84" s="1185"/>
      <c r="NRT84" s="1185"/>
      <c r="NRU84" s="1185"/>
      <c r="NRV84" s="1185"/>
      <c r="NRW84" s="1185"/>
      <c r="NRX84" s="1185"/>
      <c r="NRY84" s="1185"/>
      <c r="NRZ84" s="1185"/>
      <c r="NSA84" s="1185"/>
      <c r="NSB84" s="1185"/>
      <c r="NSC84" s="1185"/>
      <c r="NSD84" s="1185"/>
      <c r="NSE84" s="1185"/>
      <c r="NSF84" s="1185"/>
      <c r="NSG84" s="1185"/>
      <c r="NSH84" s="1185"/>
      <c r="NSI84" s="1185"/>
      <c r="NSJ84" s="1185"/>
      <c r="NSK84" s="1185"/>
      <c r="NSL84" s="1185"/>
      <c r="NSM84" s="1185"/>
      <c r="NSN84" s="1185"/>
      <c r="NSO84" s="1185"/>
      <c r="NSP84" s="1185"/>
      <c r="NSQ84" s="1185"/>
      <c r="NSR84" s="1185"/>
      <c r="NSS84" s="1185"/>
      <c r="NST84" s="1185"/>
      <c r="NSU84" s="1185"/>
      <c r="NSV84" s="1185"/>
      <c r="NSW84" s="1185"/>
      <c r="NSX84" s="1185"/>
      <c r="NSY84" s="1185"/>
      <c r="NSZ84" s="1185"/>
      <c r="NTA84" s="1185"/>
      <c r="NTB84" s="1185"/>
      <c r="NTC84" s="1185"/>
      <c r="NTD84" s="1185"/>
      <c r="NTE84" s="1185"/>
      <c r="NTF84" s="1185"/>
      <c r="NTG84" s="1185"/>
      <c r="NTH84" s="1185"/>
      <c r="NTI84" s="1185"/>
      <c r="NTJ84" s="1185"/>
      <c r="NTK84" s="1185"/>
      <c r="NTL84" s="1185"/>
      <c r="NTM84" s="1185"/>
      <c r="NTN84" s="1185"/>
      <c r="NTO84" s="1185"/>
      <c r="NTP84" s="1185"/>
      <c r="NTQ84" s="1185"/>
      <c r="NTR84" s="1185"/>
      <c r="NTS84" s="1185"/>
      <c r="NTT84" s="1185"/>
      <c r="NTU84" s="1185"/>
      <c r="NTV84" s="1185"/>
      <c r="NTW84" s="1185"/>
      <c r="NTX84" s="1185"/>
      <c r="NTY84" s="1185"/>
      <c r="NTZ84" s="1185"/>
      <c r="NUA84" s="1185"/>
      <c r="NUB84" s="1185"/>
      <c r="NUC84" s="1185"/>
      <c r="NUD84" s="1185"/>
      <c r="NUE84" s="1185"/>
      <c r="NUF84" s="1185"/>
      <c r="NUG84" s="1185"/>
      <c r="NUH84" s="1185"/>
      <c r="NUI84" s="1185"/>
      <c r="NUJ84" s="1185"/>
      <c r="NUK84" s="1185"/>
      <c r="NUL84" s="1185"/>
      <c r="NUM84" s="1185"/>
      <c r="NUN84" s="1185"/>
      <c r="NUO84" s="1185"/>
      <c r="NUP84" s="1185"/>
      <c r="NUQ84" s="1185"/>
      <c r="NUR84" s="1185"/>
      <c r="NUS84" s="1185"/>
      <c r="NUT84" s="1185"/>
      <c r="NUU84" s="1185"/>
      <c r="NUV84" s="1185"/>
      <c r="NUW84" s="1185"/>
      <c r="NUX84" s="1185"/>
      <c r="NUY84" s="1185"/>
      <c r="NUZ84" s="1185"/>
      <c r="NVA84" s="1185"/>
      <c r="NVB84" s="1185"/>
      <c r="NVC84" s="1185"/>
      <c r="NVD84" s="1185"/>
      <c r="NVE84" s="1185"/>
      <c r="NVF84" s="1185"/>
      <c r="NVG84" s="1185"/>
      <c r="NVH84" s="1185"/>
      <c r="NVI84" s="1185"/>
      <c r="NVJ84" s="1185"/>
      <c r="NVK84" s="1185"/>
      <c r="NVL84" s="1185"/>
      <c r="NVM84" s="1185"/>
      <c r="NVN84" s="1185"/>
      <c r="NVO84" s="1185"/>
      <c r="NVP84" s="1185"/>
      <c r="NVQ84" s="1185"/>
      <c r="NVR84" s="1185"/>
      <c r="NVS84" s="1185"/>
      <c r="NVT84" s="1185"/>
      <c r="NVU84" s="1185"/>
      <c r="NVV84" s="1185"/>
      <c r="NVW84" s="1185"/>
      <c r="NVX84" s="1185"/>
      <c r="NVY84" s="1185"/>
      <c r="NVZ84" s="1185"/>
      <c r="NWA84" s="1185"/>
      <c r="NWB84" s="1185"/>
      <c r="NWC84" s="1185"/>
      <c r="NWD84" s="1185"/>
      <c r="NWE84" s="1185"/>
      <c r="NWF84" s="1185"/>
      <c r="NWG84" s="1185"/>
      <c r="NWH84" s="1185"/>
      <c r="NWI84" s="1185"/>
      <c r="NWJ84" s="1185"/>
      <c r="NWK84" s="1185"/>
      <c r="NWL84" s="1185"/>
      <c r="NWM84" s="1185"/>
      <c r="NWN84" s="1185"/>
      <c r="NWO84" s="1185"/>
      <c r="NWP84" s="1185"/>
      <c r="NWQ84" s="1185"/>
      <c r="NWR84" s="1185"/>
      <c r="NWS84" s="1185"/>
      <c r="NWT84" s="1185"/>
      <c r="NWU84" s="1185"/>
      <c r="NWV84" s="1185"/>
      <c r="NWW84" s="1185"/>
      <c r="NWX84" s="1185"/>
      <c r="NWY84" s="1185"/>
      <c r="NWZ84" s="1185"/>
      <c r="NXA84" s="1185"/>
      <c r="NXB84" s="1185"/>
      <c r="NXC84" s="1185"/>
      <c r="NXD84" s="1185"/>
      <c r="NXE84" s="1185"/>
      <c r="NXF84" s="1185"/>
      <c r="NXG84" s="1185"/>
      <c r="NXH84" s="1185"/>
      <c r="NXI84" s="1185"/>
      <c r="NXJ84" s="1185"/>
      <c r="NXK84" s="1185"/>
      <c r="NXL84" s="1185"/>
      <c r="NXM84" s="1185"/>
      <c r="NXN84" s="1185"/>
      <c r="NXO84" s="1185"/>
      <c r="NXP84" s="1185"/>
      <c r="NXQ84" s="1185"/>
      <c r="NXR84" s="1185"/>
      <c r="NXS84" s="1185"/>
      <c r="NXT84" s="1185"/>
      <c r="NXU84" s="1185"/>
      <c r="NXV84" s="1185"/>
      <c r="NXW84" s="1185"/>
      <c r="NXX84" s="1185"/>
      <c r="NXY84" s="1185"/>
      <c r="NXZ84" s="1185"/>
      <c r="NYA84" s="1185"/>
      <c r="NYB84" s="1185"/>
      <c r="NYC84" s="1185"/>
      <c r="NYD84" s="1185"/>
      <c r="NYE84" s="1185"/>
      <c r="NYF84" s="1185"/>
      <c r="NYG84" s="1185"/>
      <c r="NYH84" s="1185"/>
      <c r="NYI84" s="1185"/>
      <c r="NYJ84" s="1185"/>
      <c r="NYK84" s="1185"/>
      <c r="NYL84" s="1185"/>
      <c r="NYM84" s="1185"/>
      <c r="NYN84" s="1185"/>
      <c r="NYO84" s="1185"/>
      <c r="NYP84" s="1185"/>
      <c r="NYQ84" s="1185"/>
      <c r="NYR84" s="1185"/>
      <c r="NYS84" s="1185"/>
      <c r="NYT84" s="1185"/>
      <c r="NYU84" s="1185"/>
      <c r="NYV84" s="1185"/>
      <c r="NYW84" s="1185"/>
      <c r="NYX84" s="1185"/>
      <c r="NYY84" s="1185"/>
      <c r="NYZ84" s="1185"/>
      <c r="NZA84" s="1185"/>
      <c r="NZB84" s="1185"/>
      <c r="NZC84" s="1185"/>
      <c r="NZD84" s="1185"/>
      <c r="NZE84" s="1185"/>
      <c r="NZF84" s="1185"/>
      <c r="NZG84" s="1185"/>
      <c r="NZH84" s="1185"/>
      <c r="NZI84" s="1185"/>
      <c r="NZJ84" s="1185"/>
      <c r="NZK84" s="1185"/>
      <c r="NZL84" s="1185"/>
      <c r="NZM84" s="1185"/>
      <c r="NZN84" s="1185"/>
      <c r="NZO84" s="1185"/>
      <c r="NZP84" s="1185"/>
      <c r="NZQ84" s="1185"/>
      <c r="NZR84" s="1185"/>
      <c r="NZS84" s="1185"/>
      <c r="NZT84" s="1185"/>
      <c r="NZU84" s="1185"/>
      <c r="NZV84" s="1185"/>
      <c r="NZW84" s="1185"/>
      <c r="NZX84" s="1185"/>
      <c r="NZY84" s="1185"/>
      <c r="NZZ84" s="1185"/>
      <c r="OAA84" s="1185"/>
      <c r="OAB84" s="1185"/>
      <c r="OAC84" s="1185"/>
      <c r="OAD84" s="1185"/>
      <c r="OAE84" s="1185"/>
      <c r="OAF84" s="1185"/>
      <c r="OAG84" s="1185"/>
      <c r="OAH84" s="1185"/>
      <c r="OAI84" s="1185"/>
      <c r="OAJ84" s="1185"/>
      <c r="OAK84" s="1185"/>
      <c r="OAL84" s="1185"/>
      <c r="OAM84" s="1185"/>
      <c r="OAN84" s="1185"/>
      <c r="OAO84" s="1185"/>
      <c r="OAP84" s="1185"/>
      <c r="OAQ84" s="1185"/>
      <c r="OAR84" s="1185"/>
      <c r="OAS84" s="1185"/>
      <c r="OAT84" s="1185"/>
      <c r="OAU84" s="1185"/>
      <c r="OAV84" s="1185"/>
      <c r="OAW84" s="1185"/>
      <c r="OAX84" s="1185"/>
      <c r="OAY84" s="1185"/>
      <c r="OAZ84" s="1185"/>
      <c r="OBA84" s="1185"/>
      <c r="OBB84" s="1185"/>
      <c r="OBC84" s="1185"/>
      <c r="OBD84" s="1185"/>
      <c r="OBE84" s="1185"/>
      <c r="OBF84" s="1185"/>
      <c r="OBG84" s="1185"/>
      <c r="OBH84" s="1185"/>
      <c r="OBI84" s="1185"/>
      <c r="OBJ84" s="1185"/>
      <c r="OBK84" s="1185"/>
      <c r="OBL84" s="1185"/>
      <c r="OBM84" s="1185"/>
      <c r="OBN84" s="1185"/>
      <c r="OBO84" s="1185"/>
      <c r="OBP84" s="1185"/>
      <c r="OBQ84" s="1185"/>
      <c r="OBR84" s="1185"/>
      <c r="OBS84" s="1185"/>
      <c r="OBT84" s="1185"/>
      <c r="OBU84" s="1185"/>
      <c r="OBV84" s="1185"/>
      <c r="OBW84" s="1185"/>
      <c r="OBX84" s="1185"/>
      <c r="OBY84" s="1185"/>
      <c r="OBZ84" s="1185"/>
      <c r="OCA84" s="1185"/>
      <c r="OCB84" s="1185"/>
      <c r="OCC84" s="1185"/>
      <c r="OCD84" s="1185"/>
      <c r="OCE84" s="1185"/>
      <c r="OCF84" s="1185"/>
      <c r="OCG84" s="1185"/>
      <c r="OCH84" s="1185"/>
      <c r="OCI84" s="1185"/>
      <c r="OCJ84" s="1185"/>
      <c r="OCK84" s="1185"/>
      <c r="OCL84" s="1185"/>
      <c r="OCM84" s="1185"/>
      <c r="OCN84" s="1185"/>
      <c r="OCO84" s="1185"/>
      <c r="OCP84" s="1185"/>
      <c r="OCQ84" s="1185"/>
      <c r="OCR84" s="1185"/>
      <c r="OCS84" s="1185"/>
      <c r="OCT84" s="1185"/>
      <c r="OCU84" s="1185"/>
      <c r="OCV84" s="1185"/>
      <c r="OCW84" s="1185"/>
      <c r="OCX84" s="1185"/>
      <c r="OCY84" s="1185"/>
      <c r="OCZ84" s="1185"/>
      <c r="ODA84" s="1185"/>
      <c r="ODB84" s="1185"/>
      <c r="ODC84" s="1185"/>
      <c r="ODD84" s="1185"/>
      <c r="ODE84" s="1185"/>
      <c r="ODF84" s="1185"/>
      <c r="ODG84" s="1185"/>
      <c r="ODH84" s="1185"/>
      <c r="ODI84" s="1185"/>
      <c r="ODJ84" s="1185"/>
      <c r="ODK84" s="1185"/>
      <c r="ODL84" s="1185"/>
      <c r="ODM84" s="1185"/>
      <c r="ODN84" s="1185"/>
      <c r="ODO84" s="1185"/>
      <c r="ODP84" s="1185"/>
      <c r="ODQ84" s="1185"/>
      <c r="ODR84" s="1185"/>
      <c r="ODS84" s="1185"/>
      <c r="ODT84" s="1185"/>
      <c r="ODU84" s="1185"/>
      <c r="ODV84" s="1185"/>
      <c r="ODW84" s="1185"/>
      <c r="ODX84" s="1185"/>
      <c r="ODY84" s="1185"/>
      <c r="ODZ84" s="1185"/>
      <c r="OEA84" s="1185"/>
      <c r="OEB84" s="1185"/>
      <c r="OEC84" s="1185"/>
      <c r="OED84" s="1185"/>
      <c r="OEE84" s="1185"/>
      <c r="OEF84" s="1185"/>
      <c r="OEG84" s="1185"/>
      <c r="OEH84" s="1185"/>
      <c r="OEI84" s="1185"/>
      <c r="OEJ84" s="1185"/>
      <c r="OEK84" s="1185"/>
      <c r="OEL84" s="1185"/>
      <c r="OEM84" s="1185"/>
      <c r="OEN84" s="1185"/>
      <c r="OEO84" s="1185"/>
      <c r="OEP84" s="1185"/>
      <c r="OEQ84" s="1185"/>
      <c r="OER84" s="1185"/>
      <c r="OES84" s="1185"/>
      <c r="OET84" s="1185"/>
      <c r="OEU84" s="1185"/>
      <c r="OEV84" s="1185"/>
      <c r="OEW84" s="1185"/>
      <c r="OEX84" s="1185"/>
      <c r="OEY84" s="1185"/>
      <c r="OEZ84" s="1185"/>
      <c r="OFA84" s="1185"/>
      <c r="OFB84" s="1185"/>
      <c r="OFC84" s="1185"/>
      <c r="OFD84" s="1185"/>
      <c r="OFE84" s="1185"/>
      <c r="OFF84" s="1185"/>
      <c r="OFG84" s="1185"/>
      <c r="OFH84" s="1185"/>
      <c r="OFI84" s="1185"/>
      <c r="OFJ84" s="1185"/>
      <c r="OFK84" s="1185"/>
      <c r="OFL84" s="1185"/>
      <c r="OFM84" s="1185"/>
      <c r="OFN84" s="1185"/>
      <c r="OFO84" s="1185"/>
      <c r="OFP84" s="1185"/>
      <c r="OFQ84" s="1185"/>
      <c r="OFR84" s="1185"/>
      <c r="OFS84" s="1185"/>
      <c r="OFT84" s="1185"/>
      <c r="OFU84" s="1185"/>
      <c r="OFV84" s="1185"/>
      <c r="OFW84" s="1185"/>
      <c r="OFX84" s="1185"/>
      <c r="OFY84" s="1185"/>
      <c r="OFZ84" s="1185"/>
      <c r="OGA84" s="1185"/>
      <c r="OGB84" s="1185"/>
      <c r="OGC84" s="1185"/>
      <c r="OGD84" s="1185"/>
      <c r="OGE84" s="1185"/>
      <c r="OGF84" s="1185"/>
      <c r="OGG84" s="1185"/>
      <c r="OGH84" s="1185"/>
      <c r="OGI84" s="1185"/>
      <c r="OGJ84" s="1185"/>
      <c r="OGK84" s="1185"/>
      <c r="OGL84" s="1185"/>
      <c r="OGM84" s="1185"/>
      <c r="OGN84" s="1185"/>
      <c r="OGO84" s="1185"/>
      <c r="OGP84" s="1185"/>
      <c r="OGQ84" s="1185"/>
      <c r="OGR84" s="1185"/>
      <c r="OGS84" s="1185"/>
      <c r="OGT84" s="1185"/>
      <c r="OGU84" s="1185"/>
      <c r="OGV84" s="1185"/>
      <c r="OGW84" s="1185"/>
      <c r="OGX84" s="1185"/>
      <c r="OGY84" s="1185"/>
      <c r="OGZ84" s="1185"/>
      <c r="OHA84" s="1185"/>
      <c r="OHB84" s="1185"/>
      <c r="OHC84" s="1185"/>
      <c r="OHD84" s="1185"/>
      <c r="OHE84" s="1185"/>
      <c r="OHF84" s="1185"/>
      <c r="OHG84" s="1185"/>
      <c r="OHH84" s="1185"/>
      <c r="OHI84" s="1185"/>
      <c r="OHJ84" s="1185"/>
      <c r="OHK84" s="1185"/>
      <c r="OHL84" s="1185"/>
      <c r="OHM84" s="1185"/>
      <c r="OHN84" s="1185"/>
      <c r="OHO84" s="1185"/>
      <c r="OHP84" s="1185"/>
      <c r="OHQ84" s="1185"/>
      <c r="OHR84" s="1185"/>
      <c r="OHS84" s="1185"/>
      <c r="OHT84" s="1185"/>
      <c r="OHU84" s="1185"/>
      <c r="OHV84" s="1185"/>
      <c r="OHW84" s="1185"/>
      <c r="OHX84" s="1185"/>
      <c r="OHY84" s="1185"/>
      <c r="OHZ84" s="1185"/>
      <c r="OIA84" s="1185"/>
      <c r="OIB84" s="1185"/>
      <c r="OIC84" s="1185"/>
      <c r="OID84" s="1185"/>
      <c r="OIE84" s="1185"/>
      <c r="OIF84" s="1185"/>
      <c r="OIG84" s="1185"/>
      <c r="OIH84" s="1185"/>
      <c r="OII84" s="1185"/>
      <c r="OIJ84" s="1185"/>
      <c r="OIK84" s="1185"/>
      <c r="OIL84" s="1185"/>
      <c r="OIM84" s="1185"/>
      <c r="OIN84" s="1185"/>
      <c r="OIO84" s="1185"/>
      <c r="OIP84" s="1185"/>
      <c r="OIQ84" s="1185"/>
      <c r="OIR84" s="1185"/>
      <c r="OIS84" s="1185"/>
      <c r="OIT84" s="1185"/>
      <c r="OIU84" s="1185"/>
      <c r="OIV84" s="1185"/>
      <c r="OIW84" s="1185"/>
      <c r="OIX84" s="1185"/>
      <c r="OIY84" s="1185"/>
      <c r="OIZ84" s="1185"/>
      <c r="OJA84" s="1185"/>
      <c r="OJB84" s="1185"/>
      <c r="OJC84" s="1185"/>
      <c r="OJD84" s="1185"/>
      <c r="OJE84" s="1185"/>
      <c r="OJF84" s="1185"/>
      <c r="OJG84" s="1185"/>
      <c r="OJH84" s="1185"/>
      <c r="OJI84" s="1185"/>
      <c r="OJJ84" s="1185"/>
      <c r="OJK84" s="1185"/>
      <c r="OJL84" s="1185"/>
      <c r="OJM84" s="1185"/>
      <c r="OJN84" s="1185"/>
      <c r="OJO84" s="1185"/>
      <c r="OJP84" s="1185"/>
      <c r="OJQ84" s="1185"/>
      <c r="OJR84" s="1185"/>
      <c r="OJS84" s="1185"/>
      <c r="OJT84" s="1185"/>
      <c r="OJU84" s="1185"/>
      <c r="OJV84" s="1185"/>
      <c r="OJW84" s="1185"/>
      <c r="OJX84" s="1185"/>
      <c r="OJY84" s="1185"/>
      <c r="OJZ84" s="1185"/>
      <c r="OKA84" s="1185"/>
      <c r="OKB84" s="1185"/>
      <c r="OKC84" s="1185"/>
      <c r="OKD84" s="1185"/>
      <c r="OKE84" s="1185"/>
      <c r="OKF84" s="1185"/>
      <c r="OKG84" s="1185"/>
      <c r="OKH84" s="1185"/>
      <c r="OKI84" s="1185"/>
      <c r="OKJ84" s="1185"/>
      <c r="OKK84" s="1185"/>
      <c r="OKL84" s="1185"/>
      <c r="OKM84" s="1185"/>
      <c r="OKN84" s="1185"/>
      <c r="OKO84" s="1185"/>
      <c r="OKP84" s="1185"/>
      <c r="OKQ84" s="1185"/>
      <c r="OKR84" s="1185"/>
      <c r="OKS84" s="1185"/>
      <c r="OKT84" s="1185"/>
      <c r="OKU84" s="1185"/>
      <c r="OKV84" s="1185"/>
      <c r="OKW84" s="1185"/>
      <c r="OKX84" s="1185"/>
      <c r="OKY84" s="1185"/>
      <c r="OKZ84" s="1185"/>
      <c r="OLA84" s="1185"/>
      <c r="OLB84" s="1185"/>
      <c r="OLC84" s="1185"/>
      <c r="OLD84" s="1185"/>
      <c r="OLE84" s="1185"/>
      <c r="OLF84" s="1185"/>
      <c r="OLG84" s="1185"/>
      <c r="OLH84" s="1185"/>
      <c r="OLI84" s="1185"/>
      <c r="OLJ84" s="1185"/>
      <c r="OLK84" s="1185"/>
      <c r="OLL84" s="1185"/>
      <c r="OLM84" s="1185"/>
      <c r="OLN84" s="1185"/>
      <c r="OLO84" s="1185"/>
      <c r="OLP84" s="1185"/>
      <c r="OLQ84" s="1185"/>
      <c r="OLR84" s="1185"/>
      <c r="OLS84" s="1185"/>
      <c r="OLT84" s="1185"/>
      <c r="OLU84" s="1185"/>
      <c r="OLV84" s="1185"/>
      <c r="OLW84" s="1185"/>
      <c r="OLX84" s="1185"/>
      <c r="OLY84" s="1185"/>
      <c r="OLZ84" s="1185"/>
      <c r="OMA84" s="1185"/>
      <c r="OMB84" s="1185"/>
      <c r="OMC84" s="1185"/>
      <c r="OMD84" s="1185"/>
      <c r="OME84" s="1185"/>
      <c r="OMF84" s="1185"/>
      <c r="OMG84" s="1185"/>
      <c r="OMH84" s="1185"/>
      <c r="OMI84" s="1185"/>
      <c r="OMJ84" s="1185"/>
      <c r="OMK84" s="1185"/>
      <c r="OML84" s="1185"/>
      <c r="OMM84" s="1185"/>
      <c r="OMN84" s="1185"/>
      <c r="OMO84" s="1185"/>
      <c r="OMP84" s="1185"/>
      <c r="OMQ84" s="1185"/>
      <c r="OMR84" s="1185"/>
      <c r="OMS84" s="1185"/>
      <c r="OMT84" s="1185"/>
      <c r="OMU84" s="1185"/>
      <c r="OMV84" s="1185"/>
      <c r="OMW84" s="1185"/>
      <c r="OMX84" s="1185"/>
      <c r="OMY84" s="1185"/>
      <c r="OMZ84" s="1185"/>
      <c r="ONA84" s="1185"/>
      <c r="ONB84" s="1185"/>
      <c r="ONC84" s="1185"/>
      <c r="OND84" s="1185"/>
      <c r="ONE84" s="1185"/>
      <c r="ONF84" s="1185"/>
      <c r="ONG84" s="1185"/>
      <c r="ONH84" s="1185"/>
      <c r="ONI84" s="1185"/>
      <c r="ONJ84" s="1185"/>
      <c r="ONK84" s="1185"/>
      <c r="ONL84" s="1185"/>
      <c r="ONM84" s="1185"/>
      <c r="ONN84" s="1185"/>
      <c r="ONO84" s="1185"/>
      <c r="ONP84" s="1185"/>
      <c r="ONQ84" s="1185"/>
      <c r="ONR84" s="1185"/>
      <c r="ONS84" s="1185"/>
      <c r="ONT84" s="1185"/>
      <c r="ONU84" s="1185"/>
      <c r="ONV84" s="1185"/>
      <c r="ONW84" s="1185"/>
      <c r="ONX84" s="1185"/>
      <c r="ONY84" s="1185"/>
      <c r="ONZ84" s="1185"/>
      <c r="OOA84" s="1185"/>
      <c r="OOB84" s="1185"/>
      <c r="OOC84" s="1185"/>
      <c r="OOD84" s="1185"/>
      <c r="OOE84" s="1185"/>
      <c r="OOF84" s="1185"/>
      <c r="OOG84" s="1185"/>
      <c r="OOH84" s="1185"/>
      <c r="OOI84" s="1185"/>
      <c r="OOJ84" s="1185"/>
      <c r="OOK84" s="1185"/>
      <c r="OOL84" s="1185"/>
      <c r="OOM84" s="1185"/>
      <c r="OON84" s="1185"/>
      <c r="OOO84" s="1185"/>
      <c r="OOP84" s="1185"/>
      <c r="OOQ84" s="1185"/>
      <c r="OOR84" s="1185"/>
      <c r="OOS84" s="1185"/>
      <c r="OOT84" s="1185"/>
      <c r="OOU84" s="1185"/>
      <c r="OOV84" s="1185"/>
      <c r="OOW84" s="1185"/>
      <c r="OOX84" s="1185"/>
      <c r="OOY84" s="1185"/>
      <c r="OOZ84" s="1185"/>
      <c r="OPA84" s="1185"/>
      <c r="OPB84" s="1185"/>
      <c r="OPC84" s="1185"/>
      <c r="OPD84" s="1185"/>
      <c r="OPE84" s="1185"/>
      <c r="OPF84" s="1185"/>
      <c r="OPG84" s="1185"/>
      <c r="OPH84" s="1185"/>
      <c r="OPI84" s="1185"/>
      <c r="OPJ84" s="1185"/>
      <c r="OPK84" s="1185"/>
      <c r="OPL84" s="1185"/>
      <c r="OPM84" s="1185"/>
      <c r="OPN84" s="1185"/>
      <c r="OPO84" s="1185"/>
      <c r="OPP84" s="1185"/>
      <c r="OPQ84" s="1185"/>
      <c r="OPR84" s="1185"/>
      <c r="OPS84" s="1185"/>
      <c r="OPT84" s="1185"/>
      <c r="OPU84" s="1185"/>
      <c r="OPV84" s="1185"/>
      <c r="OPW84" s="1185"/>
      <c r="OPX84" s="1185"/>
      <c r="OPY84" s="1185"/>
      <c r="OPZ84" s="1185"/>
      <c r="OQA84" s="1185"/>
      <c r="OQB84" s="1185"/>
      <c r="OQC84" s="1185"/>
      <c r="OQD84" s="1185"/>
      <c r="OQE84" s="1185"/>
      <c r="OQF84" s="1185"/>
      <c r="OQG84" s="1185"/>
      <c r="OQH84" s="1185"/>
      <c r="OQI84" s="1185"/>
      <c r="OQJ84" s="1185"/>
      <c r="OQK84" s="1185"/>
      <c r="OQL84" s="1185"/>
      <c r="OQM84" s="1185"/>
      <c r="OQN84" s="1185"/>
      <c r="OQO84" s="1185"/>
      <c r="OQP84" s="1185"/>
      <c r="OQQ84" s="1185"/>
      <c r="OQR84" s="1185"/>
      <c r="OQS84" s="1185"/>
      <c r="OQT84" s="1185"/>
      <c r="OQU84" s="1185"/>
      <c r="OQV84" s="1185"/>
      <c r="OQW84" s="1185"/>
      <c r="OQX84" s="1185"/>
      <c r="OQY84" s="1185"/>
      <c r="OQZ84" s="1185"/>
      <c r="ORA84" s="1185"/>
      <c r="ORB84" s="1185"/>
      <c r="ORC84" s="1185"/>
      <c r="ORD84" s="1185"/>
      <c r="ORE84" s="1185"/>
      <c r="ORF84" s="1185"/>
      <c r="ORG84" s="1185"/>
      <c r="ORH84" s="1185"/>
      <c r="ORI84" s="1185"/>
      <c r="ORJ84" s="1185"/>
      <c r="ORK84" s="1185"/>
      <c r="ORL84" s="1185"/>
      <c r="ORM84" s="1185"/>
      <c r="ORN84" s="1185"/>
      <c r="ORO84" s="1185"/>
      <c r="ORP84" s="1185"/>
      <c r="ORQ84" s="1185"/>
      <c r="ORR84" s="1185"/>
      <c r="ORS84" s="1185"/>
      <c r="ORT84" s="1185"/>
      <c r="ORU84" s="1185"/>
      <c r="ORV84" s="1185"/>
      <c r="ORW84" s="1185"/>
      <c r="ORX84" s="1185"/>
      <c r="ORY84" s="1185"/>
      <c r="ORZ84" s="1185"/>
      <c r="OSA84" s="1185"/>
      <c r="OSB84" s="1185"/>
      <c r="OSC84" s="1185"/>
      <c r="OSD84" s="1185"/>
      <c r="OSE84" s="1185"/>
      <c r="OSF84" s="1185"/>
      <c r="OSG84" s="1185"/>
      <c r="OSH84" s="1185"/>
      <c r="OSI84" s="1185"/>
      <c r="OSJ84" s="1185"/>
      <c r="OSK84" s="1185"/>
      <c r="OSL84" s="1185"/>
      <c r="OSM84" s="1185"/>
      <c r="OSN84" s="1185"/>
      <c r="OSO84" s="1185"/>
      <c r="OSP84" s="1185"/>
      <c r="OSQ84" s="1185"/>
      <c r="OSR84" s="1185"/>
      <c r="OSS84" s="1185"/>
      <c r="OST84" s="1185"/>
      <c r="OSU84" s="1185"/>
      <c r="OSV84" s="1185"/>
      <c r="OSW84" s="1185"/>
      <c r="OSX84" s="1185"/>
      <c r="OSY84" s="1185"/>
      <c r="OSZ84" s="1185"/>
      <c r="OTA84" s="1185"/>
      <c r="OTB84" s="1185"/>
      <c r="OTC84" s="1185"/>
      <c r="OTD84" s="1185"/>
      <c r="OTE84" s="1185"/>
      <c r="OTF84" s="1185"/>
      <c r="OTG84" s="1185"/>
      <c r="OTH84" s="1185"/>
      <c r="OTI84" s="1185"/>
      <c r="OTJ84" s="1185"/>
      <c r="OTK84" s="1185"/>
      <c r="OTL84" s="1185"/>
      <c r="OTM84" s="1185"/>
      <c r="OTN84" s="1185"/>
      <c r="OTO84" s="1185"/>
      <c r="OTP84" s="1185"/>
      <c r="OTQ84" s="1185"/>
      <c r="OTR84" s="1185"/>
      <c r="OTS84" s="1185"/>
      <c r="OTT84" s="1185"/>
      <c r="OTU84" s="1185"/>
      <c r="OTV84" s="1185"/>
      <c r="OTW84" s="1185"/>
      <c r="OTX84" s="1185"/>
      <c r="OTY84" s="1185"/>
      <c r="OTZ84" s="1185"/>
      <c r="OUA84" s="1185"/>
      <c r="OUB84" s="1185"/>
      <c r="OUC84" s="1185"/>
      <c r="OUD84" s="1185"/>
      <c r="OUE84" s="1185"/>
      <c r="OUF84" s="1185"/>
      <c r="OUG84" s="1185"/>
      <c r="OUH84" s="1185"/>
      <c r="OUI84" s="1185"/>
      <c r="OUJ84" s="1185"/>
      <c r="OUK84" s="1185"/>
      <c r="OUL84" s="1185"/>
      <c r="OUM84" s="1185"/>
      <c r="OUN84" s="1185"/>
      <c r="OUO84" s="1185"/>
      <c r="OUP84" s="1185"/>
      <c r="OUQ84" s="1185"/>
      <c r="OUR84" s="1185"/>
      <c r="OUS84" s="1185"/>
      <c r="OUT84" s="1185"/>
      <c r="OUU84" s="1185"/>
      <c r="OUV84" s="1185"/>
      <c r="OUW84" s="1185"/>
      <c r="OUX84" s="1185"/>
      <c r="OUY84" s="1185"/>
      <c r="OUZ84" s="1185"/>
      <c r="OVA84" s="1185"/>
      <c r="OVB84" s="1185"/>
      <c r="OVC84" s="1185"/>
      <c r="OVD84" s="1185"/>
      <c r="OVE84" s="1185"/>
      <c r="OVF84" s="1185"/>
      <c r="OVG84" s="1185"/>
      <c r="OVH84" s="1185"/>
      <c r="OVI84" s="1185"/>
      <c r="OVJ84" s="1185"/>
      <c r="OVK84" s="1185"/>
      <c r="OVL84" s="1185"/>
      <c r="OVM84" s="1185"/>
      <c r="OVN84" s="1185"/>
      <c r="OVO84" s="1185"/>
      <c r="OVP84" s="1185"/>
      <c r="OVQ84" s="1185"/>
      <c r="OVR84" s="1185"/>
      <c r="OVS84" s="1185"/>
      <c r="OVT84" s="1185"/>
      <c r="OVU84" s="1185"/>
      <c r="OVV84" s="1185"/>
      <c r="OVW84" s="1185"/>
      <c r="OVX84" s="1185"/>
      <c r="OVY84" s="1185"/>
      <c r="OVZ84" s="1185"/>
      <c r="OWA84" s="1185"/>
      <c r="OWB84" s="1185"/>
      <c r="OWC84" s="1185"/>
      <c r="OWD84" s="1185"/>
      <c r="OWE84" s="1185"/>
      <c r="OWF84" s="1185"/>
      <c r="OWG84" s="1185"/>
      <c r="OWH84" s="1185"/>
      <c r="OWI84" s="1185"/>
      <c r="OWJ84" s="1185"/>
      <c r="OWK84" s="1185"/>
      <c r="OWL84" s="1185"/>
      <c r="OWM84" s="1185"/>
      <c r="OWN84" s="1185"/>
      <c r="OWO84" s="1185"/>
      <c r="OWP84" s="1185"/>
      <c r="OWQ84" s="1185"/>
      <c r="OWR84" s="1185"/>
      <c r="OWS84" s="1185"/>
      <c r="OWT84" s="1185"/>
      <c r="OWU84" s="1185"/>
      <c r="OWV84" s="1185"/>
      <c r="OWW84" s="1185"/>
      <c r="OWX84" s="1185"/>
      <c r="OWY84" s="1185"/>
      <c r="OWZ84" s="1185"/>
      <c r="OXA84" s="1185"/>
      <c r="OXB84" s="1185"/>
      <c r="OXC84" s="1185"/>
      <c r="OXD84" s="1185"/>
      <c r="OXE84" s="1185"/>
      <c r="OXF84" s="1185"/>
      <c r="OXG84" s="1185"/>
      <c r="OXH84" s="1185"/>
      <c r="OXI84" s="1185"/>
      <c r="OXJ84" s="1185"/>
      <c r="OXK84" s="1185"/>
      <c r="OXL84" s="1185"/>
      <c r="OXM84" s="1185"/>
      <c r="OXN84" s="1185"/>
      <c r="OXO84" s="1185"/>
      <c r="OXP84" s="1185"/>
      <c r="OXQ84" s="1185"/>
      <c r="OXR84" s="1185"/>
      <c r="OXS84" s="1185"/>
      <c r="OXT84" s="1185"/>
      <c r="OXU84" s="1185"/>
      <c r="OXV84" s="1185"/>
      <c r="OXW84" s="1185"/>
      <c r="OXX84" s="1185"/>
      <c r="OXY84" s="1185"/>
      <c r="OXZ84" s="1185"/>
      <c r="OYA84" s="1185"/>
      <c r="OYB84" s="1185"/>
      <c r="OYC84" s="1185"/>
      <c r="OYD84" s="1185"/>
      <c r="OYE84" s="1185"/>
      <c r="OYF84" s="1185"/>
      <c r="OYG84" s="1185"/>
      <c r="OYH84" s="1185"/>
      <c r="OYI84" s="1185"/>
      <c r="OYJ84" s="1185"/>
      <c r="OYK84" s="1185"/>
      <c r="OYL84" s="1185"/>
      <c r="OYM84" s="1185"/>
      <c r="OYN84" s="1185"/>
      <c r="OYO84" s="1185"/>
      <c r="OYP84" s="1185"/>
      <c r="OYQ84" s="1185"/>
      <c r="OYR84" s="1185"/>
      <c r="OYS84" s="1185"/>
      <c r="OYT84" s="1185"/>
      <c r="OYU84" s="1185"/>
      <c r="OYV84" s="1185"/>
      <c r="OYW84" s="1185"/>
      <c r="OYX84" s="1185"/>
      <c r="OYY84" s="1185"/>
      <c r="OYZ84" s="1185"/>
      <c r="OZA84" s="1185"/>
      <c r="OZB84" s="1185"/>
      <c r="OZC84" s="1185"/>
      <c r="OZD84" s="1185"/>
      <c r="OZE84" s="1185"/>
      <c r="OZF84" s="1185"/>
      <c r="OZG84" s="1185"/>
      <c r="OZH84" s="1185"/>
      <c r="OZI84" s="1185"/>
      <c r="OZJ84" s="1185"/>
      <c r="OZK84" s="1185"/>
      <c r="OZL84" s="1185"/>
      <c r="OZM84" s="1185"/>
      <c r="OZN84" s="1185"/>
      <c r="OZO84" s="1185"/>
      <c r="OZP84" s="1185"/>
      <c r="OZQ84" s="1185"/>
      <c r="OZR84" s="1185"/>
      <c r="OZS84" s="1185"/>
      <c r="OZT84" s="1185"/>
      <c r="OZU84" s="1185"/>
      <c r="OZV84" s="1185"/>
      <c r="OZW84" s="1185"/>
      <c r="OZX84" s="1185"/>
      <c r="OZY84" s="1185"/>
      <c r="OZZ84" s="1185"/>
      <c r="PAA84" s="1185"/>
      <c r="PAB84" s="1185"/>
      <c r="PAC84" s="1185"/>
      <c r="PAD84" s="1185"/>
      <c r="PAE84" s="1185"/>
      <c r="PAF84" s="1185"/>
      <c r="PAG84" s="1185"/>
      <c r="PAH84" s="1185"/>
      <c r="PAI84" s="1185"/>
      <c r="PAJ84" s="1185"/>
      <c r="PAK84" s="1185"/>
      <c r="PAL84" s="1185"/>
      <c r="PAM84" s="1185"/>
      <c r="PAN84" s="1185"/>
      <c r="PAO84" s="1185"/>
      <c r="PAP84" s="1185"/>
      <c r="PAQ84" s="1185"/>
      <c r="PAR84" s="1185"/>
      <c r="PAS84" s="1185"/>
      <c r="PAT84" s="1185"/>
      <c r="PAU84" s="1185"/>
      <c r="PAV84" s="1185"/>
      <c r="PAW84" s="1185"/>
      <c r="PAX84" s="1185"/>
      <c r="PAY84" s="1185"/>
      <c r="PAZ84" s="1185"/>
      <c r="PBA84" s="1185"/>
      <c r="PBB84" s="1185"/>
      <c r="PBC84" s="1185"/>
      <c r="PBD84" s="1185"/>
      <c r="PBE84" s="1185"/>
      <c r="PBF84" s="1185"/>
      <c r="PBG84" s="1185"/>
      <c r="PBH84" s="1185"/>
      <c r="PBI84" s="1185"/>
      <c r="PBJ84" s="1185"/>
      <c r="PBK84" s="1185"/>
      <c r="PBL84" s="1185"/>
      <c r="PBM84" s="1185"/>
      <c r="PBN84" s="1185"/>
      <c r="PBO84" s="1185"/>
      <c r="PBP84" s="1185"/>
      <c r="PBQ84" s="1185"/>
      <c r="PBR84" s="1185"/>
      <c r="PBS84" s="1185"/>
      <c r="PBT84" s="1185"/>
      <c r="PBU84" s="1185"/>
      <c r="PBV84" s="1185"/>
      <c r="PBW84" s="1185"/>
      <c r="PBX84" s="1185"/>
      <c r="PBY84" s="1185"/>
      <c r="PBZ84" s="1185"/>
      <c r="PCA84" s="1185"/>
      <c r="PCB84" s="1185"/>
      <c r="PCC84" s="1185"/>
      <c r="PCD84" s="1185"/>
      <c r="PCE84" s="1185"/>
      <c r="PCF84" s="1185"/>
      <c r="PCG84" s="1185"/>
      <c r="PCH84" s="1185"/>
      <c r="PCI84" s="1185"/>
      <c r="PCJ84" s="1185"/>
      <c r="PCK84" s="1185"/>
      <c r="PCL84" s="1185"/>
      <c r="PCM84" s="1185"/>
      <c r="PCN84" s="1185"/>
      <c r="PCO84" s="1185"/>
      <c r="PCP84" s="1185"/>
      <c r="PCQ84" s="1185"/>
      <c r="PCR84" s="1185"/>
      <c r="PCS84" s="1185"/>
      <c r="PCT84" s="1185"/>
      <c r="PCU84" s="1185"/>
      <c r="PCV84" s="1185"/>
      <c r="PCW84" s="1185"/>
      <c r="PCX84" s="1185"/>
      <c r="PCY84" s="1185"/>
      <c r="PCZ84" s="1185"/>
      <c r="PDA84" s="1185"/>
      <c r="PDB84" s="1185"/>
      <c r="PDC84" s="1185"/>
      <c r="PDD84" s="1185"/>
      <c r="PDE84" s="1185"/>
      <c r="PDF84" s="1185"/>
      <c r="PDG84" s="1185"/>
      <c r="PDH84" s="1185"/>
      <c r="PDI84" s="1185"/>
      <c r="PDJ84" s="1185"/>
      <c r="PDK84" s="1185"/>
      <c r="PDL84" s="1185"/>
      <c r="PDM84" s="1185"/>
      <c r="PDN84" s="1185"/>
      <c r="PDO84" s="1185"/>
      <c r="PDP84" s="1185"/>
      <c r="PDQ84" s="1185"/>
      <c r="PDR84" s="1185"/>
      <c r="PDS84" s="1185"/>
      <c r="PDT84" s="1185"/>
      <c r="PDU84" s="1185"/>
      <c r="PDV84" s="1185"/>
      <c r="PDW84" s="1185"/>
      <c r="PDX84" s="1185"/>
      <c r="PDY84" s="1185"/>
      <c r="PDZ84" s="1185"/>
      <c r="PEA84" s="1185"/>
      <c r="PEB84" s="1185"/>
      <c r="PEC84" s="1185"/>
      <c r="PED84" s="1185"/>
      <c r="PEE84" s="1185"/>
      <c r="PEF84" s="1185"/>
      <c r="PEG84" s="1185"/>
      <c r="PEH84" s="1185"/>
      <c r="PEI84" s="1185"/>
      <c r="PEJ84" s="1185"/>
      <c r="PEK84" s="1185"/>
      <c r="PEL84" s="1185"/>
      <c r="PEM84" s="1185"/>
      <c r="PEN84" s="1185"/>
      <c r="PEO84" s="1185"/>
      <c r="PEP84" s="1185"/>
      <c r="PEQ84" s="1185"/>
      <c r="PER84" s="1185"/>
      <c r="PES84" s="1185"/>
      <c r="PET84" s="1185"/>
      <c r="PEU84" s="1185"/>
      <c r="PEV84" s="1185"/>
      <c r="PEW84" s="1185"/>
      <c r="PEX84" s="1185"/>
      <c r="PEY84" s="1185"/>
      <c r="PEZ84" s="1185"/>
      <c r="PFA84" s="1185"/>
      <c r="PFB84" s="1185"/>
      <c r="PFC84" s="1185"/>
      <c r="PFD84" s="1185"/>
      <c r="PFE84" s="1185"/>
      <c r="PFF84" s="1185"/>
      <c r="PFG84" s="1185"/>
      <c r="PFH84" s="1185"/>
      <c r="PFI84" s="1185"/>
      <c r="PFJ84" s="1185"/>
      <c r="PFK84" s="1185"/>
      <c r="PFL84" s="1185"/>
      <c r="PFM84" s="1185"/>
      <c r="PFN84" s="1185"/>
      <c r="PFO84" s="1185"/>
      <c r="PFP84" s="1185"/>
      <c r="PFQ84" s="1185"/>
      <c r="PFR84" s="1185"/>
      <c r="PFS84" s="1185"/>
      <c r="PFT84" s="1185"/>
      <c r="PFU84" s="1185"/>
      <c r="PFV84" s="1185"/>
      <c r="PFW84" s="1185"/>
      <c r="PFX84" s="1185"/>
      <c r="PFY84" s="1185"/>
      <c r="PFZ84" s="1185"/>
      <c r="PGA84" s="1185"/>
      <c r="PGB84" s="1185"/>
      <c r="PGC84" s="1185"/>
      <c r="PGD84" s="1185"/>
      <c r="PGE84" s="1185"/>
      <c r="PGF84" s="1185"/>
      <c r="PGG84" s="1185"/>
      <c r="PGH84" s="1185"/>
      <c r="PGI84" s="1185"/>
      <c r="PGJ84" s="1185"/>
      <c r="PGK84" s="1185"/>
      <c r="PGL84" s="1185"/>
      <c r="PGM84" s="1185"/>
      <c r="PGN84" s="1185"/>
      <c r="PGO84" s="1185"/>
      <c r="PGP84" s="1185"/>
      <c r="PGQ84" s="1185"/>
      <c r="PGR84" s="1185"/>
      <c r="PGS84" s="1185"/>
      <c r="PGT84" s="1185"/>
      <c r="PGU84" s="1185"/>
      <c r="PGV84" s="1185"/>
      <c r="PGW84" s="1185"/>
      <c r="PGX84" s="1185"/>
      <c r="PGY84" s="1185"/>
      <c r="PGZ84" s="1185"/>
      <c r="PHA84" s="1185"/>
      <c r="PHB84" s="1185"/>
      <c r="PHC84" s="1185"/>
      <c r="PHD84" s="1185"/>
      <c r="PHE84" s="1185"/>
      <c r="PHF84" s="1185"/>
      <c r="PHG84" s="1185"/>
      <c r="PHH84" s="1185"/>
      <c r="PHI84" s="1185"/>
      <c r="PHJ84" s="1185"/>
      <c r="PHK84" s="1185"/>
      <c r="PHL84" s="1185"/>
      <c r="PHM84" s="1185"/>
      <c r="PHN84" s="1185"/>
      <c r="PHO84" s="1185"/>
      <c r="PHP84" s="1185"/>
      <c r="PHQ84" s="1185"/>
      <c r="PHR84" s="1185"/>
      <c r="PHS84" s="1185"/>
      <c r="PHT84" s="1185"/>
      <c r="PHU84" s="1185"/>
      <c r="PHV84" s="1185"/>
      <c r="PHW84" s="1185"/>
      <c r="PHX84" s="1185"/>
      <c r="PHY84" s="1185"/>
      <c r="PHZ84" s="1185"/>
      <c r="PIA84" s="1185"/>
      <c r="PIB84" s="1185"/>
      <c r="PIC84" s="1185"/>
      <c r="PID84" s="1185"/>
      <c r="PIE84" s="1185"/>
      <c r="PIF84" s="1185"/>
      <c r="PIG84" s="1185"/>
      <c r="PIH84" s="1185"/>
      <c r="PII84" s="1185"/>
      <c r="PIJ84" s="1185"/>
      <c r="PIK84" s="1185"/>
      <c r="PIL84" s="1185"/>
      <c r="PIM84" s="1185"/>
      <c r="PIN84" s="1185"/>
      <c r="PIO84" s="1185"/>
      <c r="PIP84" s="1185"/>
      <c r="PIQ84" s="1185"/>
      <c r="PIR84" s="1185"/>
      <c r="PIS84" s="1185"/>
      <c r="PIT84" s="1185"/>
      <c r="PIU84" s="1185"/>
      <c r="PIV84" s="1185"/>
      <c r="PIW84" s="1185"/>
      <c r="PIX84" s="1185"/>
      <c r="PIY84" s="1185"/>
      <c r="PIZ84" s="1185"/>
      <c r="PJA84" s="1185"/>
      <c r="PJB84" s="1185"/>
      <c r="PJC84" s="1185"/>
      <c r="PJD84" s="1185"/>
      <c r="PJE84" s="1185"/>
      <c r="PJF84" s="1185"/>
      <c r="PJG84" s="1185"/>
      <c r="PJH84" s="1185"/>
      <c r="PJI84" s="1185"/>
      <c r="PJJ84" s="1185"/>
      <c r="PJK84" s="1185"/>
      <c r="PJL84" s="1185"/>
      <c r="PJM84" s="1185"/>
      <c r="PJN84" s="1185"/>
      <c r="PJO84" s="1185"/>
      <c r="PJP84" s="1185"/>
      <c r="PJQ84" s="1185"/>
      <c r="PJR84" s="1185"/>
      <c r="PJS84" s="1185"/>
      <c r="PJT84" s="1185"/>
      <c r="PJU84" s="1185"/>
      <c r="PJV84" s="1185"/>
      <c r="PJW84" s="1185"/>
      <c r="PJX84" s="1185"/>
      <c r="PJY84" s="1185"/>
      <c r="PJZ84" s="1185"/>
      <c r="PKA84" s="1185"/>
      <c r="PKB84" s="1185"/>
      <c r="PKC84" s="1185"/>
      <c r="PKD84" s="1185"/>
      <c r="PKE84" s="1185"/>
      <c r="PKF84" s="1185"/>
      <c r="PKG84" s="1185"/>
      <c r="PKH84" s="1185"/>
      <c r="PKI84" s="1185"/>
      <c r="PKJ84" s="1185"/>
      <c r="PKK84" s="1185"/>
      <c r="PKL84" s="1185"/>
      <c r="PKM84" s="1185"/>
      <c r="PKN84" s="1185"/>
      <c r="PKO84" s="1185"/>
      <c r="PKP84" s="1185"/>
      <c r="PKQ84" s="1185"/>
      <c r="PKR84" s="1185"/>
      <c r="PKS84" s="1185"/>
      <c r="PKT84" s="1185"/>
      <c r="PKU84" s="1185"/>
      <c r="PKV84" s="1185"/>
      <c r="PKW84" s="1185"/>
      <c r="PKX84" s="1185"/>
      <c r="PKY84" s="1185"/>
      <c r="PKZ84" s="1185"/>
      <c r="PLA84" s="1185"/>
      <c r="PLB84" s="1185"/>
      <c r="PLC84" s="1185"/>
      <c r="PLD84" s="1185"/>
      <c r="PLE84" s="1185"/>
      <c r="PLF84" s="1185"/>
      <c r="PLG84" s="1185"/>
      <c r="PLH84" s="1185"/>
      <c r="PLI84" s="1185"/>
      <c r="PLJ84" s="1185"/>
      <c r="PLK84" s="1185"/>
      <c r="PLL84" s="1185"/>
      <c r="PLM84" s="1185"/>
      <c r="PLN84" s="1185"/>
      <c r="PLO84" s="1185"/>
      <c r="PLP84" s="1185"/>
      <c r="PLQ84" s="1185"/>
      <c r="PLR84" s="1185"/>
      <c r="PLS84" s="1185"/>
      <c r="PLT84" s="1185"/>
      <c r="PLU84" s="1185"/>
      <c r="PLV84" s="1185"/>
      <c r="PLW84" s="1185"/>
      <c r="PLX84" s="1185"/>
      <c r="PLY84" s="1185"/>
      <c r="PLZ84" s="1185"/>
      <c r="PMA84" s="1185"/>
      <c r="PMB84" s="1185"/>
      <c r="PMC84" s="1185"/>
      <c r="PMD84" s="1185"/>
      <c r="PME84" s="1185"/>
      <c r="PMF84" s="1185"/>
      <c r="PMG84" s="1185"/>
      <c r="PMH84" s="1185"/>
      <c r="PMI84" s="1185"/>
      <c r="PMJ84" s="1185"/>
      <c r="PMK84" s="1185"/>
      <c r="PML84" s="1185"/>
      <c r="PMM84" s="1185"/>
      <c r="PMN84" s="1185"/>
      <c r="PMO84" s="1185"/>
      <c r="PMP84" s="1185"/>
      <c r="PMQ84" s="1185"/>
      <c r="PMR84" s="1185"/>
      <c r="PMS84" s="1185"/>
      <c r="PMT84" s="1185"/>
      <c r="PMU84" s="1185"/>
      <c r="PMV84" s="1185"/>
      <c r="PMW84" s="1185"/>
      <c r="PMX84" s="1185"/>
      <c r="PMY84" s="1185"/>
      <c r="PMZ84" s="1185"/>
      <c r="PNA84" s="1185"/>
      <c r="PNB84" s="1185"/>
      <c r="PNC84" s="1185"/>
      <c r="PND84" s="1185"/>
      <c r="PNE84" s="1185"/>
      <c r="PNF84" s="1185"/>
      <c r="PNG84" s="1185"/>
      <c r="PNH84" s="1185"/>
      <c r="PNI84" s="1185"/>
      <c r="PNJ84" s="1185"/>
      <c r="PNK84" s="1185"/>
      <c r="PNL84" s="1185"/>
      <c r="PNM84" s="1185"/>
      <c r="PNN84" s="1185"/>
      <c r="PNO84" s="1185"/>
      <c r="PNP84" s="1185"/>
      <c r="PNQ84" s="1185"/>
      <c r="PNR84" s="1185"/>
      <c r="PNS84" s="1185"/>
      <c r="PNT84" s="1185"/>
      <c r="PNU84" s="1185"/>
      <c r="PNV84" s="1185"/>
      <c r="PNW84" s="1185"/>
      <c r="PNX84" s="1185"/>
      <c r="PNY84" s="1185"/>
      <c r="PNZ84" s="1185"/>
      <c r="POA84" s="1185"/>
      <c r="POB84" s="1185"/>
      <c r="POC84" s="1185"/>
      <c r="POD84" s="1185"/>
      <c r="POE84" s="1185"/>
      <c r="POF84" s="1185"/>
      <c r="POG84" s="1185"/>
      <c r="POH84" s="1185"/>
      <c r="POI84" s="1185"/>
      <c r="POJ84" s="1185"/>
      <c r="POK84" s="1185"/>
      <c r="POL84" s="1185"/>
      <c r="POM84" s="1185"/>
      <c r="PON84" s="1185"/>
      <c r="POO84" s="1185"/>
      <c r="POP84" s="1185"/>
      <c r="POQ84" s="1185"/>
      <c r="POR84" s="1185"/>
      <c r="POS84" s="1185"/>
      <c r="POT84" s="1185"/>
      <c r="POU84" s="1185"/>
      <c r="POV84" s="1185"/>
      <c r="POW84" s="1185"/>
      <c r="POX84" s="1185"/>
      <c r="POY84" s="1185"/>
      <c r="POZ84" s="1185"/>
      <c r="PPA84" s="1185"/>
      <c r="PPB84" s="1185"/>
      <c r="PPC84" s="1185"/>
      <c r="PPD84" s="1185"/>
      <c r="PPE84" s="1185"/>
      <c r="PPF84" s="1185"/>
      <c r="PPG84" s="1185"/>
      <c r="PPH84" s="1185"/>
      <c r="PPI84" s="1185"/>
      <c r="PPJ84" s="1185"/>
      <c r="PPK84" s="1185"/>
      <c r="PPL84" s="1185"/>
      <c r="PPM84" s="1185"/>
      <c r="PPN84" s="1185"/>
      <c r="PPO84" s="1185"/>
      <c r="PPP84" s="1185"/>
      <c r="PPQ84" s="1185"/>
      <c r="PPR84" s="1185"/>
      <c r="PPS84" s="1185"/>
      <c r="PPT84" s="1185"/>
      <c r="PPU84" s="1185"/>
      <c r="PPV84" s="1185"/>
      <c r="PPW84" s="1185"/>
      <c r="PPX84" s="1185"/>
      <c r="PPY84" s="1185"/>
      <c r="PPZ84" s="1185"/>
      <c r="PQA84" s="1185"/>
      <c r="PQB84" s="1185"/>
      <c r="PQC84" s="1185"/>
      <c r="PQD84" s="1185"/>
      <c r="PQE84" s="1185"/>
      <c r="PQF84" s="1185"/>
      <c r="PQG84" s="1185"/>
      <c r="PQH84" s="1185"/>
      <c r="PQI84" s="1185"/>
      <c r="PQJ84" s="1185"/>
      <c r="PQK84" s="1185"/>
      <c r="PQL84" s="1185"/>
      <c r="PQM84" s="1185"/>
      <c r="PQN84" s="1185"/>
      <c r="PQO84" s="1185"/>
      <c r="PQP84" s="1185"/>
      <c r="PQQ84" s="1185"/>
      <c r="PQR84" s="1185"/>
      <c r="PQS84" s="1185"/>
      <c r="PQT84" s="1185"/>
      <c r="PQU84" s="1185"/>
      <c r="PQV84" s="1185"/>
      <c r="PQW84" s="1185"/>
      <c r="PQX84" s="1185"/>
      <c r="PQY84" s="1185"/>
      <c r="PQZ84" s="1185"/>
      <c r="PRA84" s="1185"/>
      <c r="PRB84" s="1185"/>
      <c r="PRC84" s="1185"/>
      <c r="PRD84" s="1185"/>
      <c r="PRE84" s="1185"/>
      <c r="PRF84" s="1185"/>
      <c r="PRG84" s="1185"/>
      <c r="PRH84" s="1185"/>
      <c r="PRI84" s="1185"/>
      <c r="PRJ84" s="1185"/>
      <c r="PRK84" s="1185"/>
      <c r="PRL84" s="1185"/>
      <c r="PRM84" s="1185"/>
      <c r="PRN84" s="1185"/>
      <c r="PRO84" s="1185"/>
      <c r="PRP84" s="1185"/>
      <c r="PRQ84" s="1185"/>
      <c r="PRR84" s="1185"/>
      <c r="PRS84" s="1185"/>
      <c r="PRT84" s="1185"/>
      <c r="PRU84" s="1185"/>
      <c r="PRV84" s="1185"/>
      <c r="PRW84" s="1185"/>
      <c r="PRX84" s="1185"/>
      <c r="PRY84" s="1185"/>
      <c r="PRZ84" s="1185"/>
      <c r="PSA84" s="1185"/>
      <c r="PSB84" s="1185"/>
      <c r="PSC84" s="1185"/>
      <c r="PSD84" s="1185"/>
      <c r="PSE84" s="1185"/>
      <c r="PSF84" s="1185"/>
      <c r="PSG84" s="1185"/>
      <c r="PSH84" s="1185"/>
      <c r="PSI84" s="1185"/>
      <c r="PSJ84" s="1185"/>
      <c r="PSK84" s="1185"/>
      <c r="PSL84" s="1185"/>
      <c r="PSM84" s="1185"/>
      <c r="PSN84" s="1185"/>
      <c r="PSO84" s="1185"/>
      <c r="PSP84" s="1185"/>
      <c r="PSQ84" s="1185"/>
      <c r="PSR84" s="1185"/>
      <c r="PSS84" s="1185"/>
      <c r="PST84" s="1185"/>
      <c r="PSU84" s="1185"/>
      <c r="PSV84" s="1185"/>
      <c r="PSW84" s="1185"/>
      <c r="PSX84" s="1185"/>
      <c r="PSY84" s="1185"/>
      <c r="PSZ84" s="1185"/>
      <c r="PTA84" s="1185"/>
      <c r="PTB84" s="1185"/>
      <c r="PTC84" s="1185"/>
      <c r="PTD84" s="1185"/>
      <c r="PTE84" s="1185"/>
      <c r="PTF84" s="1185"/>
      <c r="PTG84" s="1185"/>
      <c r="PTH84" s="1185"/>
      <c r="PTI84" s="1185"/>
      <c r="PTJ84" s="1185"/>
      <c r="PTK84" s="1185"/>
      <c r="PTL84" s="1185"/>
      <c r="PTM84" s="1185"/>
      <c r="PTN84" s="1185"/>
      <c r="PTO84" s="1185"/>
      <c r="PTP84" s="1185"/>
      <c r="PTQ84" s="1185"/>
      <c r="PTR84" s="1185"/>
      <c r="PTS84" s="1185"/>
      <c r="PTT84" s="1185"/>
      <c r="PTU84" s="1185"/>
      <c r="PTV84" s="1185"/>
      <c r="PTW84" s="1185"/>
      <c r="PTX84" s="1185"/>
      <c r="PTY84" s="1185"/>
      <c r="PTZ84" s="1185"/>
      <c r="PUA84" s="1185"/>
      <c r="PUB84" s="1185"/>
      <c r="PUC84" s="1185"/>
      <c r="PUD84" s="1185"/>
      <c r="PUE84" s="1185"/>
      <c r="PUF84" s="1185"/>
      <c r="PUG84" s="1185"/>
      <c r="PUH84" s="1185"/>
      <c r="PUI84" s="1185"/>
      <c r="PUJ84" s="1185"/>
      <c r="PUK84" s="1185"/>
      <c r="PUL84" s="1185"/>
      <c r="PUM84" s="1185"/>
      <c r="PUN84" s="1185"/>
      <c r="PUO84" s="1185"/>
      <c r="PUP84" s="1185"/>
      <c r="PUQ84" s="1185"/>
      <c r="PUR84" s="1185"/>
      <c r="PUS84" s="1185"/>
      <c r="PUT84" s="1185"/>
      <c r="PUU84" s="1185"/>
      <c r="PUV84" s="1185"/>
      <c r="PUW84" s="1185"/>
      <c r="PUX84" s="1185"/>
      <c r="PUY84" s="1185"/>
      <c r="PUZ84" s="1185"/>
      <c r="PVA84" s="1185"/>
      <c r="PVB84" s="1185"/>
      <c r="PVC84" s="1185"/>
      <c r="PVD84" s="1185"/>
      <c r="PVE84" s="1185"/>
      <c r="PVF84" s="1185"/>
      <c r="PVG84" s="1185"/>
      <c r="PVH84" s="1185"/>
      <c r="PVI84" s="1185"/>
      <c r="PVJ84" s="1185"/>
      <c r="PVK84" s="1185"/>
      <c r="PVL84" s="1185"/>
      <c r="PVM84" s="1185"/>
      <c r="PVN84" s="1185"/>
      <c r="PVO84" s="1185"/>
      <c r="PVP84" s="1185"/>
      <c r="PVQ84" s="1185"/>
      <c r="PVR84" s="1185"/>
      <c r="PVS84" s="1185"/>
      <c r="PVT84" s="1185"/>
      <c r="PVU84" s="1185"/>
      <c r="PVV84" s="1185"/>
      <c r="PVW84" s="1185"/>
      <c r="PVX84" s="1185"/>
      <c r="PVY84" s="1185"/>
      <c r="PVZ84" s="1185"/>
      <c r="PWA84" s="1185"/>
      <c r="PWB84" s="1185"/>
      <c r="PWC84" s="1185"/>
      <c r="PWD84" s="1185"/>
      <c r="PWE84" s="1185"/>
      <c r="PWF84" s="1185"/>
      <c r="PWG84" s="1185"/>
      <c r="PWH84" s="1185"/>
      <c r="PWI84" s="1185"/>
      <c r="PWJ84" s="1185"/>
      <c r="PWK84" s="1185"/>
      <c r="PWL84" s="1185"/>
      <c r="PWM84" s="1185"/>
      <c r="PWN84" s="1185"/>
      <c r="PWO84" s="1185"/>
      <c r="PWP84" s="1185"/>
      <c r="PWQ84" s="1185"/>
      <c r="PWR84" s="1185"/>
      <c r="PWS84" s="1185"/>
      <c r="PWT84" s="1185"/>
      <c r="PWU84" s="1185"/>
      <c r="PWV84" s="1185"/>
      <c r="PWW84" s="1185"/>
      <c r="PWX84" s="1185"/>
      <c r="PWY84" s="1185"/>
      <c r="PWZ84" s="1185"/>
      <c r="PXA84" s="1185"/>
      <c r="PXB84" s="1185"/>
      <c r="PXC84" s="1185"/>
      <c r="PXD84" s="1185"/>
      <c r="PXE84" s="1185"/>
      <c r="PXF84" s="1185"/>
      <c r="PXG84" s="1185"/>
      <c r="PXH84" s="1185"/>
      <c r="PXI84" s="1185"/>
      <c r="PXJ84" s="1185"/>
      <c r="PXK84" s="1185"/>
      <c r="PXL84" s="1185"/>
      <c r="PXM84" s="1185"/>
      <c r="PXN84" s="1185"/>
      <c r="PXO84" s="1185"/>
      <c r="PXP84" s="1185"/>
      <c r="PXQ84" s="1185"/>
      <c r="PXR84" s="1185"/>
      <c r="PXS84" s="1185"/>
      <c r="PXT84" s="1185"/>
      <c r="PXU84" s="1185"/>
      <c r="PXV84" s="1185"/>
      <c r="PXW84" s="1185"/>
      <c r="PXX84" s="1185"/>
      <c r="PXY84" s="1185"/>
      <c r="PXZ84" s="1185"/>
      <c r="PYA84" s="1185"/>
      <c r="PYB84" s="1185"/>
      <c r="PYC84" s="1185"/>
      <c r="PYD84" s="1185"/>
      <c r="PYE84" s="1185"/>
      <c r="PYF84" s="1185"/>
      <c r="PYG84" s="1185"/>
      <c r="PYH84" s="1185"/>
      <c r="PYI84" s="1185"/>
      <c r="PYJ84" s="1185"/>
      <c r="PYK84" s="1185"/>
      <c r="PYL84" s="1185"/>
      <c r="PYM84" s="1185"/>
      <c r="PYN84" s="1185"/>
      <c r="PYO84" s="1185"/>
      <c r="PYP84" s="1185"/>
      <c r="PYQ84" s="1185"/>
      <c r="PYR84" s="1185"/>
      <c r="PYS84" s="1185"/>
      <c r="PYT84" s="1185"/>
      <c r="PYU84" s="1185"/>
      <c r="PYV84" s="1185"/>
      <c r="PYW84" s="1185"/>
      <c r="PYX84" s="1185"/>
      <c r="PYY84" s="1185"/>
      <c r="PYZ84" s="1185"/>
      <c r="PZA84" s="1185"/>
      <c r="PZB84" s="1185"/>
      <c r="PZC84" s="1185"/>
      <c r="PZD84" s="1185"/>
      <c r="PZE84" s="1185"/>
      <c r="PZF84" s="1185"/>
      <c r="PZG84" s="1185"/>
      <c r="PZH84" s="1185"/>
      <c r="PZI84" s="1185"/>
      <c r="PZJ84" s="1185"/>
      <c r="PZK84" s="1185"/>
      <c r="PZL84" s="1185"/>
      <c r="PZM84" s="1185"/>
      <c r="PZN84" s="1185"/>
      <c r="PZO84" s="1185"/>
      <c r="PZP84" s="1185"/>
      <c r="PZQ84" s="1185"/>
      <c r="PZR84" s="1185"/>
      <c r="PZS84" s="1185"/>
      <c r="PZT84" s="1185"/>
      <c r="PZU84" s="1185"/>
      <c r="PZV84" s="1185"/>
      <c r="PZW84" s="1185"/>
      <c r="PZX84" s="1185"/>
      <c r="PZY84" s="1185"/>
      <c r="PZZ84" s="1185"/>
      <c r="QAA84" s="1185"/>
      <c r="QAB84" s="1185"/>
      <c r="QAC84" s="1185"/>
      <c r="QAD84" s="1185"/>
      <c r="QAE84" s="1185"/>
      <c r="QAF84" s="1185"/>
      <c r="QAG84" s="1185"/>
      <c r="QAH84" s="1185"/>
      <c r="QAI84" s="1185"/>
      <c r="QAJ84" s="1185"/>
      <c r="QAK84" s="1185"/>
      <c r="QAL84" s="1185"/>
      <c r="QAM84" s="1185"/>
      <c r="QAN84" s="1185"/>
      <c r="QAO84" s="1185"/>
      <c r="QAP84" s="1185"/>
      <c r="QAQ84" s="1185"/>
      <c r="QAR84" s="1185"/>
      <c r="QAS84" s="1185"/>
      <c r="QAT84" s="1185"/>
      <c r="QAU84" s="1185"/>
      <c r="QAV84" s="1185"/>
      <c r="QAW84" s="1185"/>
      <c r="QAX84" s="1185"/>
      <c r="QAY84" s="1185"/>
      <c r="QAZ84" s="1185"/>
      <c r="QBA84" s="1185"/>
      <c r="QBB84" s="1185"/>
      <c r="QBC84" s="1185"/>
      <c r="QBD84" s="1185"/>
      <c r="QBE84" s="1185"/>
      <c r="QBF84" s="1185"/>
      <c r="QBG84" s="1185"/>
      <c r="QBH84" s="1185"/>
      <c r="QBI84" s="1185"/>
      <c r="QBJ84" s="1185"/>
      <c r="QBK84" s="1185"/>
      <c r="QBL84" s="1185"/>
      <c r="QBM84" s="1185"/>
      <c r="QBN84" s="1185"/>
      <c r="QBO84" s="1185"/>
      <c r="QBP84" s="1185"/>
      <c r="QBQ84" s="1185"/>
      <c r="QBR84" s="1185"/>
      <c r="QBS84" s="1185"/>
      <c r="QBT84" s="1185"/>
      <c r="QBU84" s="1185"/>
      <c r="QBV84" s="1185"/>
      <c r="QBW84" s="1185"/>
      <c r="QBX84" s="1185"/>
      <c r="QBY84" s="1185"/>
      <c r="QBZ84" s="1185"/>
      <c r="QCA84" s="1185"/>
      <c r="QCB84" s="1185"/>
      <c r="QCC84" s="1185"/>
      <c r="QCD84" s="1185"/>
      <c r="QCE84" s="1185"/>
      <c r="QCF84" s="1185"/>
      <c r="QCG84" s="1185"/>
      <c r="QCH84" s="1185"/>
      <c r="QCI84" s="1185"/>
      <c r="QCJ84" s="1185"/>
      <c r="QCK84" s="1185"/>
      <c r="QCL84" s="1185"/>
      <c r="QCM84" s="1185"/>
      <c r="QCN84" s="1185"/>
      <c r="QCO84" s="1185"/>
      <c r="QCP84" s="1185"/>
      <c r="QCQ84" s="1185"/>
      <c r="QCR84" s="1185"/>
      <c r="QCS84" s="1185"/>
      <c r="QCT84" s="1185"/>
      <c r="QCU84" s="1185"/>
      <c r="QCV84" s="1185"/>
      <c r="QCW84" s="1185"/>
      <c r="QCX84" s="1185"/>
      <c r="QCY84" s="1185"/>
      <c r="QCZ84" s="1185"/>
      <c r="QDA84" s="1185"/>
      <c r="QDB84" s="1185"/>
      <c r="QDC84" s="1185"/>
      <c r="QDD84" s="1185"/>
      <c r="QDE84" s="1185"/>
      <c r="QDF84" s="1185"/>
      <c r="QDG84" s="1185"/>
      <c r="QDH84" s="1185"/>
      <c r="QDI84" s="1185"/>
      <c r="QDJ84" s="1185"/>
      <c r="QDK84" s="1185"/>
      <c r="QDL84" s="1185"/>
      <c r="QDM84" s="1185"/>
      <c r="QDN84" s="1185"/>
      <c r="QDO84" s="1185"/>
      <c r="QDP84" s="1185"/>
      <c r="QDQ84" s="1185"/>
      <c r="QDR84" s="1185"/>
      <c r="QDS84" s="1185"/>
      <c r="QDT84" s="1185"/>
      <c r="QDU84" s="1185"/>
      <c r="QDV84" s="1185"/>
      <c r="QDW84" s="1185"/>
      <c r="QDX84" s="1185"/>
      <c r="QDY84" s="1185"/>
      <c r="QDZ84" s="1185"/>
      <c r="QEA84" s="1185"/>
      <c r="QEB84" s="1185"/>
      <c r="QEC84" s="1185"/>
      <c r="QED84" s="1185"/>
      <c r="QEE84" s="1185"/>
      <c r="QEF84" s="1185"/>
      <c r="QEG84" s="1185"/>
      <c r="QEH84" s="1185"/>
      <c r="QEI84" s="1185"/>
      <c r="QEJ84" s="1185"/>
      <c r="QEK84" s="1185"/>
      <c r="QEL84" s="1185"/>
      <c r="QEM84" s="1185"/>
      <c r="QEN84" s="1185"/>
      <c r="QEO84" s="1185"/>
      <c r="QEP84" s="1185"/>
      <c r="QEQ84" s="1185"/>
      <c r="QER84" s="1185"/>
      <c r="QES84" s="1185"/>
      <c r="QET84" s="1185"/>
      <c r="QEU84" s="1185"/>
      <c r="QEV84" s="1185"/>
      <c r="QEW84" s="1185"/>
      <c r="QEX84" s="1185"/>
      <c r="QEY84" s="1185"/>
      <c r="QEZ84" s="1185"/>
      <c r="QFA84" s="1185"/>
      <c r="QFB84" s="1185"/>
      <c r="QFC84" s="1185"/>
      <c r="QFD84" s="1185"/>
      <c r="QFE84" s="1185"/>
      <c r="QFF84" s="1185"/>
      <c r="QFG84" s="1185"/>
      <c r="QFH84" s="1185"/>
      <c r="QFI84" s="1185"/>
      <c r="QFJ84" s="1185"/>
      <c r="QFK84" s="1185"/>
      <c r="QFL84" s="1185"/>
      <c r="QFM84" s="1185"/>
      <c r="QFN84" s="1185"/>
      <c r="QFO84" s="1185"/>
      <c r="QFP84" s="1185"/>
      <c r="QFQ84" s="1185"/>
      <c r="QFR84" s="1185"/>
      <c r="QFS84" s="1185"/>
      <c r="QFT84" s="1185"/>
      <c r="QFU84" s="1185"/>
      <c r="QFV84" s="1185"/>
      <c r="QFW84" s="1185"/>
      <c r="QFX84" s="1185"/>
      <c r="QFY84" s="1185"/>
      <c r="QFZ84" s="1185"/>
      <c r="QGA84" s="1185"/>
      <c r="QGB84" s="1185"/>
      <c r="QGC84" s="1185"/>
      <c r="QGD84" s="1185"/>
      <c r="QGE84" s="1185"/>
      <c r="QGF84" s="1185"/>
      <c r="QGG84" s="1185"/>
      <c r="QGH84" s="1185"/>
      <c r="QGI84" s="1185"/>
      <c r="QGJ84" s="1185"/>
      <c r="QGK84" s="1185"/>
      <c r="QGL84" s="1185"/>
      <c r="QGM84" s="1185"/>
      <c r="QGN84" s="1185"/>
      <c r="QGO84" s="1185"/>
      <c r="QGP84" s="1185"/>
      <c r="QGQ84" s="1185"/>
      <c r="QGR84" s="1185"/>
      <c r="QGS84" s="1185"/>
      <c r="QGT84" s="1185"/>
      <c r="QGU84" s="1185"/>
      <c r="QGV84" s="1185"/>
      <c r="QGW84" s="1185"/>
      <c r="QGX84" s="1185"/>
      <c r="QGY84" s="1185"/>
      <c r="QGZ84" s="1185"/>
      <c r="QHA84" s="1185"/>
      <c r="QHB84" s="1185"/>
      <c r="QHC84" s="1185"/>
      <c r="QHD84" s="1185"/>
      <c r="QHE84" s="1185"/>
      <c r="QHF84" s="1185"/>
      <c r="QHG84" s="1185"/>
      <c r="QHH84" s="1185"/>
      <c r="QHI84" s="1185"/>
      <c r="QHJ84" s="1185"/>
      <c r="QHK84" s="1185"/>
      <c r="QHL84" s="1185"/>
      <c r="QHM84" s="1185"/>
      <c r="QHN84" s="1185"/>
      <c r="QHO84" s="1185"/>
      <c r="QHP84" s="1185"/>
      <c r="QHQ84" s="1185"/>
      <c r="QHR84" s="1185"/>
      <c r="QHS84" s="1185"/>
      <c r="QHT84" s="1185"/>
      <c r="QHU84" s="1185"/>
      <c r="QHV84" s="1185"/>
      <c r="QHW84" s="1185"/>
      <c r="QHX84" s="1185"/>
      <c r="QHY84" s="1185"/>
      <c r="QHZ84" s="1185"/>
      <c r="QIA84" s="1185"/>
      <c r="QIB84" s="1185"/>
      <c r="QIC84" s="1185"/>
      <c r="QID84" s="1185"/>
      <c r="QIE84" s="1185"/>
      <c r="QIF84" s="1185"/>
      <c r="QIG84" s="1185"/>
      <c r="QIH84" s="1185"/>
      <c r="QII84" s="1185"/>
      <c r="QIJ84" s="1185"/>
      <c r="QIK84" s="1185"/>
      <c r="QIL84" s="1185"/>
      <c r="QIM84" s="1185"/>
      <c r="QIN84" s="1185"/>
      <c r="QIO84" s="1185"/>
      <c r="QIP84" s="1185"/>
      <c r="QIQ84" s="1185"/>
      <c r="QIR84" s="1185"/>
      <c r="QIS84" s="1185"/>
      <c r="QIT84" s="1185"/>
      <c r="QIU84" s="1185"/>
      <c r="QIV84" s="1185"/>
      <c r="QIW84" s="1185"/>
      <c r="QIX84" s="1185"/>
      <c r="QIY84" s="1185"/>
      <c r="QIZ84" s="1185"/>
      <c r="QJA84" s="1185"/>
      <c r="QJB84" s="1185"/>
      <c r="QJC84" s="1185"/>
      <c r="QJD84" s="1185"/>
      <c r="QJE84" s="1185"/>
      <c r="QJF84" s="1185"/>
      <c r="QJG84" s="1185"/>
      <c r="QJH84" s="1185"/>
      <c r="QJI84" s="1185"/>
      <c r="QJJ84" s="1185"/>
      <c r="QJK84" s="1185"/>
      <c r="QJL84" s="1185"/>
      <c r="QJM84" s="1185"/>
      <c r="QJN84" s="1185"/>
      <c r="QJO84" s="1185"/>
      <c r="QJP84" s="1185"/>
      <c r="QJQ84" s="1185"/>
      <c r="QJR84" s="1185"/>
      <c r="QJS84" s="1185"/>
      <c r="QJT84" s="1185"/>
      <c r="QJU84" s="1185"/>
      <c r="QJV84" s="1185"/>
      <c r="QJW84" s="1185"/>
      <c r="QJX84" s="1185"/>
      <c r="QJY84" s="1185"/>
      <c r="QJZ84" s="1185"/>
      <c r="QKA84" s="1185"/>
      <c r="QKB84" s="1185"/>
      <c r="QKC84" s="1185"/>
      <c r="QKD84" s="1185"/>
      <c r="QKE84" s="1185"/>
      <c r="QKF84" s="1185"/>
      <c r="QKG84" s="1185"/>
      <c r="QKH84" s="1185"/>
      <c r="QKI84" s="1185"/>
      <c r="QKJ84" s="1185"/>
      <c r="QKK84" s="1185"/>
      <c r="QKL84" s="1185"/>
      <c r="QKM84" s="1185"/>
      <c r="QKN84" s="1185"/>
      <c r="QKO84" s="1185"/>
      <c r="QKP84" s="1185"/>
      <c r="QKQ84" s="1185"/>
      <c r="QKR84" s="1185"/>
      <c r="QKS84" s="1185"/>
      <c r="QKT84" s="1185"/>
      <c r="QKU84" s="1185"/>
      <c r="QKV84" s="1185"/>
      <c r="QKW84" s="1185"/>
      <c r="QKX84" s="1185"/>
      <c r="QKY84" s="1185"/>
      <c r="QKZ84" s="1185"/>
      <c r="QLA84" s="1185"/>
      <c r="QLB84" s="1185"/>
      <c r="QLC84" s="1185"/>
      <c r="QLD84" s="1185"/>
      <c r="QLE84" s="1185"/>
      <c r="QLF84" s="1185"/>
      <c r="QLG84" s="1185"/>
      <c r="QLH84" s="1185"/>
      <c r="QLI84" s="1185"/>
      <c r="QLJ84" s="1185"/>
      <c r="QLK84" s="1185"/>
      <c r="QLL84" s="1185"/>
      <c r="QLM84" s="1185"/>
      <c r="QLN84" s="1185"/>
      <c r="QLO84" s="1185"/>
      <c r="QLP84" s="1185"/>
      <c r="QLQ84" s="1185"/>
      <c r="QLR84" s="1185"/>
      <c r="QLS84" s="1185"/>
      <c r="QLT84" s="1185"/>
      <c r="QLU84" s="1185"/>
      <c r="QLV84" s="1185"/>
      <c r="QLW84" s="1185"/>
      <c r="QLX84" s="1185"/>
      <c r="QLY84" s="1185"/>
      <c r="QLZ84" s="1185"/>
      <c r="QMA84" s="1185"/>
      <c r="QMB84" s="1185"/>
      <c r="QMC84" s="1185"/>
      <c r="QMD84" s="1185"/>
      <c r="QME84" s="1185"/>
      <c r="QMF84" s="1185"/>
      <c r="QMG84" s="1185"/>
      <c r="QMH84" s="1185"/>
      <c r="QMI84" s="1185"/>
      <c r="QMJ84" s="1185"/>
      <c r="QMK84" s="1185"/>
      <c r="QML84" s="1185"/>
      <c r="QMM84" s="1185"/>
      <c r="QMN84" s="1185"/>
      <c r="QMO84" s="1185"/>
      <c r="QMP84" s="1185"/>
      <c r="QMQ84" s="1185"/>
      <c r="QMR84" s="1185"/>
      <c r="QMS84" s="1185"/>
      <c r="QMT84" s="1185"/>
      <c r="QMU84" s="1185"/>
      <c r="QMV84" s="1185"/>
      <c r="QMW84" s="1185"/>
      <c r="QMX84" s="1185"/>
      <c r="QMY84" s="1185"/>
      <c r="QMZ84" s="1185"/>
      <c r="QNA84" s="1185"/>
      <c r="QNB84" s="1185"/>
      <c r="QNC84" s="1185"/>
      <c r="QND84" s="1185"/>
      <c r="QNE84" s="1185"/>
      <c r="QNF84" s="1185"/>
      <c r="QNG84" s="1185"/>
      <c r="QNH84" s="1185"/>
      <c r="QNI84" s="1185"/>
      <c r="QNJ84" s="1185"/>
      <c r="QNK84" s="1185"/>
      <c r="QNL84" s="1185"/>
      <c r="QNM84" s="1185"/>
      <c r="QNN84" s="1185"/>
      <c r="QNO84" s="1185"/>
      <c r="QNP84" s="1185"/>
      <c r="QNQ84" s="1185"/>
      <c r="QNR84" s="1185"/>
      <c r="QNS84" s="1185"/>
      <c r="QNT84" s="1185"/>
      <c r="QNU84" s="1185"/>
      <c r="QNV84" s="1185"/>
      <c r="QNW84" s="1185"/>
      <c r="QNX84" s="1185"/>
      <c r="QNY84" s="1185"/>
      <c r="QNZ84" s="1185"/>
      <c r="QOA84" s="1185"/>
      <c r="QOB84" s="1185"/>
      <c r="QOC84" s="1185"/>
      <c r="QOD84" s="1185"/>
      <c r="QOE84" s="1185"/>
      <c r="QOF84" s="1185"/>
      <c r="QOG84" s="1185"/>
      <c r="QOH84" s="1185"/>
      <c r="QOI84" s="1185"/>
      <c r="QOJ84" s="1185"/>
      <c r="QOK84" s="1185"/>
      <c r="QOL84" s="1185"/>
      <c r="QOM84" s="1185"/>
      <c r="QON84" s="1185"/>
      <c r="QOO84" s="1185"/>
      <c r="QOP84" s="1185"/>
      <c r="QOQ84" s="1185"/>
      <c r="QOR84" s="1185"/>
      <c r="QOS84" s="1185"/>
      <c r="QOT84" s="1185"/>
      <c r="QOU84" s="1185"/>
      <c r="QOV84" s="1185"/>
      <c r="QOW84" s="1185"/>
      <c r="QOX84" s="1185"/>
      <c r="QOY84" s="1185"/>
      <c r="QOZ84" s="1185"/>
      <c r="QPA84" s="1185"/>
      <c r="QPB84" s="1185"/>
      <c r="QPC84" s="1185"/>
      <c r="QPD84" s="1185"/>
      <c r="QPE84" s="1185"/>
      <c r="QPF84" s="1185"/>
      <c r="QPG84" s="1185"/>
      <c r="QPH84" s="1185"/>
      <c r="QPI84" s="1185"/>
      <c r="QPJ84" s="1185"/>
      <c r="QPK84" s="1185"/>
      <c r="QPL84" s="1185"/>
      <c r="QPM84" s="1185"/>
      <c r="QPN84" s="1185"/>
      <c r="QPO84" s="1185"/>
      <c r="QPP84" s="1185"/>
      <c r="QPQ84" s="1185"/>
      <c r="QPR84" s="1185"/>
      <c r="QPS84" s="1185"/>
      <c r="QPT84" s="1185"/>
      <c r="QPU84" s="1185"/>
      <c r="QPV84" s="1185"/>
      <c r="QPW84" s="1185"/>
      <c r="QPX84" s="1185"/>
      <c r="QPY84" s="1185"/>
      <c r="QPZ84" s="1185"/>
      <c r="QQA84" s="1185"/>
      <c r="QQB84" s="1185"/>
      <c r="QQC84" s="1185"/>
      <c r="QQD84" s="1185"/>
      <c r="QQE84" s="1185"/>
      <c r="QQF84" s="1185"/>
      <c r="QQG84" s="1185"/>
      <c r="QQH84" s="1185"/>
      <c r="QQI84" s="1185"/>
      <c r="QQJ84" s="1185"/>
      <c r="QQK84" s="1185"/>
      <c r="QQL84" s="1185"/>
      <c r="QQM84" s="1185"/>
      <c r="QQN84" s="1185"/>
      <c r="QQO84" s="1185"/>
      <c r="QQP84" s="1185"/>
      <c r="QQQ84" s="1185"/>
      <c r="QQR84" s="1185"/>
      <c r="QQS84" s="1185"/>
      <c r="QQT84" s="1185"/>
      <c r="QQU84" s="1185"/>
      <c r="QQV84" s="1185"/>
      <c r="QQW84" s="1185"/>
      <c r="QQX84" s="1185"/>
      <c r="QQY84" s="1185"/>
      <c r="QQZ84" s="1185"/>
      <c r="QRA84" s="1185"/>
      <c r="QRB84" s="1185"/>
      <c r="QRC84" s="1185"/>
      <c r="QRD84" s="1185"/>
      <c r="QRE84" s="1185"/>
      <c r="QRF84" s="1185"/>
      <c r="QRG84" s="1185"/>
      <c r="QRH84" s="1185"/>
      <c r="QRI84" s="1185"/>
      <c r="QRJ84" s="1185"/>
      <c r="QRK84" s="1185"/>
      <c r="QRL84" s="1185"/>
      <c r="QRM84" s="1185"/>
      <c r="QRN84" s="1185"/>
      <c r="QRO84" s="1185"/>
      <c r="QRP84" s="1185"/>
      <c r="QRQ84" s="1185"/>
      <c r="QRR84" s="1185"/>
      <c r="QRS84" s="1185"/>
      <c r="QRT84" s="1185"/>
      <c r="QRU84" s="1185"/>
      <c r="QRV84" s="1185"/>
      <c r="QRW84" s="1185"/>
      <c r="QRX84" s="1185"/>
      <c r="QRY84" s="1185"/>
      <c r="QRZ84" s="1185"/>
      <c r="QSA84" s="1185"/>
      <c r="QSB84" s="1185"/>
      <c r="QSC84" s="1185"/>
      <c r="QSD84" s="1185"/>
      <c r="QSE84" s="1185"/>
      <c r="QSF84" s="1185"/>
      <c r="QSG84" s="1185"/>
      <c r="QSH84" s="1185"/>
      <c r="QSI84" s="1185"/>
      <c r="QSJ84" s="1185"/>
      <c r="QSK84" s="1185"/>
      <c r="QSL84" s="1185"/>
      <c r="QSM84" s="1185"/>
      <c r="QSN84" s="1185"/>
      <c r="QSO84" s="1185"/>
      <c r="QSP84" s="1185"/>
      <c r="QSQ84" s="1185"/>
      <c r="QSR84" s="1185"/>
      <c r="QSS84" s="1185"/>
      <c r="QST84" s="1185"/>
      <c r="QSU84" s="1185"/>
      <c r="QSV84" s="1185"/>
      <c r="QSW84" s="1185"/>
      <c r="QSX84" s="1185"/>
      <c r="QSY84" s="1185"/>
      <c r="QSZ84" s="1185"/>
      <c r="QTA84" s="1185"/>
      <c r="QTB84" s="1185"/>
      <c r="QTC84" s="1185"/>
      <c r="QTD84" s="1185"/>
      <c r="QTE84" s="1185"/>
      <c r="QTF84" s="1185"/>
      <c r="QTG84" s="1185"/>
      <c r="QTH84" s="1185"/>
      <c r="QTI84" s="1185"/>
      <c r="QTJ84" s="1185"/>
      <c r="QTK84" s="1185"/>
      <c r="QTL84" s="1185"/>
      <c r="QTM84" s="1185"/>
      <c r="QTN84" s="1185"/>
      <c r="QTO84" s="1185"/>
      <c r="QTP84" s="1185"/>
      <c r="QTQ84" s="1185"/>
      <c r="QTR84" s="1185"/>
      <c r="QTS84" s="1185"/>
      <c r="QTT84" s="1185"/>
      <c r="QTU84" s="1185"/>
      <c r="QTV84" s="1185"/>
      <c r="QTW84" s="1185"/>
      <c r="QTX84" s="1185"/>
      <c r="QTY84" s="1185"/>
      <c r="QTZ84" s="1185"/>
      <c r="QUA84" s="1185"/>
      <c r="QUB84" s="1185"/>
      <c r="QUC84" s="1185"/>
      <c r="QUD84" s="1185"/>
      <c r="QUE84" s="1185"/>
      <c r="QUF84" s="1185"/>
      <c r="QUG84" s="1185"/>
      <c r="QUH84" s="1185"/>
      <c r="QUI84" s="1185"/>
      <c r="QUJ84" s="1185"/>
      <c r="QUK84" s="1185"/>
      <c r="QUL84" s="1185"/>
      <c r="QUM84" s="1185"/>
      <c r="QUN84" s="1185"/>
      <c r="QUO84" s="1185"/>
      <c r="QUP84" s="1185"/>
      <c r="QUQ84" s="1185"/>
      <c r="QUR84" s="1185"/>
      <c r="QUS84" s="1185"/>
      <c r="QUT84" s="1185"/>
      <c r="QUU84" s="1185"/>
      <c r="QUV84" s="1185"/>
      <c r="QUW84" s="1185"/>
      <c r="QUX84" s="1185"/>
      <c r="QUY84" s="1185"/>
      <c r="QUZ84" s="1185"/>
      <c r="QVA84" s="1185"/>
      <c r="QVB84" s="1185"/>
      <c r="QVC84" s="1185"/>
      <c r="QVD84" s="1185"/>
      <c r="QVE84" s="1185"/>
      <c r="QVF84" s="1185"/>
      <c r="QVG84" s="1185"/>
      <c r="QVH84" s="1185"/>
      <c r="QVI84" s="1185"/>
      <c r="QVJ84" s="1185"/>
      <c r="QVK84" s="1185"/>
      <c r="QVL84" s="1185"/>
      <c r="QVM84" s="1185"/>
      <c r="QVN84" s="1185"/>
      <c r="QVO84" s="1185"/>
      <c r="QVP84" s="1185"/>
      <c r="QVQ84" s="1185"/>
      <c r="QVR84" s="1185"/>
      <c r="QVS84" s="1185"/>
      <c r="QVT84" s="1185"/>
      <c r="QVU84" s="1185"/>
      <c r="QVV84" s="1185"/>
      <c r="QVW84" s="1185"/>
      <c r="QVX84" s="1185"/>
      <c r="QVY84" s="1185"/>
      <c r="QVZ84" s="1185"/>
      <c r="QWA84" s="1185"/>
      <c r="QWB84" s="1185"/>
      <c r="QWC84" s="1185"/>
      <c r="QWD84" s="1185"/>
      <c r="QWE84" s="1185"/>
      <c r="QWF84" s="1185"/>
      <c r="QWG84" s="1185"/>
      <c r="QWH84" s="1185"/>
      <c r="QWI84" s="1185"/>
      <c r="QWJ84" s="1185"/>
      <c r="QWK84" s="1185"/>
      <c r="QWL84" s="1185"/>
      <c r="QWM84" s="1185"/>
      <c r="QWN84" s="1185"/>
      <c r="QWO84" s="1185"/>
      <c r="QWP84" s="1185"/>
      <c r="QWQ84" s="1185"/>
      <c r="QWR84" s="1185"/>
      <c r="QWS84" s="1185"/>
      <c r="QWT84" s="1185"/>
      <c r="QWU84" s="1185"/>
      <c r="QWV84" s="1185"/>
      <c r="QWW84" s="1185"/>
      <c r="QWX84" s="1185"/>
      <c r="QWY84" s="1185"/>
      <c r="QWZ84" s="1185"/>
      <c r="QXA84" s="1185"/>
      <c r="QXB84" s="1185"/>
      <c r="QXC84" s="1185"/>
      <c r="QXD84" s="1185"/>
      <c r="QXE84" s="1185"/>
      <c r="QXF84" s="1185"/>
      <c r="QXG84" s="1185"/>
      <c r="QXH84" s="1185"/>
      <c r="QXI84" s="1185"/>
      <c r="QXJ84" s="1185"/>
      <c r="QXK84" s="1185"/>
      <c r="QXL84" s="1185"/>
      <c r="QXM84" s="1185"/>
      <c r="QXN84" s="1185"/>
      <c r="QXO84" s="1185"/>
      <c r="QXP84" s="1185"/>
      <c r="QXQ84" s="1185"/>
      <c r="QXR84" s="1185"/>
      <c r="QXS84" s="1185"/>
      <c r="QXT84" s="1185"/>
      <c r="QXU84" s="1185"/>
      <c r="QXV84" s="1185"/>
      <c r="QXW84" s="1185"/>
      <c r="QXX84" s="1185"/>
      <c r="QXY84" s="1185"/>
      <c r="QXZ84" s="1185"/>
      <c r="QYA84" s="1185"/>
      <c r="QYB84" s="1185"/>
      <c r="QYC84" s="1185"/>
      <c r="QYD84" s="1185"/>
      <c r="QYE84" s="1185"/>
      <c r="QYF84" s="1185"/>
      <c r="QYG84" s="1185"/>
      <c r="QYH84" s="1185"/>
      <c r="QYI84" s="1185"/>
      <c r="QYJ84" s="1185"/>
      <c r="QYK84" s="1185"/>
      <c r="QYL84" s="1185"/>
      <c r="QYM84" s="1185"/>
      <c r="QYN84" s="1185"/>
      <c r="QYO84" s="1185"/>
      <c r="QYP84" s="1185"/>
      <c r="QYQ84" s="1185"/>
      <c r="QYR84" s="1185"/>
      <c r="QYS84" s="1185"/>
      <c r="QYT84" s="1185"/>
      <c r="QYU84" s="1185"/>
      <c r="QYV84" s="1185"/>
      <c r="QYW84" s="1185"/>
      <c r="QYX84" s="1185"/>
      <c r="QYY84" s="1185"/>
      <c r="QYZ84" s="1185"/>
      <c r="QZA84" s="1185"/>
      <c r="QZB84" s="1185"/>
      <c r="QZC84" s="1185"/>
      <c r="QZD84" s="1185"/>
      <c r="QZE84" s="1185"/>
      <c r="QZF84" s="1185"/>
      <c r="QZG84" s="1185"/>
      <c r="QZH84" s="1185"/>
      <c r="QZI84" s="1185"/>
      <c r="QZJ84" s="1185"/>
      <c r="QZK84" s="1185"/>
      <c r="QZL84" s="1185"/>
      <c r="QZM84" s="1185"/>
      <c r="QZN84" s="1185"/>
      <c r="QZO84" s="1185"/>
      <c r="QZP84" s="1185"/>
      <c r="QZQ84" s="1185"/>
      <c r="QZR84" s="1185"/>
      <c r="QZS84" s="1185"/>
      <c r="QZT84" s="1185"/>
      <c r="QZU84" s="1185"/>
      <c r="QZV84" s="1185"/>
      <c r="QZW84" s="1185"/>
      <c r="QZX84" s="1185"/>
      <c r="QZY84" s="1185"/>
      <c r="QZZ84" s="1185"/>
      <c r="RAA84" s="1185"/>
      <c r="RAB84" s="1185"/>
      <c r="RAC84" s="1185"/>
      <c r="RAD84" s="1185"/>
      <c r="RAE84" s="1185"/>
      <c r="RAF84" s="1185"/>
      <c r="RAG84" s="1185"/>
      <c r="RAH84" s="1185"/>
      <c r="RAI84" s="1185"/>
      <c r="RAJ84" s="1185"/>
      <c r="RAK84" s="1185"/>
      <c r="RAL84" s="1185"/>
      <c r="RAM84" s="1185"/>
      <c r="RAN84" s="1185"/>
      <c r="RAO84" s="1185"/>
      <c r="RAP84" s="1185"/>
      <c r="RAQ84" s="1185"/>
      <c r="RAR84" s="1185"/>
      <c r="RAS84" s="1185"/>
      <c r="RAT84" s="1185"/>
      <c r="RAU84" s="1185"/>
      <c r="RAV84" s="1185"/>
      <c r="RAW84" s="1185"/>
      <c r="RAX84" s="1185"/>
      <c r="RAY84" s="1185"/>
      <c r="RAZ84" s="1185"/>
      <c r="RBA84" s="1185"/>
      <c r="RBB84" s="1185"/>
      <c r="RBC84" s="1185"/>
      <c r="RBD84" s="1185"/>
      <c r="RBE84" s="1185"/>
      <c r="RBF84" s="1185"/>
      <c r="RBG84" s="1185"/>
      <c r="RBH84" s="1185"/>
      <c r="RBI84" s="1185"/>
      <c r="RBJ84" s="1185"/>
      <c r="RBK84" s="1185"/>
      <c r="RBL84" s="1185"/>
      <c r="RBM84" s="1185"/>
      <c r="RBN84" s="1185"/>
      <c r="RBO84" s="1185"/>
      <c r="RBP84" s="1185"/>
      <c r="RBQ84" s="1185"/>
      <c r="RBR84" s="1185"/>
      <c r="RBS84" s="1185"/>
      <c r="RBT84" s="1185"/>
      <c r="RBU84" s="1185"/>
      <c r="RBV84" s="1185"/>
      <c r="RBW84" s="1185"/>
      <c r="RBX84" s="1185"/>
      <c r="RBY84" s="1185"/>
      <c r="RBZ84" s="1185"/>
      <c r="RCA84" s="1185"/>
      <c r="RCB84" s="1185"/>
      <c r="RCC84" s="1185"/>
      <c r="RCD84" s="1185"/>
      <c r="RCE84" s="1185"/>
      <c r="RCF84" s="1185"/>
      <c r="RCG84" s="1185"/>
      <c r="RCH84" s="1185"/>
      <c r="RCI84" s="1185"/>
      <c r="RCJ84" s="1185"/>
      <c r="RCK84" s="1185"/>
      <c r="RCL84" s="1185"/>
      <c r="RCM84" s="1185"/>
      <c r="RCN84" s="1185"/>
      <c r="RCO84" s="1185"/>
      <c r="RCP84" s="1185"/>
      <c r="RCQ84" s="1185"/>
      <c r="RCR84" s="1185"/>
      <c r="RCS84" s="1185"/>
      <c r="RCT84" s="1185"/>
      <c r="RCU84" s="1185"/>
      <c r="RCV84" s="1185"/>
      <c r="RCW84" s="1185"/>
      <c r="RCX84" s="1185"/>
      <c r="RCY84" s="1185"/>
      <c r="RCZ84" s="1185"/>
      <c r="RDA84" s="1185"/>
      <c r="RDB84" s="1185"/>
      <c r="RDC84" s="1185"/>
      <c r="RDD84" s="1185"/>
      <c r="RDE84" s="1185"/>
      <c r="RDF84" s="1185"/>
      <c r="RDG84" s="1185"/>
      <c r="RDH84" s="1185"/>
      <c r="RDI84" s="1185"/>
      <c r="RDJ84" s="1185"/>
      <c r="RDK84" s="1185"/>
      <c r="RDL84" s="1185"/>
      <c r="RDM84" s="1185"/>
      <c r="RDN84" s="1185"/>
      <c r="RDO84" s="1185"/>
      <c r="RDP84" s="1185"/>
      <c r="RDQ84" s="1185"/>
      <c r="RDR84" s="1185"/>
      <c r="RDS84" s="1185"/>
      <c r="RDT84" s="1185"/>
      <c r="RDU84" s="1185"/>
      <c r="RDV84" s="1185"/>
      <c r="RDW84" s="1185"/>
      <c r="RDX84" s="1185"/>
      <c r="RDY84" s="1185"/>
      <c r="RDZ84" s="1185"/>
      <c r="REA84" s="1185"/>
      <c r="REB84" s="1185"/>
      <c r="REC84" s="1185"/>
      <c r="RED84" s="1185"/>
      <c r="REE84" s="1185"/>
      <c r="REF84" s="1185"/>
      <c r="REG84" s="1185"/>
      <c r="REH84" s="1185"/>
      <c r="REI84" s="1185"/>
      <c r="REJ84" s="1185"/>
      <c r="REK84" s="1185"/>
      <c r="REL84" s="1185"/>
      <c r="REM84" s="1185"/>
      <c r="REN84" s="1185"/>
      <c r="REO84" s="1185"/>
      <c r="REP84" s="1185"/>
      <c r="REQ84" s="1185"/>
      <c r="RER84" s="1185"/>
      <c r="RES84" s="1185"/>
      <c r="RET84" s="1185"/>
      <c r="REU84" s="1185"/>
      <c r="REV84" s="1185"/>
      <c r="REW84" s="1185"/>
      <c r="REX84" s="1185"/>
      <c r="REY84" s="1185"/>
      <c r="REZ84" s="1185"/>
      <c r="RFA84" s="1185"/>
      <c r="RFB84" s="1185"/>
      <c r="RFC84" s="1185"/>
      <c r="RFD84" s="1185"/>
      <c r="RFE84" s="1185"/>
      <c r="RFF84" s="1185"/>
      <c r="RFG84" s="1185"/>
      <c r="RFH84" s="1185"/>
      <c r="RFI84" s="1185"/>
      <c r="RFJ84" s="1185"/>
      <c r="RFK84" s="1185"/>
      <c r="RFL84" s="1185"/>
      <c r="RFM84" s="1185"/>
      <c r="RFN84" s="1185"/>
      <c r="RFO84" s="1185"/>
      <c r="RFP84" s="1185"/>
      <c r="RFQ84" s="1185"/>
      <c r="RFR84" s="1185"/>
      <c r="RFS84" s="1185"/>
      <c r="RFT84" s="1185"/>
      <c r="RFU84" s="1185"/>
      <c r="RFV84" s="1185"/>
      <c r="RFW84" s="1185"/>
      <c r="RFX84" s="1185"/>
      <c r="RFY84" s="1185"/>
      <c r="RFZ84" s="1185"/>
      <c r="RGA84" s="1185"/>
      <c r="RGB84" s="1185"/>
      <c r="RGC84" s="1185"/>
      <c r="RGD84" s="1185"/>
      <c r="RGE84" s="1185"/>
      <c r="RGF84" s="1185"/>
      <c r="RGG84" s="1185"/>
      <c r="RGH84" s="1185"/>
      <c r="RGI84" s="1185"/>
      <c r="RGJ84" s="1185"/>
      <c r="RGK84" s="1185"/>
      <c r="RGL84" s="1185"/>
      <c r="RGM84" s="1185"/>
      <c r="RGN84" s="1185"/>
      <c r="RGO84" s="1185"/>
      <c r="RGP84" s="1185"/>
      <c r="RGQ84" s="1185"/>
      <c r="RGR84" s="1185"/>
      <c r="RGS84" s="1185"/>
      <c r="RGT84" s="1185"/>
      <c r="RGU84" s="1185"/>
      <c r="RGV84" s="1185"/>
      <c r="RGW84" s="1185"/>
      <c r="RGX84" s="1185"/>
      <c r="RGY84" s="1185"/>
      <c r="RGZ84" s="1185"/>
      <c r="RHA84" s="1185"/>
      <c r="RHB84" s="1185"/>
      <c r="RHC84" s="1185"/>
      <c r="RHD84" s="1185"/>
      <c r="RHE84" s="1185"/>
      <c r="RHF84" s="1185"/>
      <c r="RHG84" s="1185"/>
      <c r="RHH84" s="1185"/>
      <c r="RHI84" s="1185"/>
      <c r="RHJ84" s="1185"/>
      <c r="RHK84" s="1185"/>
      <c r="RHL84" s="1185"/>
      <c r="RHM84" s="1185"/>
      <c r="RHN84" s="1185"/>
      <c r="RHO84" s="1185"/>
      <c r="RHP84" s="1185"/>
      <c r="RHQ84" s="1185"/>
      <c r="RHR84" s="1185"/>
      <c r="RHS84" s="1185"/>
      <c r="RHT84" s="1185"/>
      <c r="RHU84" s="1185"/>
      <c r="RHV84" s="1185"/>
      <c r="RHW84" s="1185"/>
      <c r="RHX84" s="1185"/>
      <c r="RHY84" s="1185"/>
      <c r="RHZ84" s="1185"/>
      <c r="RIA84" s="1185"/>
      <c r="RIB84" s="1185"/>
      <c r="RIC84" s="1185"/>
      <c r="RID84" s="1185"/>
      <c r="RIE84" s="1185"/>
      <c r="RIF84" s="1185"/>
      <c r="RIG84" s="1185"/>
      <c r="RIH84" s="1185"/>
      <c r="RII84" s="1185"/>
      <c r="RIJ84" s="1185"/>
      <c r="RIK84" s="1185"/>
      <c r="RIL84" s="1185"/>
      <c r="RIM84" s="1185"/>
      <c r="RIN84" s="1185"/>
      <c r="RIO84" s="1185"/>
      <c r="RIP84" s="1185"/>
      <c r="RIQ84" s="1185"/>
      <c r="RIR84" s="1185"/>
      <c r="RIS84" s="1185"/>
      <c r="RIT84" s="1185"/>
      <c r="RIU84" s="1185"/>
      <c r="RIV84" s="1185"/>
      <c r="RIW84" s="1185"/>
      <c r="RIX84" s="1185"/>
      <c r="RIY84" s="1185"/>
      <c r="RIZ84" s="1185"/>
      <c r="RJA84" s="1185"/>
      <c r="RJB84" s="1185"/>
      <c r="RJC84" s="1185"/>
      <c r="RJD84" s="1185"/>
      <c r="RJE84" s="1185"/>
      <c r="RJF84" s="1185"/>
      <c r="RJG84" s="1185"/>
      <c r="RJH84" s="1185"/>
      <c r="RJI84" s="1185"/>
      <c r="RJJ84" s="1185"/>
      <c r="RJK84" s="1185"/>
      <c r="RJL84" s="1185"/>
      <c r="RJM84" s="1185"/>
      <c r="RJN84" s="1185"/>
      <c r="RJO84" s="1185"/>
      <c r="RJP84" s="1185"/>
      <c r="RJQ84" s="1185"/>
      <c r="RJR84" s="1185"/>
      <c r="RJS84" s="1185"/>
      <c r="RJT84" s="1185"/>
      <c r="RJU84" s="1185"/>
      <c r="RJV84" s="1185"/>
      <c r="RJW84" s="1185"/>
      <c r="RJX84" s="1185"/>
      <c r="RJY84" s="1185"/>
      <c r="RJZ84" s="1185"/>
      <c r="RKA84" s="1185"/>
      <c r="RKB84" s="1185"/>
      <c r="RKC84" s="1185"/>
      <c r="RKD84" s="1185"/>
      <c r="RKE84" s="1185"/>
      <c r="RKF84" s="1185"/>
      <c r="RKG84" s="1185"/>
      <c r="RKH84" s="1185"/>
      <c r="RKI84" s="1185"/>
      <c r="RKJ84" s="1185"/>
      <c r="RKK84" s="1185"/>
      <c r="RKL84" s="1185"/>
      <c r="RKM84" s="1185"/>
      <c r="RKN84" s="1185"/>
      <c r="RKO84" s="1185"/>
      <c r="RKP84" s="1185"/>
      <c r="RKQ84" s="1185"/>
      <c r="RKR84" s="1185"/>
      <c r="RKS84" s="1185"/>
      <c r="RKT84" s="1185"/>
      <c r="RKU84" s="1185"/>
      <c r="RKV84" s="1185"/>
      <c r="RKW84" s="1185"/>
      <c r="RKX84" s="1185"/>
      <c r="RKY84" s="1185"/>
      <c r="RKZ84" s="1185"/>
      <c r="RLA84" s="1185"/>
      <c r="RLB84" s="1185"/>
      <c r="RLC84" s="1185"/>
      <c r="RLD84" s="1185"/>
      <c r="RLE84" s="1185"/>
      <c r="RLF84" s="1185"/>
      <c r="RLG84" s="1185"/>
      <c r="RLH84" s="1185"/>
      <c r="RLI84" s="1185"/>
      <c r="RLJ84" s="1185"/>
      <c r="RLK84" s="1185"/>
      <c r="RLL84" s="1185"/>
      <c r="RLM84" s="1185"/>
      <c r="RLN84" s="1185"/>
      <c r="RLO84" s="1185"/>
      <c r="RLP84" s="1185"/>
      <c r="RLQ84" s="1185"/>
      <c r="RLR84" s="1185"/>
      <c r="RLS84" s="1185"/>
      <c r="RLT84" s="1185"/>
      <c r="RLU84" s="1185"/>
      <c r="RLV84" s="1185"/>
      <c r="RLW84" s="1185"/>
      <c r="RLX84" s="1185"/>
      <c r="RLY84" s="1185"/>
      <c r="RLZ84" s="1185"/>
      <c r="RMA84" s="1185"/>
      <c r="RMB84" s="1185"/>
      <c r="RMC84" s="1185"/>
      <c r="RMD84" s="1185"/>
      <c r="RME84" s="1185"/>
      <c r="RMF84" s="1185"/>
      <c r="RMG84" s="1185"/>
      <c r="RMH84" s="1185"/>
      <c r="RMI84" s="1185"/>
      <c r="RMJ84" s="1185"/>
      <c r="RMK84" s="1185"/>
      <c r="RML84" s="1185"/>
      <c r="RMM84" s="1185"/>
      <c r="RMN84" s="1185"/>
      <c r="RMO84" s="1185"/>
      <c r="RMP84" s="1185"/>
      <c r="RMQ84" s="1185"/>
      <c r="RMR84" s="1185"/>
      <c r="RMS84" s="1185"/>
      <c r="RMT84" s="1185"/>
      <c r="RMU84" s="1185"/>
      <c r="RMV84" s="1185"/>
      <c r="RMW84" s="1185"/>
      <c r="RMX84" s="1185"/>
      <c r="RMY84" s="1185"/>
      <c r="RMZ84" s="1185"/>
      <c r="RNA84" s="1185"/>
      <c r="RNB84" s="1185"/>
      <c r="RNC84" s="1185"/>
      <c r="RND84" s="1185"/>
      <c r="RNE84" s="1185"/>
      <c r="RNF84" s="1185"/>
      <c r="RNG84" s="1185"/>
      <c r="RNH84" s="1185"/>
      <c r="RNI84" s="1185"/>
      <c r="RNJ84" s="1185"/>
      <c r="RNK84" s="1185"/>
      <c r="RNL84" s="1185"/>
      <c r="RNM84" s="1185"/>
      <c r="RNN84" s="1185"/>
      <c r="RNO84" s="1185"/>
      <c r="RNP84" s="1185"/>
      <c r="RNQ84" s="1185"/>
      <c r="RNR84" s="1185"/>
      <c r="RNS84" s="1185"/>
      <c r="RNT84" s="1185"/>
      <c r="RNU84" s="1185"/>
      <c r="RNV84" s="1185"/>
      <c r="RNW84" s="1185"/>
      <c r="RNX84" s="1185"/>
      <c r="RNY84" s="1185"/>
      <c r="RNZ84" s="1185"/>
      <c r="ROA84" s="1185"/>
      <c r="ROB84" s="1185"/>
      <c r="ROC84" s="1185"/>
      <c r="ROD84" s="1185"/>
      <c r="ROE84" s="1185"/>
      <c r="ROF84" s="1185"/>
      <c r="ROG84" s="1185"/>
      <c r="ROH84" s="1185"/>
      <c r="ROI84" s="1185"/>
      <c r="ROJ84" s="1185"/>
      <c r="ROK84" s="1185"/>
      <c r="ROL84" s="1185"/>
      <c r="ROM84" s="1185"/>
      <c r="RON84" s="1185"/>
      <c r="ROO84" s="1185"/>
      <c r="ROP84" s="1185"/>
      <c r="ROQ84" s="1185"/>
      <c r="ROR84" s="1185"/>
      <c r="ROS84" s="1185"/>
      <c r="ROT84" s="1185"/>
      <c r="ROU84" s="1185"/>
      <c r="ROV84" s="1185"/>
      <c r="ROW84" s="1185"/>
      <c r="ROX84" s="1185"/>
      <c r="ROY84" s="1185"/>
      <c r="ROZ84" s="1185"/>
      <c r="RPA84" s="1185"/>
      <c r="RPB84" s="1185"/>
      <c r="RPC84" s="1185"/>
      <c r="RPD84" s="1185"/>
      <c r="RPE84" s="1185"/>
      <c r="RPF84" s="1185"/>
      <c r="RPG84" s="1185"/>
      <c r="RPH84" s="1185"/>
      <c r="RPI84" s="1185"/>
      <c r="RPJ84" s="1185"/>
      <c r="RPK84" s="1185"/>
      <c r="RPL84" s="1185"/>
      <c r="RPM84" s="1185"/>
      <c r="RPN84" s="1185"/>
      <c r="RPO84" s="1185"/>
      <c r="RPP84" s="1185"/>
      <c r="RPQ84" s="1185"/>
      <c r="RPR84" s="1185"/>
      <c r="RPS84" s="1185"/>
      <c r="RPT84" s="1185"/>
      <c r="RPU84" s="1185"/>
      <c r="RPV84" s="1185"/>
      <c r="RPW84" s="1185"/>
      <c r="RPX84" s="1185"/>
      <c r="RPY84" s="1185"/>
      <c r="RPZ84" s="1185"/>
      <c r="RQA84" s="1185"/>
      <c r="RQB84" s="1185"/>
      <c r="RQC84" s="1185"/>
      <c r="RQD84" s="1185"/>
      <c r="RQE84" s="1185"/>
      <c r="RQF84" s="1185"/>
      <c r="RQG84" s="1185"/>
      <c r="RQH84" s="1185"/>
      <c r="RQI84" s="1185"/>
      <c r="RQJ84" s="1185"/>
      <c r="RQK84" s="1185"/>
      <c r="RQL84" s="1185"/>
      <c r="RQM84" s="1185"/>
      <c r="RQN84" s="1185"/>
      <c r="RQO84" s="1185"/>
      <c r="RQP84" s="1185"/>
      <c r="RQQ84" s="1185"/>
      <c r="RQR84" s="1185"/>
      <c r="RQS84" s="1185"/>
      <c r="RQT84" s="1185"/>
      <c r="RQU84" s="1185"/>
      <c r="RQV84" s="1185"/>
      <c r="RQW84" s="1185"/>
      <c r="RQX84" s="1185"/>
      <c r="RQY84" s="1185"/>
      <c r="RQZ84" s="1185"/>
      <c r="RRA84" s="1185"/>
      <c r="RRB84" s="1185"/>
      <c r="RRC84" s="1185"/>
      <c r="RRD84" s="1185"/>
      <c r="RRE84" s="1185"/>
      <c r="RRF84" s="1185"/>
      <c r="RRG84" s="1185"/>
      <c r="RRH84" s="1185"/>
      <c r="RRI84" s="1185"/>
      <c r="RRJ84" s="1185"/>
      <c r="RRK84" s="1185"/>
      <c r="RRL84" s="1185"/>
      <c r="RRM84" s="1185"/>
      <c r="RRN84" s="1185"/>
      <c r="RRO84" s="1185"/>
      <c r="RRP84" s="1185"/>
      <c r="RRQ84" s="1185"/>
      <c r="RRR84" s="1185"/>
      <c r="RRS84" s="1185"/>
      <c r="RRT84" s="1185"/>
      <c r="RRU84" s="1185"/>
      <c r="RRV84" s="1185"/>
      <c r="RRW84" s="1185"/>
      <c r="RRX84" s="1185"/>
      <c r="RRY84" s="1185"/>
      <c r="RRZ84" s="1185"/>
      <c r="RSA84" s="1185"/>
      <c r="RSB84" s="1185"/>
      <c r="RSC84" s="1185"/>
      <c r="RSD84" s="1185"/>
      <c r="RSE84" s="1185"/>
      <c r="RSF84" s="1185"/>
      <c r="RSG84" s="1185"/>
      <c r="RSH84" s="1185"/>
      <c r="RSI84" s="1185"/>
      <c r="RSJ84" s="1185"/>
      <c r="RSK84" s="1185"/>
      <c r="RSL84" s="1185"/>
      <c r="RSM84" s="1185"/>
      <c r="RSN84" s="1185"/>
      <c r="RSO84" s="1185"/>
      <c r="RSP84" s="1185"/>
      <c r="RSQ84" s="1185"/>
      <c r="RSR84" s="1185"/>
      <c r="RSS84" s="1185"/>
      <c r="RST84" s="1185"/>
      <c r="RSU84" s="1185"/>
      <c r="RSV84" s="1185"/>
      <c r="RSW84" s="1185"/>
      <c r="RSX84" s="1185"/>
      <c r="RSY84" s="1185"/>
      <c r="RSZ84" s="1185"/>
      <c r="RTA84" s="1185"/>
      <c r="RTB84" s="1185"/>
      <c r="RTC84" s="1185"/>
      <c r="RTD84" s="1185"/>
      <c r="RTE84" s="1185"/>
      <c r="RTF84" s="1185"/>
      <c r="RTG84" s="1185"/>
      <c r="RTH84" s="1185"/>
      <c r="RTI84" s="1185"/>
      <c r="RTJ84" s="1185"/>
      <c r="RTK84" s="1185"/>
      <c r="RTL84" s="1185"/>
      <c r="RTM84" s="1185"/>
      <c r="RTN84" s="1185"/>
      <c r="RTO84" s="1185"/>
      <c r="RTP84" s="1185"/>
      <c r="RTQ84" s="1185"/>
      <c r="RTR84" s="1185"/>
      <c r="RTS84" s="1185"/>
      <c r="RTT84" s="1185"/>
      <c r="RTU84" s="1185"/>
      <c r="RTV84" s="1185"/>
      <c r="RTW84" s="1185"/>
      <c r="RTX84" s="1185"/>
      <c r="RTY84" s="1185"/>
      <c r="RTZ84" s="1185"/>
      <c r="RUA84" s="1185"/>
      <c r="RUB84" s="1185"/>
      <c r="RUC84" s="1185"/>
      <c r="RUD84" s="1185"/>
      <c r="RUE84" s="1185"/>
      <c r="RUF84" s="1185"/>
      <c r="RUG84" s="1185"/>
      <c r="RUH84" s="1185"/>
      <c r="RUI84" s="1185"/>
      <c r="RUJ84" s="1185"/>
      <c r="RUK84" s="1185"/>
      <c r="RUL84" s="1185"/>
      <c r="RUM84" s="1185"/>
      <c r="RUN84" s="1185"/>
      <c r="RUO84" s="1185"/>
      <c r="RUP84" s="1185"/>
      <c r="RUQ84" s="1185"/>
      <c r="RUR84" s="1185"/>
      <c r="RUS84" s="1185"/>
      <c r="RUT84" s="1185"/>
      <c r="RUU84" s="1185"/>
      <c r="RUV84" s="1185"/>
      <c r="RUW84" s="1185"/>
      <c r="RUX84" s="1185"/>
      <c r="RUY84" s="1185"/>
      <c r="RUZ84" s="1185"/>
      <c r="RVA84" s="1185"/>
      <c r="RVB84" s="1185"/>
      <c r="RVC84" s="1185"/>
      <c r="RVD84" s="1185"/>
      <c r="RVE84" s="1185"/>
      <c r="RVF84" s="1185"/>
      <c r="RVG84" s="1185"/>
      <c r="RVH84" s="1185"/>
      <c r="RVI84" s="1185"/>
      <c r="RVJ84" s="1185"/>
      <c r="RVK84" s="1185"/>
      <c r="RVL84" s="1185"/>
      <c r="RVM84" s="1185"/>
      <c r="RVN84" s="1185"/>
      <c r="RVO84" s="1185"/>
      <c r="RVP84" s="1185"/>
      <c r="RVQ84" s="1185"/>
      <c r="RVR84" s="1185"/>
      <c r="RVS84" s="1185"/>
      <c r="RVT84" s="1185"/>
      <c r="RVU84" s="1185"/>
      <c r="RVV84" s="1185"/>
      <c r="RVW84" s="1185"/>
      <c r="RVX84" s="1185"/>
      <c r="RVY84" s="1185"/>
      <c r="RVZ84" s="1185"/>
      <c r="RWA84" s="1185"/>
      <c r="RWB84" s="1185"/>
      <c r="RWC84" s="1185"/>
      <c r="RWD84" s="1185"/>
      <c r="RWE84" s="1185"/>
      <c r="RWF84" s="1185"/>
      <c r="RWG84" s="1185"/>
      <c r="RWH84" s="1185"/>
      <c r="RWI84" s="1185"/>
      <c r="RWJ84" s="1185"/>
      <c r="RWK84" s="1185"/>
      <c r="RWL84" s="1185"/>
      <c r="RWM84" s="1185"/>
      <c r="RWN84" s="1185"/>
      <c r="RWO84" s="1185"/>
      <c r="RWP84" s="1185"/>
      <c r="RWQ84" s="1185"/>
      <c r="RWR84" s="1185"/>
      <c r="RWS84" s="1185"/>
      <c r="RWT84" s="1185"/>
      <c r="RWU84" s="1185"/>
      <c r="RWV84" s="1185"/>
      <c r="RWW84" s="1185"/>
      <c r="RWX84" s="1185"/>
      <c r="RWY84" s="1185"/>
      <c r="RWZ84" s="1185"/>
      <c r="RXA84" s="1185"/>
      <c r="RXB84" s="1185"/>
      <c r="RXC84" s="1185"/>
      <c r="RXD84" s="1185"/>
      <c r="RXE84" s="1185"/>
      <c r="RXF84" s="1185"/>
      <c r="RXG84" s="1185"/>
      <c r="RXH84" s="1185"/>
      <c r="RXI84" s="1185"/>
      <c r="RXJ84" s="1185"/>
      <c r="RXK84" s="1185"/>
      <c r="RXL84" s="1185"/>
      <c r="RXM84" s="1185"/>
      <c r="RXN84" s="1185"/>
      <c r="RXO84" s="1185"/>
      <c r="RXP84" s="1185"/>
      <c r="RXQ84" s="1185"/>
      <c r="RXR84" s="1185"/>
      <c r="RXS84" s="1185"/>
      <c r="RXT84" s="1185"/>
      <c r="RXU84" s="1185"/>
      <c r="RXV84" s="1185"/>
      <c r="RXW84" s="1185"/>
      <c r="RXX84" s="1185"/>
      <c r="RXY84" s="1185"/>
      <c r="RXZ84" s="1185"/>
      <c r="RYA84" s="1185"/>
      <c r="RYB84" s="1185"/>
      <c r="RYC84" s="1185"/>
      <c r="RYD84" s="1185"/>
      <c r="RYE84" s="1185"/>
      <c r="RYF84" s="1185"/>
      <c r="RYG84" s="1185"/>
      <c r="RYH84" s="1185"/>
      <c r="RYI84" s="1185"/>
      <c r="RYJ84" s="1185"/>
      <c r="RYK84" s="1185"/>
      <c r="RYL84" s="1185"/>
      <c r="RYM84" s="1185"/>
      <c r="RYN84" s="1185"/>
      <c r="RYO84" s="1185"/>
      <c r="RYP84" s="1185"/>
      <c r="RYQ84" s="1185"/>
      <c r="RYR84" s="1185"/>
      <c r="RYS84" s="1185"/>
      <c r="RYT84" s="1185"/>
      <c r="RYU84" s="1185"/>
      <c r="RYV84" s="1185"/>
      <c r="RYW84" s="1185"/>
      <c r="RYX84" s="1185"/>
      <c r="RYY84" s="1185"/>
      <c r="RYZ84" s="1185"/>
      <c r="RZA84" s="1185"/>
      <c r="RZB84" s="1185"/>
      <c r="RZC84" s="1185"/>
      <c r="RZD84" s="1185"/>
      <c r="RZE84" s="1185"/>
      <c r="RZF84" s="1185"/>
      <c r="RZG84" s="1185"/>
      <c r="RZH84" s="1185"/>
      <c r="RZI84" s="1185"/>
      <c r="RZJ84" s="1185"/>
      <c r="RZK84" s="1185"/>
      <c r="RZL84" s="1185"/>
      <c r="RZM84" s="1185"/>
      <c r="RZN84" s="1185"/>
      <c r="RZO84" s="1185"/>
      <c r="RZP84" s="1185"/>
      <c r="RZQ84" s="1185"/>
      <c r="RZR84" s="1185"/>
      <c r="RZS84" s="1185"/>
      <c r="RZT84" s="1185"/>
      <c r="RZU84" s="1185"/>
      <c r="RZV84" s="1185"/>
      <c r="RZW84" s="1185"/>
      <c r="RZX84" s="1185"/>
      <c r="RZY84" s="1185"/>
      <c r="RZZ84" s="1185"/>
      <c r="SAA84" s="1185"/>
      <c r="SAB84" s="1185"/>
      <c r="SAC84" s="1185"/>
      <c r="SAD84" s="1185"/>
      <c r="SAE84" s="1185"/>
      <c r="SAF84" s="1185"/>
      <c r="SAG84" s="1185"/>
      <c r="SAH84" s="1185"/>
      <c r="SAI84" s="1185"/>
      <c r="SAJ84" s="1185"/>
      <c r="SAK84" s="1185"/>
      <c r="SAL84" s="1185"/>
      <c r="SAM84" s="1185"/>
      <c r="SAN84" s="1185"/>
      <c r="SAO84" s="1185"/>
      <c r="SAP84" s="1185"/>
      <c r="SAQ84" s="1185"/>
      <c r="SAR84" s="1185"/>
      <c r="SAS84" s="1185"/>
      <c r="SAT84" s="1185"/>
      <c r="SAU84" s="1185"/>
      <c r="SAV84" s="1185"/>
      <c r="SAW84" s="1185"/>
      <c r="SAX84" s="1185"/>
      <c r="SAY84" s="1185"/>
      <c r="SAZ84" s="1185"/>
      <c r="SBA84" s="1185"/>
      <c r="SBB84" s="1185"/>
      <c r="SBC84" s="1185"/>
      <c r="SBD84" s="1185"/>
      <c r="SBE84" s="1185"/>
      <c r="SBF84" s="1185"/>
      <c r="SBG84" s="1185"/>
      <c r="SBH84" s="1185"/>
      <c r="SBI84" s="1185"/>
      <c r="SBJ84" s="1185"/>
      <c r="SBK84" s="1185"/>
      <c r="SBL84" s="1185"/>
      <c r="SBM84" s="1185"/>
      <c r="SBN84" s="1185"/>
      <c r="SBO84" s="1185"/>
      <c r="SBP84" s="1185"/>
      <c r="SBQ84" s="1185"/>
      <c r="SBR84" s="1185"/>
      <c r="SBS84" s="1185"/>
      <c r="SBT84" s="1185"/>
      <c r="SBU84" s="1185"/>
      <c r="SBV84" s="1185"/>
      <c r="SBW84" s="1185"/>
      <c r="SBX84" s="1185"/>
      <c r="SBY84" s="1185"/>
      <c r="SBZ84" s="1185"/>
      <c r="SCA84" s="1185"/>
      <c r="SCB84" s="1185"/>
      <c r="SCC84" s="1185"/>
      <c r="SCD84" s="1185"/>
      <c r="SCE84" s="1185"/>
      <c r="SCF84" s="1185"/>
      <c r="SCG84" s="1185"/>
      <c r="SCH84" s="1185"/>
      <c r="SCI84" s="1185"/>
      <c r="SCJ84" s="1185"/>
      <c r="SCK84" s="1185"/>
      <c r="SCL84" s="1185"/>
      <c r="SCM84" s="1185"/>
      <c r="SCN84" s="1185"/>
      <c r="SCO84" s="1185"/>
      <c r="SCP84" s="1185"/>
      <c r="SCQ84" s="1185"/>
      <c r="SCR84" s="1185"/>
      <c r="SCS84" s="1185"/>
      <c r="SCT84" s="1185"/>
      <c r="SCU84" s="1185"/>
      <c r="SCV84" s="1185"/>
      <c r="SCW84" s="1185"/>
      <c r="SCX84" s="1185"/>
      <c r="SCY84" s="1185"/>
      <c r="SCZ84" s="1185"/>
      <c r="SDA84" s="1185"/>
      <c r="SDB84" s="1185"/>
      <c r="SDC84" s="1185"/>
      <c r="SDD84" s="1185"/>
      <c r="SDE84" s="1185"/>
      <c r="SDF84" s="1185"/>
      <c r="SDG84" s="1185"/>
      <c r="SDH84" s="1185"/>
      <c r="SDI84" s="1185"/>
      <c r="SDJ84" s="1185"/>
      <c r="SDK84" s="1185"/>
      <c r="SDL84" s="1185"/>
      <c r="SDM84" s="1185"/>
      <c r="SDN84" s="1185"/>
      <c r="SDO84" s="1185"/>
      <c r="SDP84" s="1185"/>
      <c r="SDQ84" s="1185"/>
      <c r="SDR84" s="1185"/>
      <c r="SDS84" s="1185"/>
      <c r="SDT84" s="1185"/>
      <c r="SDU84" s="1185"/>
      <c r="SDV84" s="1185"/>
      <c r="SDW84" s="1185"/>
      <c r="SDX84" s="1185"/>
      <c r="SDY84" s="1185"/>
      <c r="SDZ84" s="1185"/>
      <c r="SEA84" s="1185"/>
      <c r="SEB84" s="1185"/>
      <c r="SEC84" s="1185"/>
      <c r="SED84" s="1185"/>
      <c r="SEE84" s="1185"/>
      <c r="SEF84" s="1185"/>
      <c r="SEG84" s="1185"/>
      <c r="SEH84" s="1185"/>
      <c r="SEI84" s="1185"/>
      <c r="SEJ84" s="1185"/>
      <c r="SEK84" s="1185"/>
      <c r="SEL84" s="1185"/>
      <c r="SEM84" s="1185"/>
      <c r="SEN84" s="1185"/>
      <c r="SEO84" s="1185"/>
      <c r="SEP84" s="1185"/>
      <c r="SEQ84" s="1185"/>
      <c r="SER84" s="1185"/>
      <c r="SES84" s="1185"/>
      <c r="SET84" s="1185"/>
      <c r="SEU84" s="1185"/>
      <c r="SEV84" s="1185"/>
      <c r="SEW84" s="1185"/>
      <c r="SEX84" s="1185"/>
      <c r="SEY84" s="1185"/>
      <c r="SEZ84" s="1185"/>
      <c r="SFA84" s="1185"/>
      <c r="SFB84" s="1185"/>
      <c r="SFC84" s="1185"/>
      <c r="SFD84" s="1185"/>
      <c r="SFE84" s="1185"/>
      <c r="SFF84" s="1185"/>
      <c r="SFG84" s="1185"/>
      <c r="SFH84" s="1185"/>
      <c r="SFI84" s="1185"/>
      <c r="SFJ84" s="1185"/>
      <c r="SFK84" s="1185"/>
      <c r="SFL84" s="1185"/>
      <c r="SFM84" s="1185"/>
      <c r="SFN84" s="1185"/>
      <c r="SFO84" s="1185"/>
      <c r="SFP84" s="1185"/>
      <c r="SFQ84" s="1185"/>
      <c r="SFR84" s="1185"/>
      <c r="SFS84" s="1185"/>
      <c r="SFT84" s="1185"/>
      <c r="SFU84" s="1185"/>
      <c r="SFV84" s="1185"/>
      <c r="SFW84" s="1185"/>
      <c r="SFX84" s="1185"/>
      <c r="SFY84" s="1185"/>
      <c r="SFZ84" s="1185"/>
      <c r="SGA84" s="1185"/>
      <c r="SGB84" s="1185"/>
      <c r="SGC84" s="1185"/>
      <c r="SGD84" s="1185"/>
      <c r="SGE84" s="1185"/>
      <c r="SGF84" s="1185"/>
      <c r="SGG84" s="1185"/>
      <c r="SGH84" s="1185"/>
      <c r="SGI84" s="1185"/>
      <c r="SGJ84" s="1185"/>
      <c r="SGK84" s="1185"/>
      <c r="SGL84" s="1185"/>
      <c r="SGM84" s="1185"/>
      <c r="SGN84" s="1185"/>
      <c r="SGO84" s="1185"/>
      <c r="SGP84" s="1185"/>
      <c r="SGQ84" s="1185"/>
      <c r="SGR84" s="1185"/>
      <c r="SGS84" s="1185"/>
      <c r="SGT84" s="1185"/>
      <c r="SGU84" s="1185"/>
      <c r="SGV84" s="1185"/>
      <c r="SGW84" s="1185"/>
      <c r="SGX84" s="1185"/>
      <c r="SGY84" s="1185"/>
      <c r="SGZ84" s="1185"/>
      <c r="SHA84" s="1185"/>
      <c r="SHB84" s="1185"/>
      <c r="SHC84" s="1185"/>
      <c r="SHD84" s="1185"/>
      <c r="SHE84" s="1185"/>
      <c r="SHF84" s="1185"/>
      <c r="SHG84" s="1185"/>
      <c r="SHH84" s="1185"/>
      <c r="SHI84" s="1185"/>
      <c r="SHJ84" s="1185"/>
      <c r="SHK84" s="1185"/>
      <c r="SHL84" s="1185"/>
      <c r="SHM84" s="1185"/>
      <c r="SHN84" s="1185"/>
      <c r="SHO84" s="1185"/>
      <c r="SHP84" s="1185"/>
      <c r="SHQ84" s="1185"/>
      <c r="SHR84" s="1185"/>
      <c r="SHS84" s="1185"/>
      <c r="SHT84" s="1185"/>
      <c r="SHU84" s="1185"/>
      <c r="SHV84" s="1185"/>
      <c r="SHW84" s="1185"/>
      <c r="SHX84" s="1185"/>
      <c r="SHY84" s="1185"/>
      <c r="SHZ84" s="1185"/>
      <c r="SIA84" s="1185"/>
      <c r="SIB84" s="1185"/>
      <c r="SIC84" s="1185"/>
      <c r="SID84" s="1185"/>
      <c r="SIE84" s="1185"/>
      <c r="SIF84" s="1185"/>
      <c r="SIG84" s="1185"/>
      <c r="SIH84" s="1185"/>
      <c r="SII84" s="1185"/>
      <c r="SIJ84" s="1185"/>
      <c r="SIK84" s="1185"/>
      <c r="SIL84" s="1185"/>
      <c r="SIM84" s="1185"/>
      <c r="SIN84" s="1185"/>
      <c r="SIO84" s="1185"/>
      <c r="SIP84" s="1185"/>
      <c r="SIQ84" s="1185"/>
      <c r="SIR84" s="1185"/>
      <c r="SIS84" s="1185"/>
      <c r="SIT84" s="1185"/>
      <c r="SIU84" s="1185"/>
      <c r="SIV84" s="1185"/>
      <c r="SIW84" s="1185"/>
      <c r="SIX84" s="1185"/>
      <c r="SIY84" s="1185"/>
      <c r="SIZ84" s="1185"/>
      <c r="SJA84" s="1185"/>
      <c r="SJB84" s="1185"/>
      <c r="SJC84" s="1185"/>
      <c r="SJD84" s="1185"/>
      <c r="SJE84" s="1185"/>
      <c r="SJF84" s="1185"/>
      <c r="SJG84" s="1185"/>
      <c r="SJH84" s="1185"/>
      <c r="SJI84" s="1185"/>
      <c r="SJJ84" s="1185"/>
      <c r="SJK84" s="1185"/>
      <c r="SJL84" s="1185"/>
      <c r="SJM84" s="1185"/>
      <c r="SJN84" s="1185"/>
      <c r="SJO84" s="1185"/>
      <c r="SJP84" s="1185"/>
      <c r="SJQ84" s="1185"/>
      <c r="SJR84" s="1185"/>
      <c r="SJS84" s="1185"/>
      <c r="SJT84" s="1185"/>
      <c r="SJU84" s="1185"/>
      <c r="SJV84" s="1185"/>
      <c r="SJW84" s="1185"/>
      <c r="SJX84" s="1185"/>
      <c r="SJY84" s="1185"/>
      <c r="SJZ84" s="1185"/>
      <c r="SKA84" s="1185"/>
      <c r="SKB84" s="1185"/>
      <c r="SKC84" s="1185"/>
      <c r="SKD84" s="1185"/>
      <c r="SKE84" s="1185"/>
      <c r="SKF84" s="1185"/>
      <c r="SKG84" s="1185"/>
      <c r="SKH84" s="1185"/>
      <c r="SKI84" s="1185"/>
      <c r="SKJ84" s="1185"/>
      <c r="SKK84" s="1185"/>
      <c r="SKL84" s="1185"/>
      <c r="SKM84" s="1185"/>
      <c r="SKN84" s="1185"/>
      <c r="SKO84" s="1185"/>
      <c r="SKP84" s="1185"/>
      <c r="SKQ84" s="1185"/>
      <c r="SKR84" s="1185"/>
      <c r="SKS84" s="1185"/>
      <c r="SKT84" s="1185"/>
      <c r="SKU84" s="1185"/>
      <c r="SKV84" s="1185"/>
      <c r="SKW84" s="1185"/>
      <c r="SKX84" s="1185"/>
      <c r="SKY84" s="1185"/>
      <c r="SKZ84" s="1185"/>
      <c r="SLA84" s="1185"/>
      <c r="SLB84" s="1185"/>
      <c r="SLC84" s="1185"/>
      <c r="SLD84" s="1185"/>
      <c r="SLE84" s="1185"/>
      <c r="SLF84" s="1185"/>
      <c r="SLG84" s="1185"/>
      <c r="SLH84" s="1185"/>
      <c r="SLI84" s="1185"/>
      <c r="SLJ84" s="1185"/>
      <c r="SLK84" s="1185"/>
      <c r="SLL84" s="1185"/>
      <c r="SLM84" s="1185"/>
      <c r="SLN84" s="1185"/>
      <c r="SLO84" s="1185"/>
      <c r="SLP84" s="1185"/>
      <c r="SLQ84" s="1185"/>
      <c r="SLR84" s="1185"/>
      <c r="SLS84" s="1185"/>
      <c r="SLT84" s="1185"/>
      <c r="SLU84" s="1185"/>
      <c r="SLV84" s="1185"/>
      <c r="SLW84" s="1185"/>
      <c r="SLX84" s="1185"/>
      <c r="SLY84" s="1185"/>
      <c r="SLZ84" s="1185"/>
      <c r="SMA84" s="1185"/>
      <c r="SMB84" s="1185"/>
      <c r="SMC84" s="1185"/>
      <c r="SMD84" s="1185"/>
      <c r="SME84" s="1185"/>
      <c r="SMF84" s="1185"/>
      <c r="SMG84" s="1185"/>
      <c r="SMH84" s="1185"/>
      <c r="SMI84" s="1185"/>
      <c r="SMJ84" s="1185"/>
      <c r="SMK84" s="1185"/>
      <c r="SML84" s="1185"/>
      <c r="SMM84" s="1185"/>
      <c r="SMN84" s="1185"/>
      <c r="SMO84" s="1185"/>
      <c r="SMP84" s="1185"/>
      <c r="SMQ84" s="1185"/>
      <c r="SMR84" s="1185"/>
      <c r="SMS84" s="1185"/>
      <c r="SMT84" s="1185"/>
      <c r="SMU84" s="1185"/>
      <c r="SMV84" s="1185"/>
      <c r="SMW84" s="1185"/>
      <c r="SMX84" s="1185"/>
      <c r="SMY84" s="1185"/>
      <c r="SMZ84" s="1185"/>
      <c r="SNA84" s="1185"/>
      <c r="SNB84" s="1185"/>
      <c r="SNC84" s="1185"/>
      <c r="SND84" s="1185"/>
      <c r="SNE84" s="1185"/>
      <c r="SNF84" s="1185"/>
      <c r="SNG84" s="1185"/>
      <c r="SNH84" s="1185"/>
      <c r="SNI84" s="1185"/>
      <c r="SNJ84" s="1185"/>
      <c r="SNK84" s="1185"/>
      <c r="SNL84" s="1185"/>
      <c r="SNM84" s="1185"/>
      <c r="SNN84" s="1185"/>
      <c r="SNO84" s="1185"/>
      <c r="SNP84" s="1185"/>
      <c r="SNQ84" s="1185"/>
      <c r="SNR84" s="1185"/>
      <c r="SNS84" s="1185"/>
      <c r="SNT84" s="1185"/>
      <c r="SNU84" s="1185"/>
      <c r="SNV84" s="1185"/>
      <c r="SNW84" s="1185"/>
      <c r="SNX84" s="1185"/>
      <c r="SNY84" s="1185"/>
      <c r="SNZ84" s="1185"/>
      <c r="SOA84" s="1185"/>
      <c r="SOB84" s="1185"/>
      <c r="SOC84" s="1185"/>
      <c r="SOD84" s="1185"/>
      <c r="SOE84" s="1185"/>
      <c r="SOF84" s="1185"/>
      <c r="SOG84" s="1185"/>
      <c r="SOH84" s="1185"/>
      <c r="SOI84" s="1185"/>
      <c r="SOJ84" s="1185"/>
      <c r="SOK84" s="1185"/>
      <c r="SOL84" s="1185"/>
      <c r="SOM84" s="1185"/>
      <c r="SON84" s="1185"/>
      <c r="SOO84" s="1185"/>
      <c r="SOP84" s="1185"/>
      <c r="SOQ84" s="1185"/>
      <c r="SOR84" s="1185"/>
      <c r="SOS84" s="1185"/>
      <c r="SOT84" s="1185"/>
      <c r="SOU84" s="1185"/>
      <c r="SOV84" s="1185"/>
      <c r="SOW84" s="1185"/>
      <c r="SOX84" s="1185"/>
      <c r="SOY84" s="1185"/>
      <c r="SOZ84" s="1185"/>
      <c r="SPA84" s="1185"/>
      <c r="SPB84" s="1185"/>
      <c r="SPC84" s="1185"/>
      <c r="SPD84" s="1185"/>
      <c r="SPE84" s="1185"/>
      <c r="SPF84" s="1185"/>
      <c r="SPG84" s="1185"/>
      <c r="SPH84" s="1185"/>
      <c r="SPI84" s="1185"/>
      <c r="SPJ84" s="1185"/>
      <c r="SPK84" s="1185"/>
      <c r="SPL84" s="1185"/>
      <c r="SPM84" s="1185"/>
      <c r="SPN84" s="1185"/>
      <c r="SPO84" s="1185"/>
      <c r="SPP84" s="1185"/>
      <c r="SPQ84" s="1185"/>
      <c r="SPR84" s="1185"/>
      <c r="SPS84" s="1185"/>
      <c r="SPT84" s="1185"/>
      <c r="SPU84" s="1185"/>
      <c r="SPV84" s="1185"/>
      <c r="SPW84" s="1185"/>
      <c r="SPX84" s="1185"/>
      <c r="SPY84" s="1185"/>
      <c r="SPZ84" s="1185"/>
      <c r="SQA84" s="1185"/>
      <c r="SQB84" s="1185"/>
      <c r="SQC84" s="1185"/>
      <c r="SQD84" s="1185"/>
      <c r="SQE84" s="1185"/>
      <c r="SQF84" s="1185"/>
      <c r="SQG84" s="1185"/>
      <c r="SQH84" s="1185"/>
      <c r="SQI84" s="1185"/>
      <c r="SQJ84" s="1185"/>
      <c r="SQK84" s="1185"/>
      <c r="SQL84" s="1185"/>
      <c r="SQM84" s="1185"/>
      <c r="SQN84" s="1185"/>
      <c r="SQO84" s="1185"/>
      <c r="SQP84" s="1185"/>
      <c r="SQQ84" s="1185"/>
      <c r="SQR84" s="1185"/>
      <c r="SQS84" s="1185"/>
      <c r="SQT84" s="1185"/>
      <c r="SQU84" s="1185"/>
      <c r="SQV84" s="1185"/>
      <c r="SQW84" s="1185"/>
      <c r="SQX84" s="1185"/>
      <c r="SQY84" s="1185"/>
      <c r="SQZ84" s="1185"/>
      <c r="SRA84" s="1185"/>
      <c r="SRB84" s="1185"/>
      <c r="SRC84" s="1185"/>
      <c r="SRD84" s="1185"/>
      <c r="SRE84" s="1185"/>
      <c r="SRF84" s="1185"/>
      <c r="SRG84" s="1185"/>
      <c r="SRH84" s="1185"/>
      <c r="SRI84" s="1185"/>
      <c r="SRJ84" s="1185"/>
      <c r="SRK84" s="1185"/>
      <c r="SRL84" s="1185"/>
      <c r="SRM84" s="1185"/>
      <c r="SRN84" s="1185"/>
      <c r="SRO84" s="1185"/>
      <c r="SRP84" s="1185"/>
      <c r="SRQ84" s="1185"/>
      <c r="SRR84" s="1185"/>
      <c r="SRS84" s="1185"/>
      <c r="SRT84" s="1185"/>
      <c r="SRU84" s="1185"/>
      <c r="SRV84" s="1185"/>
      <c r="SRW84" s="1185"/>
      <c r="SRX84" s="1185"/>
      <c r="SRY84" s="1185"/>
      <c r="SRZ84" s="1185"/>
      <c r="SSA84" s="1185"/>
      <c r="SSB84" s="1185"/>
      <c r="SSC84" s="1185"/>
      <c r="SSD84" s="1185"/>
      <c r="SSE84" s="1185"/>
      <c r="SSF84" s="1185"/>
      <c r="SSG84" s="1185"/>
      <c r="SSH84" s="1185"/>
      <c r="SSI84" s="1185"/>
      <c r="SSJ84" s="1185"/>
      <c r="SSK84" s="1185"/>
      <c r="SSL84" s="1185"/>
      <c r="SSM84" s="1185"/>
      <c r="SSN84" s="1185"/>
      <c r="SSO84" s="1185"/>
      <c r="SSP84" s="1185"/>
      <c r="SSQ84" s="1185"/>
      <c r="SSR84" s="1185"/>
      <c r="SSS84" s="1185"/>
      <c r="SST84" s="1185"/>
      <c r="SSU84" s="1185"/>
      <c r="SSV84" s="1185"/>
      <c r="SSW84" s="1185"/>
      <c r="SSX84" s="1185"/>
      <c r="SSY84" s="1185"/>
      <c r="SSZ84" s="1185"/>
      <c r="STA84" s="1185"/>
      <c r="STB84" s="1185"/>
      <c r="STC84" s="1185"/>
      <c r="STD84" s="1185"/>
      <c r="STE84" s="1185"/>
      <c r="STF84" s="1185"/>
      <c r="STG84" s="1185"/>
      <c r="STH84" s="1185"/>
      <c r="STI84" s="1185"/>
      <c r="STJ84" s="1185"/>
      <c r="STK84" s="1185"/>
      <c r="STL84" s="1185"/>
      <c r="STM84" s="1185"/>
      <c r="STN84" s="1185"/>
      <c r="STO84" s="1185"/>
      <c r="STP84" s="1185"/>
      <c r="STQ84" s="1185"/>
      <c r="STR84" s="1185"/>
      <c r="STS84" s="1185"/>
      <c r="STT84" s="1185"/>
      <c r="STU84" s="1185"/>
      <c r="STV84" s="1185"/>
      <c r="STW84" s="1185"/>
      <c r="STX84" s="1185"/>
      <c r="STY84" s="1185"/>
      <c r="STZ84" s="1185"/>
      <c r="SUA84" s="1185"/>
      <c r="SUB84" s="1185"/>
      <c r="SUC84" s="1185"/>
      <c r="SUD84" s="1185"/>
      <c r="SUE84" s="1185"/>
      <c r="SUF84" s="1185"/>
      <c r="SUG84" s="1185"/>
      <c r="SUH84" s="1185"/>
      <c r="SUI84" s="1185"/>
      <c r="SUJ84" s="1185"/>
      <c r="SUK84" s="1185"/>
      <c r="SUL84" s="1185"/>
      <c r="SUM84" s="1185"/>
      <c r="SUN84" s="1185"/>
      <c r="SUO84" s="1185"/>
      <c r="SUP84" s="1185"/>
      <c r="SUQ84" s="1185"/>
      <c r="SUR84" s="1185"/>
      <c r="SUS84" s="1185"/>
      <c r="SUT84" s="1185"/>
      <c r="SUU84" s="1185"/>
      <c r="SUV84" s="1185"/>
      <c r="SUW84" s="1185"/>
      <c r="SUX84" s="1185"/>
      <c r="SUY84" s="1185"/>
      <c r="SUZ84" s="1185"/>
      <c r="SVA84" s="1185"/>
      <c r="SVB84" s="1185"/>
      <c r="SVC84" s="1185"/>
      <c r="SVD84" s="1185"/>
      <c r="SVE84" s="1185"/>
      <c r="SVF84" s="1185"/>
      <c r="SVG84" s="1185"/>
      <c r="SVH84" s="1185"/>
      <c r="SVI84" s="1185"/>
      <c r="SVJ84" s="1185"/>
      <c r="SVK84" s="1185"/>
      <c r="SVL84" s="1185"/>
      <c r="SVM84" s="1185"/>
      <c r="SVN84" s="1185"/>
      <c r="SVO84" s="1185"/>
      <c r="SVP84" s="1185"/>
      <c r="SVQ84" s="1185"/>
      <c r="SVR84" s="1185"/>
      <c r="SVS84" s="1185"/>
      <c r="SVT84" s="1185"/>
      <c r="SVU84" s="1185"/>
      <c r="SVV84" s="1185"/>
      <c r="SVW84" s="1185"/>
      <c r="SVX84" s="1185"/>
      <c r="SVY84" s="1185"/>
      <c r="SVZ84" s="1185"/>
      <c r="SWA84" s="1185"/>
      <c r="SWB84" s="1185"/>
      <c r="SWC84" s="1185"/>
      <c r="SWD84" s="1185"/>
      <c r="SWE84" s="1185"/>
      <c r="SWF84" s="1185"/>
      <c r="SWG84" s="1185"/>
      <c r="SWH84" s="1185"/>
      <c r="SWI84" s="1185"/>
      <c r="SWJ84" s="1185"/>
      <c r="SWK84" s="1185"/>
      <c r="SWL84" s="1185"/>
      <c r="SWM84" s="1185"/>
      <c r="SWN84" s="1185"/>
      <c r="SWO84" s="1185"/>
      <c r="SWP84" s="1185"/>
      <c r="SWQ84" s="1185"/>
      <c r="SWR84" s="1185"/>
      <c r="SWS84" s="1185"/>
      <c r="SWT84" s="1185"/>
      <c r="SWU84" s="1185"/>
      <c r="SWV84" s="1185"/>
      <c r="SWW84" s="1185"/>
      <c r="SWX84" s="1185"/>
      <c r="SWY84" s="1185"/>
      <c r="SWZ84" s="1185"/>
      <c r="SXA84" s="1185"/>
      <c r="SXB84" s="1185"/>
      <c r="SXC84" s="1185"/>
      <c r="SXD84" s="1185"/>
      <c r="SXE84" s="1185"/>
      <c r="SXF84" s="1185"/>
      <c r="SXG84" s="1185"/>
      <c r="SXH84" s="1185"/>
      <c r="SXI84" s="1185"/>
      <c r="SXJ84" s="1185"/>
      <c r="SXK84" s="1185"/>
      <c r="SXL84" s="1185"/>
      <c r="SXM84" s="1185"/>
      <c r="SXN84" s="1185"/>
      <c r="SXO84" s="1185"/>
      <c r="SXP84" s="1185"/>
      <c r="SXQ84" s="1185"/>
      <c r="SXR84" s="1185"/>
      <c r="SXS84" s="1185"/>
      <c r="SXT84" s="1185"/>
      <c r="SXU84" s="1185"/>
      <c r="SXV84" s="1185"/>
      <c r="SXW84" s="1185"/>
      <c r="SXX84" s="1185"/>
      <c r="SXY84" s="1185"/>
      <c r="SXZ84" s="1185"/>
      <c r="SYA84" s="1185"/>
      <c r="SYB84" s="1185"/>
      <c r="SYC84" s="1185"/>
      <c r="SYD84" s="1185"/>
      <c r="SYE84" s="1185"/>
      <c r="SYF84" s="1185"/>
      <c r="SYG84" s="1185"/>
      <c r="SYH84" s="1185"/>
      <c r="SYI84" s="1185"/>
      <c r="SYJ84" s="1185"/>
      <c r="SYK84" s="1185"/>
      <c r="SYL84" s="1185"/>
      <c r="SYM84" s="1185"/>
      <c r="SYN84" s="1185"/>
      <c r="SYO84" s="1185"/>
      <c r="SYP84" s="1185"/>
      <c r="SYQ84" s="1185"/>
      <c r="SYR84" s="1185"/>
      <c r="SYS84" s="1185"/>
      <c r="SYT84" s="1185"/>
      <c r="SYU84" s="1185"/>
      <c r="SYV84" s="1185"/>
      <c r="SYW84" s="1185"/>
      <c r="SYX84" s="1185"/>
      <c r="SYY84" s="1185"/>
      <c r="SYZ84" s="1185"/>
      <c r="SZA84" s="1185"/>
      <c r="SZB84" s="1185"/>
      <c r="SZC84" s="1185"/>
      <c r="SZD84" s="1185"/>
      <c r="SZE84" s="1185"/>
      <c r="SZF84" s="1185"/>
      <c r="SZG84" s="1185"/>
      <c r="SZH84" s="1185"/>
      <c r="SZI84" s="1185"/>
      <c r="SZJ84" s="1185"/>
      <c r="SZK84" s="1185"/>
      <c r="SZL84" s="1185"/>
      <c r="SZM84" s="1185"/>
      <c r="SZN84" s="1185"/>
      <c r="SZO84" s="1185"/>
      <c r="SZP84" s="1185"/>
      <c r="SZQ84" s="1185"/>
      <c r="SZR84" s="1185"/>
      <c r="SZS84" s="1185"/>
      <c r="SZT84" s="1185"/>
      <c r="SZU84" s="1185"/>
      <c r="SZV84" s="1185"/>
      <c r="SZW84" s="1185"/>
      <c r="SZX84" s="1185"/>
      <c r="SZY84" s="1185"/>
      <c r="SZZ84" s="1185"/>
      <c r="TAA84" s="1185"/>
      <c r="TAB84" s="1185"/>
      <c r="TAC84" s="1185"/>
      <c r="TAD84" s="1185"/>
      <c r="TAE84" s="1185"/>
      <c r="TAF84" s="1185"/>
      <c r="TAG84" s="1185"/>
      <c r="TAH84" s="1185"/>
      <c r="TAI84" s="1185"/>
      <c r="TAJ84" s="1185"/>
      <c r="TAK84" s="1185"/>
      <c r="TAL84" s="1185"/>
      <c r="TAM84" s="1185"/>
      <c r="TAN84" s="1185"/>
      <c r="TAO84" s="1185"/>
      <c r="TAP84" s="1185"/>
      <c r="TAQ84" s="1185"/>
      <c r="TAR84" s="1185"/>
      <c r="TAS84" s="1185"/>
      <c r="TAT84" s="1185"/>
      <c r="TAU84" s="1185"/>
      <c r="TAV84" s="1185"/>
      <c r="TAW84" s="1185"/>
      <c r="TAX84" s="1185"/>
      <c r="TAY84" s="1185"/>
      <c r="TAZ84" s="1185"/>
      <c r="TBA84" s="1185"/>
      <c r="TBB84" s="1185"/>
      <c r="TBC84" s="1185"/>
      <c r="TBD84" s="1185"/>
      <c r="TBE84" s="1185"/>
      <c r="TBF84" s="1185"/>
      <c r="TBG84" s="1185"/>
      <c r="TBH84" s="1185"/>
      <c r="TBI84" s="1185"/>
      <c r="TBJ84" s="1185"/>
      <c r="TBK84" s="1185"/>
      <c r="TBL84" s="1185"/>
      <c r="TBM84" s="1185"/>
      <c r="TBN84" s="1185"/>
      <c r="TBO84" s="1185"/>
      <c r="TBP84" s="1185"/>
      <c r="TBQ84" s="1185"/>
      <c r="TBR84" s="1185"/>
      <c r="TBS84" s="1185"/>
      <c r="TBT84" s="1185"/>
      <c r="TBU84" s="1185"/>
      <c r="TBV84" s="1185"/>
      <c r="TBW84" s="1185"/>
      <c r="TBX84" s="1185"/>
      <c r="TBY84" s="1185"/>
      <c r="TBZ84" s="1185"/>
      <c r="TCA84" s="1185"/>
      <c r="TCB84" s="1185"/>
      <c r="TCC84" s="1185"/>
      <c r="TCD84" s="1185"/>
      <c r="TCE84" s="1185"/>
      <c r="TCF84" s="1185"/>
      <c r="TCG84" s="1185"/>
      <c r="TCH84" s="1185"/>
      <c r="TCI84" s="1185"/>
      <c r="TCJ84" s="1185"/>
      <c r="TCK84" s="1185"/>
      <c r="TCL84" s="1185"/>
      <c r="TCM84" s="1185"/>
      <c r="TCN84" s="1185"/>
      <c r="TCO84" s="1185"/>
      <c r="TCP84" s="1185"/>
      <c r="TCQ84" s="1185"/>
      <c r="TCR84" s="1185"/>
      <c r="TCS84" s="1185"/>
      <c r="TCT84" s="1185"/>
      <c r="TCU84" s="1185"/>
      <c r="TCV84" s="1185"/>
      <c r="TCW84" s="1185"/>
      <c r="TCX84" s="1185"/>
      <c r="TCY84" s="1185"/>
      <c r="TCZ84" s="1185"/>
      <c r="TDA84" s="1185"/>
      <c r="TDB84" s="1185"/>
      <c r="TDC84" s="1185"/>
      <c r="TDD84" s="1185"/>
      <c r="TDE84" s="1185"/>
      <c r="TDF84" s="1185"/>
      <c r="TDG84" s="1185"/>
      <c r="TDH84" s="1185"/>
      <c r="TDI84" s="1185"/>
      <c r="TDJ84" s="1185"/>
      <c r="TDK84" s="1185"/>
      <c r="TDL84" s="1185"/>
      <c r="TDM84" s="1185"/>
      <c r="TDN84" s="1185"/>
      <c r="TDO84" s="1185"/>
      <c r="TDP84" s="1185"/>
      <c r="TDQ84" s="1185"/>
      <c r="TDR84" s="1185"/>
      <c r="TDS84" s="1185"/>
      <c r="TDT84" s="1185"/>
      <c r="TDU84" s="1185"/>
      <c r="TDV84" s="1185"/>
      <c r="TDW84" s="1185"/>
      <c r="TDX84" s="1185"/>
      <c r="TDY84" s="1185"/>
      <c r="TDZ84" s="1185"/>
      <c r="TEA84" s="1185"/>
      <c r="TEB84" s="1185"/>
      <c r="TEC84" s="1185"/>
      <c r="TED84" s="1185"/>
      <c r="TEE84" s="1185"/>
      <c r="TEF84" s="1185"/>
      <c r="TEG84" s="1185"/>
      <c r="TEH84" s="1185"/>
      <c r="TEI84" s="1185"/>
      <c r="TEJ84" s="1185"/>
      <c r="TEK84" s="1185"/>
      <c r="TEL84" s="1185"/>
      <c r="TEM84" s="1185"/>
      <c r="TEN84" s="1185"/>
      <c r="TEO84" s="1185"/>
      <c r="TEP84" s="1185"/>
      <c r="TEQ84" s="1185"/>
      <c r="TER84" s="1185"/>
      <c r="TES84" s="1185"/>
      <c r="TET84" s="1185"/>
      <c r="TEU84" s="1185"/>
      <c r="TEV84" s="1185"/>
      <c r="TEW84" s="1185"/>
      <c r="TEX84" s="1185"/>
      <c r="TEY84" s="1185"/>
      <c r="TEZ84" s="1185"/>
      <c r="TFA84" s="1185"/>
      <c r="TFB84" s="1185"/>
      <c r="TFC84" s="1185"/>
      <c r="TFD84" s="1185"/>
      <c r="TFE84" s="1185"/>
      <c r="TFF84" s="1185"/>
      <c r="TFG84" s="1185"/>
      <c r="TFH84" s="1185"/>
      <c r="TFI84" s="1185"/>
      <c r="TFJ84" s="1185"/>
      <c r="TFK84" s="1185"/>
      <c r="TFL84" s="1185"/>
      <c r="TFM84" s="1185"/>
      <c r="TFN84" s="1185"/>
      <c r="TFO84" s="1185"/>
      <c r="TFP84" s="1185"/>
      <c r="TFQ84" s="1185"/>
      <c r="TFR84" s="1185"/>
      <c r="TFS84" s="1185"/>
      <c r="TFT84" s="1185"/>
      <c r="TFU84" s="1185"/>
      <c r="TFV84" s="1185"/>
      <c r="TFW84" s="1185"/>
      <c r="TFX84" s="1185"/>
      <c r="TFY84" s="1185"/>
      <c r="TFZ84" s="1185"/>
      <c r="TGA84" s="1185"/>
      <c r="TGB84" s="1185"/>
      <c r="TGC84" s="1185"/>
      <c r="TGD84" s="1185"/>
      <c r="TGE84" s="1185"/>
      <c r="TGF84" s="1185"/>
      <c r="TGG84" s="1185"/>
      <c r="TGH84" s="1185"/>
      <c r="TGI84" s="1185"/>
      <c r="TGJ84" s="1185"/>
      <c r="TGK84" s="1185"/>
      <c r="TGL84" s="1185"/>
      <c r="TGM84" s="1185"/>
      <c r="TGN84" s="1185"/>
      <c r="TGO84" s="1185"/>
      <c r="TGP84" s="1185"/>
      <c r="TGQ84" s="1185"/>
      <c r="TGR84" s="1185"/>
      <c r="TGS84" s="1185"/>
      <c r="TGT84" s="1185"/>
      <c r="TGU84" s="1185"/>
      <c r="TGV84" s="1185"/>
      <c r="TGW84" s="1185"/>
      <c r="TGX84" s="1185"/>
      <c r="TGY84" s="1185"/>
      <c r="TGZ84" s="1185"/>
      <c r="THA84" s="1185"/>
      <c r="THB84" s="1185"/>
      <c r="THC84" s="1185"/>
      <c r="THD84" s="1185"/>
      <c r="THE84" s="1185"/>
      <c r="THF84" s="1185"/>
      <c r="THG84" s="1185"/>
      <c r="THH84" s="1185"/>
      <c r="THI84" s="1185"/>
      <c r="THJ84" s="1185"/>
      <c r="THK84" s="1185"/>
      <c r="THL84" s="1185"/>
      <c r="THM84" s="1185"/>
      <c r="THN84" s="1185"/>
      <c r="THO84" s="1185"/>
      <c r="THP84" s="1185"/>
      <c r="THQ84" s="1185"/>
      <c r="THR84" s="1185"/>
      <c r="THS84" s="1185"/>
      <c r="THT84" s="1185"/>
      <c r="THU84" s="1185"/>
      <c r="THV84" s="1185"/>
      <c r="THW84" s="1185"/>
      <c r="THX84" s="1185"/>
      <c r="THY84" s="1185"/>
      <c r="THZ84" s="1185"/>
      <c r="TIA84" s="1185"/>
      <c r="TIB84" s="1185"/>
      <c r="TIC84" s="1185"/>
      <c r="TID84" s="1185"/>
      <c r="TIE84" s="1185"/>
      <c r="TIF84" s="1185"/>
      <c r="TIG84" s="1185"/>
      <c r="TIH84" s="1185"/>
      <c r="TII84" s="1185"/>
      <c r="TIJ84" s="1185"/>
      <c r="TIK84" s="1185"/>
      <c r="TIL84" s="1185"/>
      <c r="TIM84" s="1185"/>
      <c r="TIN84" s="1185"/>
      <c r="TIO84" s="1185"/>
      <c r="TIP84" s="1185"/>
      <c r="TIQ84" s="1185"/>
      <c r="TIR84" s="1185"/>
      <c r="TIS84" s="1185"/>
      <c r="TIT84" s="1185"/>
      <c r="TIU84" s="1185"/>
      <c r="TIV84" s="1185"/>
      <c r="TIW84" s="1185"/>
      <c r="TIX84" s="1185"/>
      <c r="TIY84" s="1185"/>
      <c r="TIZ84" s="1185"/>
      <c r="TJA84" s="1185"/>
      <c r="TJB84" s="1185"/>
      <c r="TJC84" s="1185"/>
      <c r="TJD84" s="1185"/>
      <c r="TJE84" s="1185"/>
      <c r="TJF84" s="1185"/>
      <c r="TJG84" s="1185"/>
      <c r="TJH84" s="1185"/>
      <c r="TJI84" s="1185"/>
      <c r="TJJ84" s="1185"/>
      <c r="TJK84" s="1185"/>
      <c r="TJL84" s="1185"/>
      <c r="TJM84" s="1185"/>
      <c r="TJN84" s="1185"/>
      <c r="TJO84" s="1185"/>
      <c r="TJP84" s="1185"/>
      <c r="TJQ84" s="1185"/>
      <c r="TJR84" s="1185"/>
      <c r="TJS84" s="1185"/>
      <c r="TJT84" s="1185"/>
      <c r="TJU84" s="1185"/>
      <c r="TJV84" s="1185"/>
      <c r="TJW84" s="1185"/>
      <c r="TJX84" s="1185"/>
      <c r="TJY84" s="1185"/>
      <c r="TJZ84" s="1185"/>
      <c r="TKA84" s="1185"/>
      <c r="TKB84" s="1185"/>
      <c r="TKC84" s="1185"/>
      <c r="TKD84" s="1185"/>
      <c r="TKE84" s="1185"/>
      <c r="TKF84" s="1185"/>
      <c r="TKG84" s="1185"/>
      <c r="TKH84" s="1185"/>
      <c r="TKI84" s="1185"/>
      <c r="TKJ84" s="1185"/>
      <c r="TKK84" s="1185"/>
      <c r="TKL84" s="1185"/>
      <c r="TKM84" s="1185"/>
      <c r="TKN84" s="1185"/>
      <c r="TKO84" s="1185"/>
      <c r="TKP84" s="1185"/>
      <c r="TKQ84" s="1185"/>
      <c r="TKR84" s="1185"/>
      <c r="TKS84" s="1185"/>
      <c r="TKT84" s="1185"/>
      <c r="TKU84" s="1185"/>
      <c r="TKV84" s="1185"/>
      <c r="TKW84" s="1185"/>
      <c r="TKX84" s="1185"/>
      <c r="TKY84" s="1185"/>
      <c r="TKZ84" s="1185"/>
      <c r="TLA84" s="1185"/>
      <c r="TLB84" s="1185"/>
      <c r="TLC84" s="1185"/>
      <c r="TLD84" s="1185"/>
      <c r="TLE84" s="1185"/>
      <c r="TLF84" s="1185"/>
      <c r="TLG84" s="1185"/>
      <c r="TLH84" s="1185"/>
      <c r="TLI84" s="1185"/>
      <c r="TLJ84" s="1185"/>
      <c r="TLK84" s="1185"/>
      <c r="TLL84" s="1185"/>
      <c r="TLM84" s="1185"/>
      <c r="TLN84" s="1185"/>
      <c r="TLO84" s="1185"/>
      <c r="TLP84" s="1185"/>
      <c r="TLQ84" s="1185"/>
      <c r="TLR84" s="1185"/>
      <c r="TLS84" s="1185"/>
      <c r="TLT84" s="1185"/>
      <c r="TLU84" s="1185"/>
      <c r="TLV84" s="1185"/>
      <c r="TLW84" s="1185"/>
      <c r="TLX84" s="1185"/>
      <c r="TLY84" s="1185"/>
      <c r="TLZ84" s="1185"/>
      <c r="TMA84" s="1185"/>
      <c r="TMB84" s="1185"/>
      <c r="TMC84" s="1185"/>
      <c r="TMD84" s="1185"/>
      <c r="TME84" s="1185"/>
      <c r="TMF84" s="1185"/>
      <c r="TMG84" s="1185"/>
      <c r="TMH84" s="1185"/>
      <c r="TMI84" s="1185"/>
      <c r="TMJ84" s="1185"/>
      <c r="TMK84" s="1185"/>
      <c r="TML84" s="1185"/>
      <c r="TMM84" s="1185"/>
      <c r="TMN84" s="1185"/>
      <c r="TMO84" s="1185"/>
      <c r="TMP84" s="1185"/>
      <c r="TMQ84" s="1185"/>
      <c r="TMR84" s="1185"/>
      <c r="TMS84" s="1185"/>
      <c r="TMT84" s="1185"/>
      <c r="TMU84" s="1185"/>
      <c r="TMV84" s="1185"/>
      <c r="TMW84" s="1185"/>
      <c r="TMX84" s="1185"/>
      <c r="TMY84" s="1185"/>
      <c r="TMZ84" s="1185"/>
      <c r="TNA84" s="1185"/>
      <c r="TNB84" s="1185"/>
      <c r="TNC84" s="1185"/>
      <c r="TND84" s="1185"/>
      <c r="TNE84" s="1185"/>
      <c r="TNF84" s="1185"/>
      <c r="TNG84" s="1185"/>
      <c r="TNH84" s="1185"/>
      <c r="TNI84" s="1185"/>
      <c r="TNJ84" s="1185"/>
      <c r="TNK84" s="1185"/>
      <c r="TNL84" s="1185"/>
      <c r="TNM84" s="1185"/>
      <c r="TNN84" s="1185"/>
      <c r="TNO84" s="1185"/>
      <c r="TNP84" s="1185"/>
      <c r="TNQ84" s="1185"/>
      <c r="TNR84" s="1185"/>
      <c r="TNS84" s="1185"/>
      <c r="TNT84" s="1185"/>
      <c r="TNU84" s="1185"/>
      <c r="TNV84" s="1185"/>
      <c r="TNW84" s="1185"/>
      <c r="TNX84" s="1185"/>
      <c r="TNY84" s="1185"/>
      <c r="TNZ84" s="1185"/>
      <c r="TOA84" s="1185"/>
      <c r="TOB84" s="1185"/>
      <c r="TOC84" s="1185"/>
      <c r="TOD84" s="1185"/>
      <c r="TOE84" s="1185"/>
      <c r="TOF84" s="1185"/>
      <c r="TOG84" s="1185"/>
      <c r="TOH84" s="1185"/>
      <c r="TOI84" s="1185"/>
      <c r="TOJ84" s="1185"/>
      <c r="TOK84" s="1185"/>
      <c r="TOL84" s="1185"/>
      <c r="TOM84" s="1185"/>
      <c r="TON84" s="1185"/>
      <c r="TOO84" s="1185"/>
      <c r="TOP84" s="1185"/>
      <c r="TOQ84" s="1185"/>
      <c r="TOR84" s="1185"/>
      <c r="TOS84" s="1185"/>
      <c r="TOT84" s="1185"/>
      <c r="TOU84" s="1185"/>
      <c r="TOV84" s="1185"/>
      <c r="TOW84" s="1185"/>
      <c r="TOX84" s="1185"/>
      <c r="TOY84" s="1185"/>
      <c r="TOZ84" s="1185"/>
      <c r="TPA84" s="1185"/>
      <c r="TPB84" s="1185"/>
      <c r="TPC84" s="1185"/>
      <c r="TPD84" s="1185"/>
      <c r="TPE84" s="1185"/>
      <c r="TPF84" s="1185"/>
      <c r="TPG84" s="1185"/>
      <c r="TPH84" s="1185"/>
      <c r="TPI84" s="1185"/>
      <c r="TPJ84" s="1185"/>
      <c r="TPK84" s="1185"/>
      <c r="TPL84" s="1185"/>
      <c r="TPM84" s="1185"/>
      <c r="TPN84" s="1185"/>
      <c r="TPO84" s="1185"/>
      <c r="TPP84" s="1185"/>
      <c r="TPQ84" s="1185"/>
      <c r="TPR84" s="1185"/>
      <c r="TPS84" s="1185"/>
      <c r="TPT84" s="1185"/>
      <c r="TPU84" s="1185"/>
      <c r="TPV84" s="1185"/>
      <c r="TPW84" s="1185"/>
      <c r="TPX84" s="1185"/>
      <c r="TPY84" s="1185"/>
      <c r="TPZ84" s="1185"/>
      <c r="TQA84" s="1185"/>
      <c r="TQB84" s="1185"/>
      <c r="TQC84" s="1185"/>
      <c r="TQD84" s="1185"/>
      <c r="TQE84" s="1185"/>
      <c r="TQF84" s="1185"/>
      <c r="TQG84" s="1185"/>
      <c r="TQH84" s="1185"/>
      <c r="TQI84" s="1185"/>
      <c r="TQJ84" s="1185"/>
      <c r="TQK84" s="1185"/>
      <c r="TQL84" s="1185"/>
      <c r="TQM84" s="1185"/>
      <c r="TQN84" s="1185"/>
      <c r="TQO84" s="1185"/>
      <c r="TQP84" s="1185"/>
      <c r="TQQ84" s="1185"/>
      <c r="TQR84" s="1185"/>
      <c r="TQS84" s="1185"/>
      <c r="TQT84" s="1185"/>
      <c r="TQU84" s="1185"/>
      <c r="TQV84" s="1185"/>
      <c r="TQW84" s="1185"/>
      <c r="TQX84" s="1185"/>
      <c r="TQY84" s="1185"/>
      <c r="TQZ84" s="1185"/>
      <c r="TRA84" s="1185"/>
      <c r="TRB84" s="1185"/>
      <c r="TRC84" s="1185"/>
      <c r="TRD84" s="1185"/>
      <c r="TRE84" s="1185"/>
      <c r="TRF84" s="1185"/>
      <c r="TRG84" s="1185"/>
      <c r="TRH84" s="1185"/>
      <c r="TRI84" s="1185"/>
      <c r="TRJ84" s="1185"/>
      <c r="TRK84" s="1185"/>
      <c r="TRL84" s="1185"/>
      <c r="TRM84" s="1185"/>
      <c r="TRN84" s="1185"/>
      <c r="TRO84" s="1185"/>
      <c r="TRP84" s="1185"/>
      <c r="TRQ84" s="1185"/>
      <c r="TRR84" s="1185"/>
      <c r="TRS84" s="1185"/>
      <c r="TRT84" s="1185"/>
      <c r="TRU84" s="1185"/>
      <c r="TRV84" s="1185"/>
      <c r="TRW84" s="1185"/>
      <c r="TRX84" s="1185"/>
      <c r="TRY84" s="1185"/>
      <c r="TRZ84" s="1185"/>
      <c r="TSA84" s="1185"/>
      <c r="TSB84" s="1185"/>
      <c r="TSC84" s="1185"/>
      <c r="TSD84" s="1185"/>
      <c r="TSE84" s="1185"/>
      <c r="TSF84" s="1185"/>
      <c r="TSG84" s="1185"/>
      <c r="TSH84" s="1185"/>
      <c r="TSI84" s="1185"/>
      <c r="TSJ84" s="1185"/>
      <c r="TSK84" s="1185"/>
      <c r="TSL84" s="1185"/>
      <c r="TSM84" s="1185"/>
      <c r="TSN84" s="1185"/>
      <c r="TSO84" s="1185"/>
      <c r="TSP84" s="1185"/>
      <c r="TSQ84" s="1185"/>
      <c r="TSR84" s="1185"/>
      <c r="TSS84" s="1185"/>
      <c r="TST84" s="1185"/>
      <c r="TSU84" s="1185"/>
      <c r="TSV84" s="1185"/>
      <c r="TSW84" s="1185"/>
      <c r="TSX84" s="1185"/>
      <c r="TSY84" s="1185"/>
      <c r="TSZ84" s="1185"/>
      <c r="TTA84" s="1185"/>
      <c r="TTB84" s="1185"/>
      <c r="TTC84" s="1185"/>
      <c r="TTD84" s="1185"/>
      <c r="TTE84" s="1185"/>
      <c r="TTF84" s="1185"/>
      <c r="TTG84" s="1185"/>
      <c r="TTH84" s="1185"/>
      <c r="TTI84" s="1185"/>
      <c r="TTJ84" s="1185"/>
      <c r="TTK84" s="1185"/>
      <c r="TTL84" s="1185"/>
      <c r="TTM84" s="1185"/>
      <c r="TTN84" s="1185"/>
      <c r="TTO84" s="1185"/>
      <c r="TTP84" s="1185"/>
      <c r="TTQ84" s="1185"/>
      <c r="TTR84" s="1185"/>
      <c r="TTS84" s="1185"/>
      <c r="TTT84" s="1185"/>
      <c r="TTU84" s="1185"/>
      <c r="TTV84" s="1185"/>
      <c r="TTW84" s="1185"/>
      <c r="TTX84" s="1185"/>
      <c r="TTY84" s="1185"/>
      <c r="TTZ84" s="1185"/>
      <c r="TUA84" s="1185"/>
      <c r="TUB84" s="1185"/>
      <c r="TUC84" s="1185"/>
      <c r="TUD84" s="1185"/>
      <c r="TUE84" s="1185"/>
      <c r="TUF84" s="1185"/>
      <c r="TUG84" s="1185"/>
      <c r="TUH84" s="1185"/>
      <c r="TUI84" s="1185"/>
      <c r="TUJ84" s="1185"/>
      <c r="TUK84" s="1185"/>
      <c r="TUL84" s="1185"/>
      <c r="TUM84" s="1185"/>
      <c r="TUN84" s="1185"/>
      <c r="TUO84" s="1185"/>
      <c r="TUP84" s="1185"/>
      <c r="TUQ84" s="1185"/>
      <c r="TUR84" s="1185"/>
      <c r="TUS84" s="1185"/>
      <c r="TUT84" s="1185"/>
      <c r="TUU84" s="1185"/>
      <c r="TUV84" s="1185"/>
      <c r="TUW84" s="1185"/>
      <c r="TUX84" s="1185"/>
      <c r="TUY84" s="1185"/>
      <c r="TUZ84" s="1185"/>
      <c r="TVA84" s="1185"/>
      <c r="TVB84" s="1185"/>
      <c r="TVC84" s="1185"/>
      <c r="TVD84" s="1185"/>
      <c r="TVE84" s="1185"/>
      <c r="TVF84" s="1185"/>
      <c r="TVG84" s="1185"/>
      <c r="TVH84" s="1185"/>
      <c r="TVI84" s="1185"/>
      <c r="TVJ84" s="1185"/>
      <c r="TVK84" s="1185"/>
      <c r="TVL84" s="1185"/>
      <c r="TVM84" s="1185"/>
      <c r="TVN84" s="1185"/>
      <c r="TVO84" s="1185"/>
      <c r="TVP84" s="1185"/>
      <c r="TVQ84" s="1185"/>
      <c r="TVR84" s="1185"/>
      <c r="TVS84" s="1185"/>
      <c r="TVT84" s="1185"/>
      <c r="TVU84" s="1185"/>
      <c r="TVV84" s="1185"/>
      <c r="TVW84" s="1185"/>
      <c r="TVX84" s="1185"/>
      <c r="TVY84" s="1185"/>
      <c r="TVZ84" s="1185"/>
      <c r="TWA84" s="1185"/>
      <c r="TWB84" s="1185"/>
      <c r="TWC84" s="1185"/>
      <c r="TWD84" s="1185"/>
      <c r="TWE84" s="1185"/>
      <c r="TWF84" s="1185"/>
      <c r="TWG84" s="1185"/>
      <c r="TWH84" s="1185"/>
      <c r="TWI84" s="1185"/>
      <c r="TWJ84" s="1185"/>
      <c r="TWK84" s="1185"/>
      <c r="TWL84" s="1185"/>
      <c r="TWM84" s="1185"/>
      <c r="TWN84" s="1185"/>
      <c r="TWO84" s="1185"/>
      <c r="TWP84" s="1185"/>
      <c r="TWQ84" s="1185"/>
      <c r="TWR84" s="1185"/>
      <c r="TWS84" s="1185"/>
      <c r="TWT84" s="1185"/>
      <c r="TWU84" s="1185"/>
      <c r="TWV84" s="1185"/>
      <c r="TWW84" s="1185"/>
      <c r="TWX84" s="1185"/>
      <c r="TWY84" s="1185"/>
      <c r="TWZ84" s="1185"/>
      <c r="TXA84" s="1185"/>
      <c r="TXB84" s="1185"/>
      <c r="TXC84" s="1185"/>
      <c r="TXD84" s="1185"/>
      <c r="TXE84" s="1185"/>
      <c r="TXF84" s="1185"/>
      <c r="TXG84" s="1185"/>
      <c r="TXH84" s="1185"/>
      <c r="TXI84" s="1185"/>
      <c r="TXJ84" s="1185"/>
      <c r="TXK84" s="1185"/>
      <c r="TXL84" s="1185"/>
      <c r="TXM84" s="1185"/>
      <c r="TXN84" s="1185"/>
      <c r="TXO84" s="1185"/>
      <c r="TXP84" s="1185"/>
      <c r="TXQ84" s="1185"/>
      <c r="TXR84" s="1185"/>
      <c r="TXS84" s="1185"/>
      <c r="TXT84" s="1185"/>
      <c r="TXU84" s="1185"/>
      <c r="TXV84" s="1185"/>
      <c r="TXW84" s="1185"/>
      <c r="TXX84" s="1185"/>
      <c r="TXY84" s="1185"/>
      <c r="TXZ84" s="1185"/>
      <c r="TYA84" s="1185"/>
      <c r="TYB84" s="1185"/>
      <c r="TYC84" s="1185"/>
      <c r="TYD84" s="1185"/>
      <c r="TYE84" s="1185"/>
      <c r="TYF84" s="1185"/>
      <c r="TYG84" s="1185"/>
      <c r="TYH84" s="1185"/>
      <c r="TYI84" s="1185"/>
      <c r="TYJ84" s="1185"/>
      <c r="TYK84" s="1185"/>
      <c r="TYL84" s="1185"/>
      <c r="TYM84" s="1185"/>
      <c r="TYN84" s="1185"/>
      <c r="TYO84" s="1185"/>
      <c r="TYP84" s="1185"/>
      <c r="TYQ84" s="1185"/>
      <c r="TYR84" s="1185"/>
      <c r="TYS84" s="1185"/>
      <c r="TYT84" s="1185"/>
      <c r="TYU84" s="1185"/>
      <c r="TYV84" s="1185"/>
      <c r="TYW84" s="1185"/>
      <c r="TYX84" s="1185"/>
      <c r="TYY84" s="1185"/>
      <c r="TYZ84" s="1185"/>
      <c r="TZA84" s="1185"/>
      <c r="TZB84" s="1185"/>
      <c r="TZC84" s="1185"/>
      <c r="TZD84" s="1185"/>
      <c r="TZE84" s="1185"/>
      <c r="TZF84" s="1185"/>
      <c r="TZG84" s="1185"/>
      <c r="TZH84" s="1185"/>
      <c r="TZI84" s="1185"/>
      <c r="TZJ84" s="1185"/>
      <c r="TZK84" s="1185"/>
      <c r="TZL84" s="1185"/>
      <c r="TZM84" s="1185"/>
      <c r="TZN84" s="1185"/>
      <c r="TZO84" s="1185"/>
      <c r="TZP84" s="1185"/>
      <c r="TZQ84" s="1185"/>
      <c r="TZR84" s="1185"/>
      <c r="TZS84" s="1185"/>
      <c r="TZT84" s="1185"/>
      <c r="TZU84" s="1185"/>
      <c r="TZV84" s="1185"/>
      <c r="TZW84" s="1185"/>
      <c r="TZX84" s="1185"/>
      <c r="TZY84" s="1185"/>
      <c r="TZZ84" s="1185"/>
      <c r="UAA84" s="1185"/>
      <c r="UAB84" s="1185"/>
      <c r="UAC84" s="1185"/>
      <c r="UAD84" s="1185"/>
      <c r="UAE84" s="1185"/>
      <c r="UAF84" s="1185"/>
      <c r="UAG84" s="1185"/>
      <c r="UAH84" s="1185"/>
      <c r="UAI84" s="1185"/>
      <c r="UAJ84" s="1185"/>
      <c r="UAK84" s="1185"/>
      <c r="UAL84" s="1185"/>
      <c r="UAM84" s="1185"/>
      <c r="UAN84" s="1185"/>
      <c r="UAO84" s="1185"/>
      <c r="UAP84" s="1185"/>
      <c r="UAQ84" s="1185"/>
      <c r="UAR84" s="1185"/>
      <c r="UAS84" s="1185"/>
      <c r="UAT84" s="1185"/>
      <c r="UAU84" s="1185"/>
      <c r="UAV84" s="1185"/>
      <c r="UAW84" s="1185"/>
      <c r="UAX84" s="1185"/>
      <c r="UAY84" s="1185"/>
      <c r="UAZ84" s="1185"/>
      <c r="UBA84" s="1185"/>
      <c r="UBB84" s="1185"/>
      <c r="UBC84" s="1185"/>
      <c r="UBD84" s="1185"/>
      <c r="UBE84" s="1185"/>
      <c r="UBF84" s="1185"/>
      <c r="UBG84" s="1185"/>
      <c r="UBH84" s="1185"/>
      <c r="UBI84" s="1185"/>
      <c r="UBJ84" s="1185"/>
      <c r="UBK84" s="1185"/>
      <c r="UBL84" s="1185"/>
      <c r="UBM84" s="1185"/>
      <c r="UBN84" s="1185"/>
      <c r="UBO84" s="1185"/>
      <c r="UBP84" s="1185"/>
      <c r="UBQ84" s="1185"/>
      <c r="UBR84" s="1185"/>
      <c r="UBS84" s="1185"/>
      <c r="UBT84" s="1185"/>
      <c r="UBU84" s="1185"/>
      <c r="UBV84" s="1185"/>
      <c r="UBW84" s="1185"/>
      <c r="UBX84" s="1185"/>
      <c r="UBY84" s="1185"/>
      <c r="UBZ84" s="1185"/>
      <c r="UCA84" s="1185"/>
      <c r="UCB84" s="1185"/>
      <c r="UCC84" s="1185"/>
      <c r="UCD84" s="1185"/>
      <c r="UCE84" s="1185"/>
      <c r="UCF84" s="1185"/>
      <c r="UCG84" s="1185"/>
      <c r="UCH84" s="1185"/>
      <c r="UCI84" s="1185"/>
      <c r="UCJ84" s="1185"/>
      <c r="UCK84" s="1185"/>
      <c r="UCL84" s="1185"/>
      <c r="UCM84" s="1185"/>
      <c r="UCN84" s="1185"/>
      <c r="UCO84" s="1185"/>
      <c r="UCP84" s="1185"/>
      <c r="UCQ84" s="1185"/>
      <c r="UCR84" s="1185"/>
      <c r="UCS84" s="1185"/>
      <c r="UCT84" s="1185"/>
      <c r="UCU84" s="1185"/>
      <c r="UCV84" s="1185"/>
      <c r="UCW84" s="1185"/>
      <c r="UCX84" s="1185"/>
      <c r="UCY84" s="1185"/>
      <c r="UCZ84" s="1185"/>
      <c r="UDA84" s="1185"/>
      <c r="UDB84" s="1185"/>
      <c r="UDC84" s="1185"/>
      <c r="UDD84" s="1185"/>
      <c r="UDE84" s="1185"/>
      <c r="UDF84" s="1185"/>
      <c r="UDG84" s="1185"/>
      <c r="UDH84" s="1185"/>
      <c r="UDI84" s="1185"/>
      <c r="UDJ84" s="1185"/>
      <c r="UDK84" s="1185"/>
      <c r="UDL84" s="1185"/>
      <c r="UDM84" s="1185"/>
      <c r="UDN84" s="1185"/>
      <c r="UDO84" s="1185"/>
      <c r="UDP84" s="1185"/>
      <c r="UDQ84" s="1185"/>
      <c r="UDR84" s="1185"/>
      <c r="UDS84" s="1185"/>
      <c r="UDT84" s="1185"/>
      <c r="UDU84" s="1185"/>
      <c r="UDV84" s="1185"/>
      <c r="UDW84" s="1185"/>
      <c r="UDX84" s="1185"/>
      <c r="UDY84" s="1185"/>
      <c r="UDZ84" s="1185"/>
      <c r="UEA84" s="1185"/>
      <c r="UEB84" s="1185"/>
      <c r="UEC84" s="1185"/>
      <c r="UED84" s="1185"/>
      <c r="UEE84" s="1185"/>
      <c r="UEF84" s="1185"/>
      <c r="UEG84" s="1185"/>
      <c r="UEH84" s="1185"/>
      <c r="UEI84" s="1185"/>
      <c r="UEJ84" s="1185"/>
      <c r="UEK84" s="1185"/>
      <c r="UEL84" s="1185"/>
      <c r="UEM84" s="1185"/>
      <c r="UEN84" s="1185"/>
      <c r="UEO84" s="1185"/>
      <c r="UEP84" s="1185"/>
      <c r="UEQ84" s="1185"/>
      <c r="UER84" s="1185"/>
      <c r="UES84" s="1185"/>
      <c r="UET84" s="1185"/>
      <c r="UEU84" s="1185"/>
      <c r="UEV84" s="1185"/>
      <c r="UEW84" s="1185"/>
      <c r="UEX84" s="1185"/>
      <c r="UEY84" s="1185"/>
      <c r="UEZ84" s="1185"/>
      <c r="UFA84" s="1185"/>
      <c r="UFB84" s="1185"/>
      <c r="UFC84" s="1185"/>
      <c r="UFD84" s="1185"/>
      <c r="UFE84" s="1185"/>
      <c r="UFF84" s="1185"/>
      <c r="UFG84" s="1185"/>
      <c r="UFH84" s="1185"/>
      <c r="UFI84" s="1185"/>
      <c r="UFJ84" s="1185"/>
      <c r="UFK84" s="1185"/>
      <c r="UFL84" s="1185"/>
      <c r="UFM84" s="1185"/>
      <c r="UFN84" s="1185"/>
      <c r="UFO84" s="1185"/>
      <c r="UFP84" s="1185"/>
      <c r="UFQ84" s="1185"/>
      <c r="UFR84" s="1185"/>
      <c r="UFS84" s="1185"/>
      <c r="UFT84" s="1185"/>
      <c r="UFU84" s="1185"/>
      <c r="UFV84" s="1185"/>
      <c r="UFW84" s="1185"/>
      <c r="UFX84" s="1185"/>
      <c r="UFY84" s="1185"/>
      <c r="UFZ84" s="1185"/>
      <c r="UGA84" s="1185"/>
      <c r="UGB84" s="1185"/>
      <c r="UGC84" s="1185"/>
      <c r="UGD84" s="1185"/>
      <c r="UGE84" s="1185"/>
      <c r="UGF84" s="1185"/>
      <c r="UGG84" s="1185"/>
      <c r="UGH84" s="1185"/>
      <c r="UGI84" s="1185"/>
      <c r="UGJ84" s="1185"/>
      <c r="UGK84" s="1185"/>
      <c r="UGL84" s="1185"/>
      <c r="UGM84" s="1185"/>
      <c r="UGN84" s="1185"/>
      <c r="UGO84" s="1185"/>
      <c r="UGP84" s="1185"/>
      <c r="UGQ84" s="1185"/>
      <c r="UGR84" s="1185"/>
      <c r="UGS84" s="1185"/>
      <c r="UGT84" s="1185"/>
      <c r="UGU84" s="1185"/>
      <c r="UGV84" s="1185"/>
      <c r="UGW84" s="1185"/>
      <c r="UGX84" s="1185"/>
      <c r="UGY84" s="1185"/>
      <c r="UGZ84" s="1185"/>
      <c r="UHA84" s="1185"/>
      <c r="UHB84" s="1185"/>
      <c r="UHC84" s="1185"/>
      <c r="UHD84" s="1185"/>
      <c r="UHE84" s="1185"/>
      <c r="UHF84" s="1185"/>
      <c r="UHG84" s="1185"/>
      <c r="UHH84" s="1185"/>
      <c r="UHI84" s="1185"/>
      <c r="UHJ84" s="1185"/>
      <c r="UHK84" s="1185"/>
      <c r="UHL84" s="1185"/>
      <c r="UHM84" s="1185"/>
      <c r="UHN84" s="1185"/>
      <c r="UHO84" s="1185"/>
      <c r="UHP84" s="1185"/>
      <c r="UHQ84" s="1185"/>
      <c r="UHR84" s="1185"/>
      <c r="UHS84" s="1185"/>
      <c r="UHT84" s="1185"/>
      <c r="UHU84" s="1185"/>
      <c r="UHV84" s="1185"/>
      <c r="UHW84" s="1185"/>
      <c r="UHX84" s="1185"/>
      <c r="UHY84" s="1185"/>
      <c r="UHZ84" s="1185"/>
      <c r="UIA84" s="1185"/>
      <c r="UIB84" s="1185"/>
      <c r="UIC84" s="1185"/>
      <c r="UID84" s="1185"/>
      <c r="UIE84" s="1185"/>
      <c r="UIF84" s="1185"/>
      <c r="UIG84" s="1185"/>
      <c r="UIH84" s="1185"/>
      <c r="UII84" s="1185"/>
      <c r="UIJ84" s="1185"/>
      <c r="UIK84" s="1185"/>
      <c r="UIL84" s="1185"/>
      <c r="UIM84" s="1185"/>
      <c r="UIN84" s="1185"/>
      <c r="UIO84" s="1185"/>
      <c r="UIP84" s="1185"/>
      <c r="UIQ84" s="1185"/>
      <c r="UIR84" s="1185"/>
      <c r="UIS84" s="1185"/>
      <c r="UIT84" s="1185"/>
      <c r="UIU84" s="1185"/>
      <c r="UIV84" s="1185"/>
      <c r="UIW84" s="1185"/>
      <c r="UIX84" s="1185"/>
      <c r="UIY84" s="1185"/>
      <c r="UIZ84" s="1185"/>
      <c r="UJA84" s="1185"/>
      <c r="UJB84" s="1185"/>
      <c r="UJC84" s="1185"/>
      <c r="UJD84" s="1185"/>
      <c r="UJE84" s="1185"/>
      <c r="UJF84" s="1185"/>
      <c r="UJG84" s="1185"/>
      <c r="UJH84" s="1185"/>
      <c r="UJI84" s="1185"/>
      <c r="UJJ84" s="1185"/>
      <c r="UJK84" s="1185"/>
      <c r="UJL84" s="1185"/>
      <c r="UJM84" s="1185"/>
      <c r="UJN84" s="1185"/>
      <c r="UJO84" s="1185"/>
      <c r="UJP84" s="1185"/>
      <c r="UJQ84" s="1185"/>
      <c r="UJR84" s="1185"/>
      <c r="UJS84" s="1185"/>
      <c r="UJT84" s="1185"/>
      <c r="UJU84" s="1185"/>
      <c r="UJV84" s="1185"/>
      <c r="UJW84" s="1185"/>
      <c r="UJX84" s="1185"/>
      <c r="UJY84" s="1185"/>
      <c r="UJZ84" s="1185"/>
      <c r="UKA84" s="1185"/>
      <c r="UKB84" s="1185"/>
      <c r="UKC84" s="1185"/>
      <c r="UKD84" s="1185"/>
      <c r="UKE84" s="1185"/>
      <c r="UKF84" s="1185"/>
      <c r="UKG84" s="1185"/>
      <c r="UKH84" s="1185"/>
      <c r="UKI84" s="1185"/>
      <c r="UKJ84" s="1185"/>
      <c r="UKK84" s="1185"/>
      <c r="UKL84" s="1185"/>
      <c r="UKM84" s="1185"/>
      <c r="UKN84" s="1185"/>
      <c r="UKO84" s="1185"/>
      <c r="UKP84" s="1185"/>
      <c r="UKQ84" s="1185"/>
      <c r="UKR84" s="1185"/>
      <c r="UKS84" s="1185"/>
      <c r="UKT84" s="1185"/>
      <c r="UKU84" s="1185"/>
      <c r="UKV84" s="1185"/>
      <c r="UKW84" s="1185"/>
      <c r="UKX84" s="1185"/>
      <c r="UKY84" s="1185"/>
      <c r="UKZ84" s="1185"/>
      <c r="ULA84" s="1185"/>
      <c r="ULB84" s="1185"/>
      <c r="ULC84" s="1185"/>
      <c r="ULD84" s="1185"/>
      <c r="ULE84" s="1185"/>
      <c r="ULF84" s="1185"/>
      <c r="ULG84" s="1185"/>
      <c r="ULH84" s="1185"/>
      <c r="ULI84" s="1185"/>
      <c r="ULJ84" s="1185"/>
      <c r="ULK84" s="1185"/>
      <c r="ULL84" s="1185"/>
      <c r="ULM84" s="1185"/>
      <c r="ULN84" s="1185"/>
      <c r="ULO84" s="1185"/>
      <c r="ULP84" s="1185"/>
      <c r="ULQ84" s="1185"/>
      <c r="ULR84" s="1185"/>
      <c r="ULS84" s="1185"/>
      <c r="ULT84" s="1185"/>
      <c r="ULU84" s="1185"/>
      <c r="ULV84" s="1185"/>
      <c r="ULW84" s="1185"/>
      <c r="ULX84" s="1185"/>
      <c r="ULY84" s="1185"/>
      <c r="ULZ84" s="1185"/>
      <c r="UMA84" s="1185"/>
      <c r="UMB84" s="1185"/>
      <c r="UMC84" s="1185"/>
      <c r="UMD84" s="1185"/>
      <c r="UME84" s="1185"/>
      <c r="UMF84" s="1185"/>
      <c r="UMG84" s="1185"/>
      <c r="UMH84" s="1185"/>
      <c r="UMI84" s="1185"/>
      <c r="UMJ84" s="1185"/>
      <c r="UMK84" s="1185"/>
      <c r="UML84" s="1185"/>
      <c r="UMM84" s="1185"/>
      <c r="UMN84" s="1185"/>
      <c r="UMO84" s="1185"/>
      <c r="UMP84" s="1185"/>
      <c r="UMQ84" s="1185"/>
      <c r="UMR84" s="1185"/>
      <c r="UMS84" s="1185"/>
      <c r="UMT84" s="1185"/>
      <c r="UMU84" s="1185"/>
      <c r="UMV84" s="1185"/>
      <c r="UMW84" s="1185"/>
      <c r="UMX84" s="1185"/>
      <c r="UMY84" s="1185"/>
      <c r="UMZ84" s="1185"/>
      <c r="UNA84" s="1185"/>
      <c r="UNB84" s="1185"/>
      <c r="UNC84" s="1185"/>
      <c r="UND84" s="1185"/>
      <c r="UNE84" s="1185"/>
      <c r="UNF84" s="1185"/>
      <c r="UNG84" s="1185"/>
      <c r="UNH84" s="1185"/>
      <c r="UNI84" s="1185"/>
      <c r="UNJ84" s="1185"/>
      <c r="UNK84" s="1185"/>
      <c r="UNL84" s="1185"/>
      <c r="UNM84" s="1185"/>
      <c r="UNN84" s="1185"/>
      <c r="UNO84" s="1185"/>
      <c r="UNP84" s="1185"/>
      <c r="UNQ84" s="1185"/>
      <c r="UNR84" s="1185"/>
      <c r="UNS84" s="1185"/>
      <c r="UNT84" s="1185"/>
      <c r="UNU84" s="1185"/>
      <c r="UNV84" s="1185"/>
      <c r="UNW84" s="1185"/>
      <c r="UNX84" s="1185"/>
      <c r="UNY84" s="1185"/>
      <c r="UNZ84" s="1185"/>
      <c r="UOA84" s="1185"/>
      <c r="UOB84" s="1185"/>
      <c r="UOC84" s="1185"/>
      <c r="UOD84" s="1185"/>
      <c r="UOE84" s="1185"/>
      <c r="UOF84" s="1185"/>
      <c r="UOG84" s="1185"/>
      <c r="UOH84" s="1185"/>
      <c r="UOI84" s="1185"/>
      <c r="UOJ84" s="1185"/>
      <c r="UOK84" s="1185"/>
      <c r="UOL84" s="1185"/>
      <c r="UOM84" s="1185"/>
      <c r="UON84" s="1185"/>
      <c r="UOO84" s="1185"/>
      <c r="UOP84" s="1185"/>
      <c r="UOQ84" s="1185"/>
      <c r="UOR84" s="1185"/>
      <c r="UOS84" s="1185"/>
      <c r="UOT84" s="1185"/>
      <c r="UOU84" s="1185"/>
      <c r="UOV84" s="1185"/>
      <c r="UOW84" s="1185"/>
      <c r="UOX84" s="1185"/>
      <c r="UOY84" s="1185"/>
      <c r="UOZ84" s="1185"/>
      <c r="UPA84" s="1185"/>
      <c r="UPB84" s="1185"/>
      <c r="UPC84" s="1185"/>
      <c r="UPD84" s="1185"/>
      <c r="UPE84" s="1185"/>
      <c r="UPF84" s="1185"/>
      <c r="UPG84" s="1185"/>
      <c r="UPH84" s="1185"/>
      <c r="UPI84" s="1185"/>
      <c r="UPJ84" s="1185"/>
      <c r="UPK84" s="1185"/>
      <c r="UPL84" s="1185"/>
      <c r="UPM84" s="1185"/>
      <c r="UPN84" s="1185"/>
      <c r="UPO84" s="1185"/>
      <c r="UPP84" s="1185"/>
      <c r="UPQ84" s="1185"/>
      <c r="UPR84" s="1185"/>
      <c r="UPS84" s="1185"/>
      <c r="UPT84" s="1185"/>
      <c r="UPU84" s="1185"/>
      <c r="UPV84" s="1185"/>
      <c r="UPW84" s="1185"/>
      <c r="UPX84" s="1185"/>
      <c r="UPY84" s="1185"/>
      <c r="UPZ84" s="1185"/>
      <c r="UQA84" s="1185"/>
      <c r="UQB84" s="1185"/>
      <c r="UQC84" s="1185"/>
      <c r="UQD84" s="1185"/>
      <c r="UQE84" s="1185"/>
      <c r="UQF84" s="1185"/>
      <c r="UQG84" s="1185"/>
      <c r="UQH84" s="1185"/>
      <c r="UQI84" s="1185"/>
      <c r="UQJ84" s="1185"/>
      <c r="UQK84" s="1185"/>
      <c r="UQL84" s="1185"/>
      <c r="UQM84" s="1185"/>
      <c r="UQN84" s="1185"/>
      <c r="UQO84" s="1185"/>
      <c r="UQP84" s="1185"/>
      <c r="UQQ84" s="1185"/>
      <c r="UQR84" s="1185"/>
      <c r="UQS84" s="1185"/>
      <c r="UQT84" s="1185"/>
      <c r="UQU84" s="1185"/>
      <c r="UQV84" s="1185"/>
      <c r="UQW84" s="1185"/>
      <c r="UQX84" s="1185"/>
      <c r="UQY84" s="1185"/>
      <c r="UQZ84" s="1185"/>
      <c r="URA84" s="1185"/>
      <c r="URB84" s="1185"/>
      <c r="URC84" s="1185"/>
      <c r="URD84" s="1185"/>
      <c r="URE84" s="1185"/>
      <c r="URF84" s="1185"/>
      <c r="URG84" s="1185"/>
      <c r="URH84" s="1185"/>
      <c r="URI84" s="1185"/>
      <c r="URJ84" s="1185"/>
      <c r="URK84" s="1185"/>
      <c r="URL84" s="1185"/>
      <c r="URM84" s="1185"/>
      <c r="URN84" s="1185"/>
      <c r="URO84" s="1185"/>
      <c r="URP84" s="1185"/>
      <c r="URQ84" s="1185"/>
      <c r="URR84" s="1185"/>
      <c r="URS84" s="1185"/>
      <c r="URT84" s="1185"/>
      <c r="URU84" s="1185"/>
      <c r="URV84" s="1185"/>
      <c r="URW84" s="1185"/>
      <c r="URX84" s="1185"/>
      <c r="URY84" s="1185"/>
      <c r="URZ84" s="1185"/>
      <c r="USA84" s="1185"/>
      <c r="USB84" s="1185"/>
      <c r="USC84" s="1185"/>
      <c r="USD84" s="1185"/>
      <c r="USE84" s="1185"/>
      <c r="USF84" s="1185"/>
      <c r="USG84" s="1185"/>
      <c r="USH84" s="1185"/>
      <c r="USI84" s="1185"/>
      <c r="USJ84" s="1185"/>
      <c r="USK84" s="1185"/>
      <c r="USL84" s="1185"/>
      <c r="USM84" s="1185"/>
      <c r="USN84" s="1185"/>
      <c r="USO84" s="1185"/>
      <c r="USP84" s="1185"/>
      <c r="USQ84" s="1185"/>
      <c r="USR84" s="1185"/>
      <c r="USS84" s="1185"/>
      <c r="UST84" s="1185"/>
      <c r="USU84" s="1185"/>
      <c r="USV84" s="1185"/>
      <c r="USW84" s="1185"/>
      <c r="USX84" s="1185"/>
      <c r="USY84" s="1185"/>
      <c r="USZ84" s="1185"/>
      <c r="UTA84" s="1185"/>
      <c r="UTB84" s="1185"/>
      <c r="UTC84" s="1185"/>
      <c r="UTD84" s="1185"/>
      <c r="UTE84" s="1185"/>
      <c r="UTF84" s="1185"/>
      <c r="UTG84" s="1185"/>
      <c r="UTH84" s="1185"/>
      <c r="UTI84" s="1185"/>
      <c r="UTJ84" s="1185"/>
      <c r="UTK84" s="1185"/>
      <c r="UTL84" s="1185"/>
      <c r="UTM84" s="1185"/>
      <c r="UTN84" s="1185"/>
      <c r="UTO84" s="1185"/>
      <c r="UTP84" s="1185"/>
      <c r="UTQ84" s="1185"/>
      <c r="UTR84" s="1185"/>
      <c r="UTS84" s="1185"/>
      <c r="UTT84" s="1185"/>
      <c r="UTU84" s="1185"/>
      <c r="UTV84" s="1185"/>
      <c r="UTW84" s="1185"/>
      <c r="UTX84" s="1185"/>
      <c r="UTY84" s="1185"/>
      <c r="UTZ84" s="1185"/>
      <c r="UUA84" s="1185"/>
      <c r="UUB84" s="1185"/>
      <c r="UUC84" s="1185"/>
      <c r="UUD84" s="1185"/>
      <c r="UUE84" s="1185"/>
      <c r="UUF84" s="1185"/>
      <c r="UUG84" s="1185"/>
      <c r="UUH84" s="1185"/>
      <c r="UUI84" s="1185"/>
      <c r="UUJ84" s="1185"/>
      <c r="UUK84" s="1185"/>
      <c r="UUL84" s="1185"/>
      <c r="UUM84" s="1185"/>
      <c r="UUN84" s="1185"/>
      <c r="UUO84" s="1185"/>
      <c r="UUP84" s="1185"/>
      <c r="UUQ84" s="1185"/>
      <c r="UUR84" s="1185"/>
      <c r="UUS84" s="1185"/>
      <c r="UUT84" s="1185"/>
      <c r="UUU84" s="1185"/>
      <c r="UUV84" s="1185"/>
      <c r="UUW84" s="1185"/>
      <c r="UUX84" s="1185"/>
      <c r="UUY84" s="1185"/>
      <c r="UUZ84" s="1185"/>
      <c r="UVA84" s="1185"/>
      <c r="UVB84" s="1185"/>
      <c r="UVC84" s="1185"/>
      <c r="UVD84" s="1185"/>
      <c r="UVE84" s="1185"/>
      <c r="UVF84" s="1185"/>
      <c r="UVG84" s="1185"/>
      <c r="UVH84" s="1185"/>
      <c r="UVI84" s="1185"/>
      <c r="UVJ84" s="1185"/>
      <c r="UVK84" s="1185"/>
      <c r="UVL84" s="1185"/>
      <c r="UVM84" s="1185"/>
      <c r="UVN84" s="1185"/>
      <c r="UVO84" s="1185"/>
      <c r="UVP84" s="1185"/>
      <c r="UVQ84" s="1185"/>
      <c r="UVR84" s="1185"/>
      <c r="UVS84" s="1185"/>
      <c r="UVT84" s="1185"/>
      <c r="UVU84" s="1185"/>
      <c r="UVV84" s="1185"/>
      <c r="UVW84" s="1185"/>
      <c r="UVX84" s="1185"/>
      <c r="UVY84" s="1185"/>
      <c r="UVZ84" s="1185"/>
      <c r="UWA84" s="1185"/>
      <c r="UWB84" s="1185"/>
      <c r="UWC84" s="1185"/>
      <c r="UWD84" s="1185"/>
      <c r="UWE84" s="1185"/>
      <c r="UWF84" s="1185"/>
      <c r="UWG84" s="1185"/>
      <c r="UWH84" s="1185"/>
      <c r="UWI84" s="1185"/>
      <c r="UWJ84" s="1185"/>
      <c r="UWK84" s="1185"/>
      <c r="UWL84" s="1185"/>
      <c r="UWM84" s="1185"/>
      <c r="UWN84" s="1185"/>
      <c r="UWO84" s="1185"/>
      <c r="UWP84" s="1185"/>
      <c r="UWQ84" s="1185"/>
      <c r="UWR84" s="1185"/>
      <c r="UWS84" s="1185"/>
      <c r="UWT84" s="1185"/>
      <c r="UWU84" s="1185"/>
      <c r="UWV84" s="1185"/>
      <c r="UWW84" s="1185"/>
      <c r="UWX84" s="1185"/>
      <c r="UWY84" s="1185"/>
      <c r="UWZ84" s="1185"/>
      <c r="UXA84" s="1185"/>
      <c r="UXB84" s="1185"/>
      <c r="UXC84" s="1185"/>
      <c r="UXD84" s="1185"/>
      <c r="UXE84" s="1185"/>
      <c r="UXF84" s="1185"/>
      <c r="UXG84" s="1185"/>
      <c r="UXH84" s="1185"/>
      <c r="UXI84" s="1185"/>
      <c r="UXJ84" s="1185"/>
      <c r="UXK84" s="1185"/>
      <c r="UXL84" s="1185"/>
      <c r="UXM84" s="1185"/>
      <c r="UXN84" s="1185"/>
      <c r="UXO84" s="1185"/>
      <c r="UXP84" s="1185"/>
      <c r="UXQ84" s="1185"/>
      <c r="UXR84" s="1185"/>
      <c r="UXS84" s="1185"/>
      <c r="UXT84" s="1185"/>
      <c r="UXU84" s="1185"/>
      <c r="UXV84" s="1185"/>
      <c r="UXW84" s="1185"/>
      <c r="UXX84" s="1185"/>
      <c r="UXY84" s="1185"/>
      <c r="UXZ84" s="1185"/>
      <c r="UYA84" s="1185"/>
      <c r="UYB84" s="1185"/>
      <c r="UYC84" s="1185"/>
      <c r="UYD84" s="1185"/>
      <c r="UYE84" s="1185"/>
      <c r="UYF84" s="1185"/>
      <c r="UYG84" s="1185"/>
      <c r="UYH84" s="1185"/>
      <c r="UYI84" s="1185"/>
      <c r="UYJ84" s="1185"/>
      <c r="UYK84" s="1185"/>
      <c r="UYL84" s="1185"/>
      <c r="UYM84" s="1185"/>
      <c r="UYN84" s="1185"/>
      <c r="UYO84" s="1185"/>
      <c r="UYP84" s="1185"/>
      <c r="UYQ84" s="1185"/>
      <c r="UYR84" s="1185"/>
      <c r="UYS84" s="1185"/>
      <c r="UYT84" s="1185"/>
      <c r="UYU84" s="1185"/>
      <c r="UYV84" s="1185"/>
      <c r="UYW84" s="1185"/>
      <c r="UYX84" s="1185"/>
      <c r="UYY84" s="1185"/>
      <c r="UYZ84" s="1185"/>
      <c r="UZA84" s="1185"/>
      <c r="UZB84" s="1185"/>
      <c r="UZC84" s="1185"/>
      <c r="UZD84" s="1185"/>
      <c r="UZE84" s="1185"/>
      <c r="UZF84" s="1185"/>
      <c r="UZG84" s="1185"/>
      <c r="UZH84" s="1185"/>
      <c r="UZI84" s="1185"/>
      <c r="UZJ84" s="1185"/>
      <c r="UZK84" s="1185"/>
      <c r="UZL84" s="1185"/>
      <c r="UZM84" s="1185"/>
      <c r="UZN84" s="1185"/>
      <c r="UZO84" s="1185"/>
      <c r="UZP84" s="1185"/>
      <c r="UZQ84" s="1185"/>
      <c r="UZR84" s="1185"/>
      <c r="UZS84" s="1185"/>
      <c r="UZT84" s="1185"/>
      <c r="UZU84" s="1185"/>
      <c r="UZV84" s="1185"/>
      <c r="UZW84" s="1185"/>
      <c r="UZX84" s="1185"/>
      <c r="UZY84" s="1185"/>
      <c r="UZZ84" s="1185"/>
      <c r="VAA84" s="1185"/>
      <c r="VAB84" s="1185"/>
      <c r="VAC84" s="1185"/>
      <c r="VAD84" s="1185"/>
      <c r="VAE84" s="1185"/>
      <c r="VAF84" s="1185"/>
      <c r="VAG84" s="1185"/>
      <c r="VAH84" s="1185"/>
      <c r="VAI84" s="1185"/>
      <c r="VAJ84" s="1185"/>
      <c r="VAK84" s="1185"/>
      <c r="VAL84" s="1185"/>
      <c r="VAM84" s="1185"/>
      <c r="VAN84" s="1185"/>
      <c r="VAO84" s="1185"/>
      <c r="VAP84" s="1185"/>
      <c r="VAQ84" s="1185"/>
      <c r="VAR84" s="1185"/>
      <c r="VAS84" s="1185"/>
      <c r="VAT84" s="1185"/>
      <c r="VAU84" s="1185"/>
      <c r="VAV84" s="1185"/>
      <c r="VAW84" s="1185"/>
      <c r="VAX84" s="1185"/>
      <c r="VAY84" s="1185"/>
      <c r="VAZ84" s="1185"/>
      <c r="VBA84" s="1185"/>
      <c r="VBB84" s="1185"/>
      <c r="VBC84" s="1185"/>
      <c r="VBD84" s="1185"/>
      <c r="VBE84" s="1185"/>
      <c r="VBF84" s="1185"/>
      <c r="VBG84" s="1185"/>
      <c r="VBH84" s="1185"/>
      <c r="VBI84" s="1185"/>
      <c r="VBJ84" s="1185"/>
      <c r="VBK84" s="1185"/>
      <c r="VBL84" s="1185"/>
      <c r="VBM84" s="1185"/>
      <c r="VBN84" s="1185"/>
      <c r="VBO84" s="1185"/>
      <c r="VBP84" s="1185"/>
      <c r="VBQ84" s="1185"/>
      <c r="VBR84" s="1185"/>
      <c r="VBS84" s="1185"/>
      <c r="VBT84" s="1185"/>
      <c r="VBU84" s="1185"/>
      <c r="VBV84" s="1185"/>
      <c r="VBW84" s="1185"/>
      <c r="VBX84" s="1185"/>
      <c r="VBY84" s="1185"/>
      <c r="VBZ84" s="1185"/>
      <c r="VCA84" s="1185"/>
      <c r="VCB84" s="1185"/>
      <c r="VCC84" s="1185"/>
      <c r="VCD84" s="1185"/>
      <c r="VCE84" s="1185"/>
      <c r="VCF84" s="1185"/>
      <c r="VCG84" s="1185"/>
      <c r="VCH84" s="1185"/>
      <c r="VCI84" s="1185"/>
      <c r="VCJ84" s="1185"/>
      <c r="VCK84" s="1185"/>
      <c r="VCL84" s="1185"/>
      <c r="VCM84" s="1185"/>
      <c r="VCN84" s="1185"/>
      <c r="VCO84" s="1185"/>
      <c r="VCP84" s="1185"/>
      <c r="VCQ84" s="1185"/>
      <c r="VCR84" s="1185"/>
      <c r="VCS84" s="1185"/>
      <c r="VCT84" s="1185"/>
      <c r="VCU84" s="1185"/>
      <c r="VCV84" s="1185"/>
      <c r="VCW84" s="1185"/>
      <c r="VCX84" s="1185"/>
      <c r="VCY84" s="1185"/>
      <c r="VCZ84" s="1185"/>
      <c r="VDA84" s="1185"/>
      <c r="VDB84" s="1185"/>
      <c r="VDC84" s="1185"/>
      <c r="VDD84" s="1185"/>
      <c r="VDE84" s="1185"/>
      <c r="VDF84" s="1185"/>
      <c r="VDG84" s="1185"/>
      <c r="VDH84" s="1185"/>
      <c r="VDI84" s="1185"/>
      <c r="VDJ84" s="1185"/>
      <c r="VDK84" s="1185"/>
      <c r="VDL84" s="1185"/>
      <c r="VDM84" s="1185"/>
      <c r="VDN84" s="1185"/>
      <c r="VDO84" s="1185"/>
      <c r="VDP84" s="1185"/>
      <c r="VDQ84" s="1185"/>
      <c r="VDR84" s="1185"/>
      <c r="VDS84" s="1185"/>
      <c r="VDT84" s="1185"/>
      <c r="VDU84" s="1185"/>
      <c r="VDV84" s="1185"/>
      <c r="VDW84" s="1185"/>
      <c r="VDX84" s="1185"/>
      <c r="VDY84" s="1185"/>
      <c r="VDZ84" s="1185"/>
      <c r="VEA84" s="1185"/>
      <c r="VEB84" s="1185"/>
      <c r="VEC84" s="1185"/>
      <c r="VED84" s="1185"/>
      <c r="VEE84" s="1185"/>
      <c r="VEF84" s="1185"/>
      <c r="VEG84" s="1185"/>
      <c r="VEH84" s="1185"/>
      <c r="VEI84" s="1185"/>
      <c r="VEJ84" s="1185"/>
      <c r="VEK84" s="1185"/>
      <c r="VEL84" s="1185"/>
      <c r="VEM84" s="1185"/>
      <c r="VEN84" s="1185"/>
      <c r="VEO84" s="1185"/>
      <c r="VEP84" s="1185"/>
      <c r="VEQ84" s="1185"/>
      <c r="VER84" s="1185"/>
      <c r="VES84" s="1185"/>
      <c r="VET84" s="1185"/>
      <c r="VEU84" s="1185"/>
      <c r="VEV84" s="1185"/>
      <c r="VEW84" s="1185"/>
      <c r="VEX84" s="1185"/>
      <c r="VEY84" s="1185"/>
      <c r="VEZ84" s="1185"/>
      <c r="VFA84" s="1185"/>
      <c r="VFB84" s="1185"/>
      <c r="VFC84" s="1185"/>
      <c r="VFD84" s="1185"/>
      <c r="VFE84" s="1185"/>
      <c r="VFF84" s="1185"/>
      <c r="VFG84" s="1185"/>
      <c r="VFH84" s="1185"/>
      <c r="VFI84" s="1185"/>
      <c r="VFJ84" s="1185"/>
      <c r="VFK84" s="1185"/>
      <c r="VFL84" s="1185"/>
      <c r="VFM84" s="1185"/>
      <c r="VFN84" s="1185"/>
      <c r="VFO84" s="1185"/>
      <c r="VFP84" s="1185"/>
      <c r="VFQ84" s="1185"/>
      <c r="VFR84" s="1185"/>
      <c r="VFS84" s="1185"/>
      <c r="VFT84" s="1185"/>
      <c r="VFU84" s="1185"/>
      <c r="VFV84" s="1185"/>
      <c r="VFW84" s="1185"/>
      <c r="VFX84" s="1185"/>
      <c r="VFY84" s="1185"/>
      <c r="VFZ84" s="1185"/>
      <c r="VGA84" s="1185"/>
      <c r="VGB84" s="1185"/>
      <c r="VGC84" s="1185"/>
      <c r="VGD84" s="1185"/>
      <c r="VGE84" s="1185"/>
      <c r="VGF84" s="1185"/>
      <c r="VGG84" s="1185"/>
      <c r="VGH84" s="1185"/>
      <c r="VGI84" s="1185"/>
      <c r="VGJ84" s="1185"/>
      <c r="VGK84" s="1185"/>
      <c r="VGL84" s="1185"/>
      <c r="VGM84" s="1185"/>
      <c r="VGN84" s="1185"/>
      <c r="VGO84" s="1185"/>
      <c r="VGP84" s="1185"/>
      <c r="VGQ84" s="1185"/>
      <c r="VGR84" s="1185"/>
      <c r="VGS84" s="1185"/>
      <c r="VGT84" s="1185"/>
      <c r="VGU84" s="1185"/>
      <c r="VGV84" s="1185"/>
      <c r="VGW84" s="1185"/>
      <c r="VGX84" s="1185"/>
      <c r="VGY84" s="1185"/>
      <c r="VGZ84" s="1185"/>
      <c r="VHA84" s="1185"/>
      <c r="VHB84" s="1185"/>
      <c r="VHC84" s="1185"/>
      <c r="VHD84" s="1185"/>
      <c r="VHE84" s="1185"/>
      <c r="VHF84" s="1185"/>
      <c r="VHG84" s="1185"/>
      <c r="VHH84" s="1185"/>
      <c r="VHI84" s="1185"/>
      <c r="VHJ84" s="1185"/>
      <c r="VHK84" s="1185"/>
      <c r="VHL84" s="1185"/>
      <c r="VHM84" s="1185"/>
      <c r="VHN84" s="1185"/>
      <c r="VHO84" s="1185"/>
      <c r="VHP84" s="1185"/>
      <c r="VHQ84" s="1185"/>
      <c r="VHR84" s="1185"/>
      <c r="VHS84" s="1185"/>
      <c r="VHT84" s="1185"/>
      <c r="VHU84" s="1185"/>
      <c r="VHV84" s="1185"/>
      <c r="VHW84" s="1185"/>
      <c r="VHX84" s="1185"/>
      <c r="VHY84" s="1185"/>
      <c r="VHZ84" s="1185"/>
      <c r="VIA84" s="1185"/>
      <c r="VIB84" s="1185"/>
      <c r="VIC84" s="1185"/>
      <c r="VID84" s="1185"/>
      <c r="VIE84" s="1185"/>
      <c r="VIF84" s="1185"/>
      <c r="VIG84" s="1185"/>
      <c r="VIH84" s="1185"/>
      <c r="VII84" s="1185"/>
      <c r="VIJ84" s="1185"/>
      <c r="VIK84" s="1185"/>
      <c r="VIL84" s="1185"/>
      <c r="VIM84" s="1185"/>
      <c r="VIN84" s="1185"/>
      <c r="VIO84" s="1185"/>
      <c r="VIP84" s="1185"/>
      <c r="VIQ84" s="1185"/>
      <c r="VIR84" s="1185"/>
      <c r="VIS84" s="1185"/>
      <c r="VIT84" s="1185"/>
      <c r="VIU84" s="1185"/>
      <c r="VIV84" s="1185"/>
      <c r="VIW84" s="1185"/>
      <c r="VIX84" s="1185"/>
      <c r="VIY84" s="1185"/>
      <c r="VIZ84" s="1185"/>
      <c r="VJA84" s="1185"/>
      <c r="VJB84" s="1185"/>
      <c r="VJC84" s="1185"/>
      <c r="VJD84" s="1185"/>
      <c r="VJE84" s="1185"/>
      <c r="VJF84" s="1185"/>
      <c r="VJG84" s="1185"/>
      <c r="VJH84" s="1185"/>
      <c r="VJI84" s="1185"/>
      <c r="VJJ84" s="1185"/>
      <c r="VJK84" s="1185"/>
      <c r="VJL84" s="1185"/>
      <c r="VJM84" s="1185"/>
      <c r="VJN84" s="1185"/>
      <c r="VJO84" s="1185"/>
      <c r="VJP84" s="1185"/>
      <c r="VJQ84" s="1185"/>
      <c r="VJR84" s="1185"/>
      <c r="VJS84" s="1185"/>
      <c r="VJT84" s="1185"/>
      <c r="VJU84" s="1185"/>
      <c r="VJV84" s="1185"/>
      <c r="VJW84" s="1185"/>
      <c r="VJX84" s="1185"/>
      <c r="VJY84" s="1185"/>
      <c r="VJZ84" s="1185"/>
      <c r="VKA84" s="1185"/>
      <c r="VKB84" s="1185"/>
      <c r="VKC84" s="1185"/>
      <c r="VKD84" s="1185"/>
      <c r="VKE84" s="1185"/>
      <c r="VKF84" s="1185"/>
      <c r="VKG84" s="1185"/>
      <c r="VKH84" s="1185"/>
      <c r="VKI84" s="1185"/>
      <c r="VKJ84" s="1185"/>
      <c r="VKK84" s="1185"/>
      <c r="VKL84" s="1185"/>
      <c r="VKM84" s="1185"/>
      <c r="VKN84" s="1185"/>
      <c r="VKO84" s="1185"/>
      <c r="VKP84" s="1185"/>
      <c r="VKQ84" s="1185"/>
      <c r="VKR84" s="1185"/>
      <c r="VKS84" s="1185"/>
      <c r="VKT84" s="1185"/>
      <c r="VKU84" s="1185"/>
      <c r="VKV84" s="1185"/>
      <c r="VKW84" s="1185"/>
      <c r="VKX84" s="1185"/>
      <c r="VKY84" s="1185"/>
      <c r="VKZ84" s="1185"/>
      <c r="VLA84" s="1185"/>
      <c r="VLB84" s="1185"/>
      <c r="VLC84" s="1185"/>
      <c r="VLD84" s="1185"/>
      <c r="VLE84" s="1185"/>
      <c r="VLF84" s="1185"/>
      <c r="VLG84" s="1185"/>
      <c r="VLH84" s="1185"/>
      <c r="VLI84" s="1185"/>
      <c r="VLJ84" s="1185"/>
      <c r="VLK84" s="1185"/>
      <c r="VLL84" s="1185"/>
      <c r="VLM84" s="1185"/>
      <c r="VLN84" s="1185"/>
      <c r="VLO84" s="1185"/>
      <c r="VLP84" s="1185"/>
      <c r="VLQ84" s="1185"/>
      <c r="VLR84" s="1185"/>
      <c r="VLS84" s="1185"/>
      <c r="VLT84" s="1185"/>
      <c r="VLU84" s="1185"/>
      <c r="VLV84" s="1185"/>
      <c r="VLW84" s="1185"/>
      <c r="VLX84" s="1185"/>
      <c r="VLY84" s="1185"/>
      <c r="VLZ84" s="1185"/>
      <c r="VMA84" s="1185"/>
      <c r="VMB84" s="1185"/>
      <c r="VMC84" s="1185"/>
      <c r="VMD84" s="1185"/>
      <c r="VME84" s="1185"/>
      <c r="VMF84" s="1185"/>
      <c r="VMG84" s="1185"/>
      <c r="VMH84" s="1185"/>
      <c r="VMI84" s="1185"/>
      <c r="VMJ84" s="1185"/>
      <c r="VMK84" s="1185"/>
      <c r="VML84" s="1185"/>
      <c r="VMM84" s="1185"/>
      <c r="VMN84" s="1185"/>
      <c r="VMO84" s="1185"/>
      <c r="VMP84" s="1185"/>
      <c r="VMQ84" s="1185"/>
      <c r="VMR84" s="1185"/>
      <c r="VMS84" s="1185"/>
      <c r="VMT84" s="1185"/>
      <c r="VMU84" s="1185"/>
      <c r="VMV84" s="1185"/>
      <c r="VMW84" s="1185"/>
      <c r="VMX84" s="1185"/>
      <c r="VMY84" s="1185"/>
      <c r="VMZ84" s="1185"/>
      <c r="VNA84" s="1185"/>
      <c r="VNB84" s="1185"/>
      <c r="VNC84" s="1185"/>
      <c r="VND84" s="1185"/>
      <c r="VNE84" s="1185"/>
      <c r="VNF84" s="1185"/>
      <c r="VNG84" s="1185"/>
      <c r="VNH84" s="1185"/>
      <c r="VNI84" s="1185"/>
      <c r="VNJ84" s="1185"/>
      <c r="VNK84" s="1185"/>
      <c r="VNL84" s="1185"/>
      <c r="VNM84" s="1185"/>
      <c r="VNN84" s="1185"/>
      <c r="VNO84" s="1185"/>
      <c r="VNP84" s="1185"/>
      <c r="VNQ84" s="1185"/>
      <c r="VNR84" s="1185"/>
      <c r="VNS84" s="1185"/>
      <c r="VNT84" s="1185"/>
      <c r="VNU84" s="1185"/>
      <c r="VNV84" s="1185"/>
      <c r="VNW84" s="1185"/>
      <c r="VNX84" s="1185"/>
      <c r="VNY84" s="1185"/>
      <c r="VNZ84" s="1185"/>
      <c r="VOA84" s="1185"/>
      <c r="VOB84" s="1185"/>
      <c r="VOC84" s="1185"/>
      <c r="VOD84" s="1185"/>
      <c r="VOE84" s="1185"/>
      <c r="VOF84" s="1185"/>
      <c r="VOG84" s="1185"/>
      <c r="VOH84" s="1185"/>
      <c r="VOI84" s="1185"/>
      <c r="VOJ84" s="1185"/>
      <c r="VOK84" s="1185"/>
      <c r="VOL84" s="1185"/>
      <c r="VOM84" s="1185"/>
      <c r="VON84" s="1185"/>
      <c r="VOO84" s="1185"/>
      <c r="VOP84" s="1185"/>
      <c r="VOQ84" s="1185"/>
      <c r="VOR84" s="1185"/>
      <c r="VOS84" s="1185"/>
      <c r="VOT84" s="1185"/>
      <c r="VOU84" s="1185"/>
      <c r="VOV84" s="1185"/>
      <c r="VOW84" s="1185"/>
      <c r="VOX84" s="1185"/>
      <c r="VOY84" s="1185"/>
      <c r="VOZ84" s="1185"/>
      <c r="VPA84" s="1185"/>
      <c r="VPB84" s="1185"/>
      <c r="VPC84" s="1185"/>
      <c r="VPD84" s="1185"/>
      <c r="VPE84" s="1185"/>
      <c r="VPF84" s="1185"/>
      <c r="VPG84" s="1185"/>
      <c r="VPH84" s="1185"/>
      <c r="VPI84" s="1185"/>
      <c r="VPJ84" s="1185"/>
      <c r="VPK84" s="1185"/>
      <c r="VPL84" s="1185"/>
      <c r="VPM84" s="1185"/>
      <c r="VPN84" s="1185"/>
      <c r="VPO84" s="1185"/>
      <c r="VPP84" s="1185"/>
      <c r="VPQ84" s="1185"/>
      <c r="VPR84" s="1185"/>
      <c r="VPS84" s="1185"/>
      <c r="VPT84" s="1185"/>
      <c r="VPU84" s="1185"/>
      <c r="VPV84" s="1185"/>
      <c r="VPW84" s="1185"/>
      <c r="VPX84" s="1185"/>
      <c r="VPY84" s="1185"/>
      <c r="VPZ84" s="1185"/>
      <c r="VQA84" s="1185"/>
      <c r="VQB84" s="1185"/>
      <c r="VQC84" s="1185"/>
      <c r="VQD84" s="1185"/>
      <c r="VQE84" s="1185"/>
      <c r="VQF84" s="1185"/>
      <c r="VQG84" s="1185"/>
      <c r="VQH84" s="1185"/>
      <c r="VQI84" s="1185"/>
      <c r="VQJ84" s="1185"/>
      <c r="VQK84" s="1185"/>
      <c r="VQL84" s="1185"/>
      <c r="VQM84" s="1185"/>
      <c r="VQN84" s="1185"/>
      <c r="VQO84" s="1185"/>
      <c r="VQP84" s="1185"/>
      <c r="VQQ84" s="1185"/>
      <c r="VQR84" s="1185"/>
      <c r="VQS84" s="1185"/>
      <c r="VQT84" s="1185"/>
      <c r="VQU84" s="1185"/>
      <c r="VQV84" s="1185"/>
      <c r="VQW84" s="1185"/>
      <c r="VQX84" s="1185"/>
      <c r="VQY84" s="1185"/>
      <c r="VQZ84" s="1185"/>
      <c r="VRA84" s="1185"/>
      <c r="VRB84" s="1185"/>
      <c r="VRC84" s="1185"/>
      <c r="VRD84" s="1185"/>
      <c r="VRE84" s="1185"/>
      <c r="VRF84" s="1185"/>
      <c r="VRG84" s="1185"/>
      <c r="VRH84" s="1185"/>
      <c r="VRI84" s="1185"/>
      <c r="VRJ84" s="1185"/>
      <c r="VRK84" s="1185"/>
      <c r="VRL84" s="1185"/>
      <c r="VRM84" s="1185"/>
      <c r="VRN84" s="1185"/>
      <c r="VRO84" s="1185"/>
      <c r="VRP84" s="1185"/>
      <c r="VRQ84" s="1185"/>
      <c r="VRR84" s="1185"/>
      <c r="VRS84" s="1185"/>
      <c r="VRT84" s="1185"/>
      <c r="VRU84" s="1185"/>
      <c r="VRV84" s="1185"/>
      <c r="VRW84" s="1185"/>
      <c r="VRX84" s="1185"/>
      <c r="VRY84" s="1185"/>
      <c r="VRZ84" s="1185"/>
      <c r="VSA84" s="1185"/>
      <c r="VSB84" s="1185"/>
      <c r="VSC84" s="1185"/>
      <c r="VSD84" s="1185"/>
      <c r="VSE84" s="1185"/>
      <c r="VSF84" s="1185"/>
      <c r="VSG84" s="1185"/>
      <c r="VSH84" s="1185"/>
      <c r="VSI84" s="1185"/>
      <c r="VSJ84" s="1185"/>
      <c r="VSK84" s="1185"/>
      <c r="VSL84" s="1185"/>
      <c r="VSM84" s="1185"/>
      <c r="VSN84" s="1185"/>
      <c r="VSO84" s="1185"/>
      <c r="VSP84" s="1185"/>
      <c r="VSQ84" s="1185"/>
      <c r="VSR84" s="1185"/>
      <c r="VSS84" s="1185"/>
      <c r="VST84" s="1185"/>
      <c r="VSU84" s="1185"/>
      <c r="VSV84" s="1185"/>
      <c r="VSW84" s="1185"/>
      <c r="VSX84" s="1185"/>
      <c r="VSY84" s="1185"/>
      <c r="VSZ84" s="1185"/>
      <c r="VTA84" s="1185"/>
      <c r="VTB84" s="1185"/>
      <c r="VTC84" s="1185"/>
      <c r="VTD84" s="1185"/>
      <c r="VTE84" s="1185"/>
      <c r="VTF84" s="1185"/>
      <c r="VTG84" s="1185"/>
      <c r="VTH84" s="1185"/>
      <c r="VTI84" s="1185"/>
      <c r="VTJ84" s="1185"/>
      <c r="VTK84" s="1185"/>
      <c r="VTL84" s="1185"/>
      <c r="VTM84" s="1185"/>
      <c r="VTN84" s="1185"/>
      <c r="VTO84" s="1185"/>
      <c r="VTP84" s="1185"/>
      <c r="VTQ84" s="1185"/>
      <c r="VTR84" s="1185"/>
      <c r="VTS84" s="1185"/>
      <c r="VTT84" s="1185"/>
      <c r="VTU84" s="1185"/>
      <c r="VTV84" s="1185"/>
      <c r="VTW84" s="1185"/>
      <c r="VTX84" s="1185"/>
      <c r="VTY84" s="1185"/>
      <c r="VTZ84" s="1185"/>
      <c r="VUA84" s="1185"/>
      <c r="VUB84" s="1185"/>
      <c r="VUC84" s="1185"/>
      <c r="VUD84" s="1185"/>
      <c r="VUE84" s="1185"/>
      <c r="VUF84" s="1185"/>
      <c r="VUG84" s="1185"/>
      <c r="VUH84" s="1185"/>
      <c r="VUI84" s="1185"/>
      <c r="VUJ84" s="1185"/>
      <c r="VUK84" s="1185"/>
      <c r="VUL84" s="1185"/>
      <c r="VUM84" s="1185"/>
      <c r="VUN84" s="1185"/>
      <c r="VUO84" s="1185"/>
      <c r="VUP84" s="1185"/>
      <c r="VUQ84" s="1185"/>
      <c r="VUR84" s="1185"/>
      <c r="VUS84" s="1185"/>
      <c r="VUT84" s="1185"/>
      <c r="VUU84" s="1185"/>
      <c r="VUV84" s="1185"/>
      <c r="VUW84" s="1185"/>
      <c r="VUX84" s="1185"/>
      <c r="VUY84" s="1185"/>
      <c r="VUZ84" s="1185"/>
      <c r="VVA84" s="1185"/>
      <c r="VVB84" s="1185"/>
      <c r="VVC84" s="1185"/>
      <c r="VVD84" s="1185"/>
      <c r="VVE84" s="1185"/>
      <c r="VVF84" s="1185"/>
      <c r="VVG84" s="1185"/>
      <c r="VVH84" s="1185"/>
      <c r="VVI84" s="1185"/>
      <c r="VVJ84" s="1185"/>
      <c r="VVK84" s="1185"/>
      <c r="VVL84" s="1185"/>
      <c r="VVM84" s="1185"/>
      <c r="VVN84" s="1185"/>
      <c r="VVO84" s="1185"/>
      <c r="VVP84" s="1185"/>
      <c r="VVQ84" s="1185"/>
      <c r="VVR84" s="1185"/>
      <c r="VVS84" s="1185"/>
      <c r="VVT84" s="1185"/>
      <c r="VVU84" s="1185"/>
      <c r="VVV84" s="1185"/>
      <c r="VVW84" s="1185"/>
      <c r="VVX84" s="1185"/>
      <c r="VVY84" s="1185"/>
      <c r="VVZ84" s="1185"/>
      <c r="VWA84" s="1185"/>
      <c r="VWB84" s="1185"/>
      <c r="VWC84" s="1185"/>
      <c r="VWD84" s="1185"/>
      <c r="VWE84" s="1185"/>
      <c r="VWF84" s="1185"/>
      <c r="VWG84" s="1185"/>
      <c r="VWH84" s="1185"/>
      <c r="VWI84" s="1185"/>
      <c r="VWJ84" s="1185"/>
      <c r="VWK84" s="1185"/>
      <c r="VWL84" s="1185"/>
      <c r="VWM84" s="1185"/>
      <c r="VWN84" s="1185"/>
      <c r="VWO84" s="1185"/>
      <c r="VWP84" s="1185"/>
      <c r="VWQ84" s="1185"/>
      <c r="VWR84" s="1185"/>
      <c r="VWS84" s="1185"/>
      <c r="VWT84" s="1185"/>
      <c r="VWU84" s="1185"/>
      <c r="VWV84" s="1185"/>
      <c r="VWW84" s="1185"/>
      <c r="VWX84" s="1185"/>
      <c r="VWY84" s="1185"/>
      <c r="VWZ84" s="1185"/>
      <c r="VXA84" s="1185"/>
      <c r="VXB84" s="1185"/>
      <c r="VXC84" s="1185"/>
      <c r="VXD84" s="1185"/>
      <c r="VXE84" s="1185"/>
      <c r="VXF84" s="1185"/>
      <c r="VXG84" s="1185"/>
      <c r="VXH84" s="1185"/>
      <c r="VXI84" s="1185"/>
      <c r="VXJ84" s="1185"/>
      <c r="VXK84" s="1185"/>
      <c r="VXL84" s="1185"/>
      <c r="VXM84" s="1185"/>
      <c r="VXN84" s="1185"/>
      <c r="VXO84" s="1185"/>
      <c r="VXP84" s="1185"/>
      <c r="VXQ84" s="1185"/>
      <c r="VXR84" s="1185"/>
      <c r="VXS84" s="1185"/>
      <c r="VXT84" s="1185"/>
      <c r="VXU84" s="1185"/>
      <c r="VXV84" s="1185"/>
      <c r="VXW84" s="1185"/>
      <c r="VXX84" s="1185"/>
      <c r="VXY84" s="1185"/>
      <c r="VXZ84" s="1185"/>
      <c r="VYA84" s="1185"/>
      <c r="VYB84" s="1185"/>
      <c r="VYC84" s="1185"/>
      <c r="VYD84" s="1185"/>
      <c r="VYE84" s="1185"/>
      <c r="VYF84" s="1185"/>
      <c r="VYG84" s="1185"/>
      <c r="VYH84" s="1185"/>
      <c r="VYI84" s="1185"/>
      <c r="VYJ84" s="1185"/>
      <c r="VYK84" s="1185"/>
      <c r="VYL84" s="1185"/>
      <c r="VYM84" s="1185"/>
      <c r="VYN84" s="1185"/>
      <c r="VYO84" s="1185"/>
      <c r="VYP84" s="1185"/>
      <c r="VYQ84" s="1185"/>
      <c r="VYR84" s="1185"/>
      <c r="VYS84" s="1185"/>
      <c r="VYT84" s="1185"/>
      <c r="VYU84" s="1185"/>
      <c r="VYV84" s="1185"/>
      <c r="VYW84" s="1185"/>
      <c r="VYX84" s="1185"/>
      <c r="VYY84" s="1185"/>
      <c r="VYZ84" s="1185"/>
      <c r="VZA84" s="1185"/>
      <c r="VZB84" s="1185"/>
      <c r="VZC84" s="1185"/>
      <c r="VZD84" s="1185"/>
      <c r="VZE84" s="1185"/>
      <c r="VZF84" s="1185"/>
      <c r="VZG84" s="1185"/>
      <c r="VZH84" s="1185"/>
      <c r="VZI84" s="1185"/>
      <c r="VZJ84" s="1185"/>
      <c r="VZK84" s="1185"/>
      <c r="VZL84" s="1185"/>
      <c r="VZM84" s="1185"/>
      <c r="VZN84" s="1185"/>
      <c r="VZO84" s="1185"/>
      <c r="VZP84" s="1185"/>
      <c r="VZQ84" s="1185"/>
      <c r="VZR84" s="1185"/>
      <c r="VZS84" s="1185"/>
      <c r="VZT84" s="1185"/>
      <c r="VZU84" s="1185"/>
      <c r="VZV84" s="1185"/>
      <c r="VZW84" s="1185"/>
      <c r="VZX84" s="1185"/>
      <c r="VZY84" s="1185"/>
      <c r="VZZ84" s="1185"/>
      <c r="WAA84" s="1185"/>
      <c r="WAB84" s="1185"/>
      <c r="WAC84" s="1185"/>
      <c r="WAD84" s="1185"/>
      <c r="WAE84" s="1185"/>
      <c r="WAF84" s="1185"/>
      <c r="WAG84" s="1185"/>
      <c r="WAH84" s="1185"/>
      <c r="WAI84" s="1185"/>
      <c r="WAJ84" s="1185"/>
      <c r="WAK84" s="1185"/>
      <c r="WAL84" s="1185"/>
      <c r="WAM84" s="1185"/>
      <c r="WAN84" s="1185"/>
      <c r="WAO84" s="1185"/>
      <c r="WAP84" s="1185"/>
      <c r="WAQ84" s="1185"/>
      <c r="WAR84" s="1185"/>
      <c r="WAS84" s="1185"/>
      <c r="WAT84" s="1185"/>
      <c r="WAU84" s="1185"/>
      <c r="WAV84" s="1185"/>
      <c r="WAW84" s="1185"/>
      <c r="WAX84" s="1185"/>
      <c r="WAY84" s="1185"/>
      <c r="WAZ84" s="1185"/>
      <c r="WBA84" s="1185"/>
      <c r="WBB84" s="1185"/>
      <c r="WBC84" s="1185"/>
      <c r="WBD84" s="1185"/>
      <c r="WBE84" s="1185"/>
      <c r="WBF84" s="1185"/>
      <c r="WBG84" s="1185"/>
      <c r="WBH84" s="1185"/>
      <c r="WBI84" s="1185"/>
      <c r="WBJ84" s="1185"/>
      <c r="WBK84" s="1185"/>
      <c r="WBL84" s="1185"/>
      <c r="WBM84" s="1185"/>
      <c r="WBN84" s="1185"/>
      <c r="WBO84" s="1185"/>
      <c r="WBP84" s="1185"/>
      <c r="WBQ84" s="1185"/>
      <c r="WBR84" s="1185"/>
      <c r="WBS84" s="1185"/>
      <c r="WBT84" s="1185"/>
      <c r="WBU84" s="1185"/>
      <c r="WBV84" s="1185"/>
      <c r="WBW84" s="1185"/>
      <c r="WBX84" s="1185"/>
      <c r="WBY84" s="1185"/>
      <c r="WBZ84" s="1185"/>
      <c r="WCA84" s="1185"/>
      <c r="WCB84" s="1185"/>
      <c r="WCC84" s="1185"/>
      <c r="WCD84" s="1185"/>
      <c r="WCE84" s="1185"/>
      <c r="WCF84" s="1185"/>
      <c r="WCG84" s="1185"/>
      <c r="WCH84" s="1185"/>
      <c r="WCI84" s="1185"/>
      <c r="WCJ84" s="1185"/>
      <c r="WCK84" s="1185"/>
      <c r="WCL84" s="1185"/>
      <c r="WCM84" s="1185"/>
      <c r="WCN84" s="1185"/>
      <c r="WCO84" s="1185"/>
      <c r="WCP84" s="1185"/>
      <c r="WCQ84" s="1185"/>
      <c r="WCR84" s="1185"/>
      <c r="WCS84" s="1185"/>
      <c r="WCT84" s="1185"/>
      <c r="WCU84" s="1185"/>
      <c r="WCV84" s="1185"/>
      <c r="WCW84" s="1185"/>
      <c r="WCX84" s="1185"/>
      <c r="WCY84" s="1185"/>
      <c r="WCZ84" s="1185"/>
      <c r="WDA84" s="1185"/>
      <c r="WDB84" s="1185"/>
      <c r="WDC84" s="1185"/>
      <c r="WDD84" s="1185"/>
      <c r="WDE84" s="1185"/>
      <c r="WDF84" s="1185"/>
      <c r="WDG84" s="1185"/>
      <c r="WDH84" s="1185"/>
      <c r="WDI84" s="1185"/>
      <c r="WDJ84" s="1185"/>
      <c r="WDK84" s="1185"/>
      <c r="WDL84" s="1185"/>
      <c r="WDM84" s="1185"/>
      <c r="WDN84" s="1185"/>
      <c r="WDO84" s="1185"/>
      <c r="WDP84" s="1185"/>
      <c r="WDQ84" s="1185"/>
      <c r="WDR84" s="1185"/>
      <c r="WDS84" s="1185"/>
      <c r="WDT84" s="1185"/>
      <c r="WDU84" s="1185"/>
      <c r="WDV84" s="1185"/>
      <c r="WDW84" s="1185"/>
      <c r="WDX84" s="1185"/>
      <c r="WDY84" s="1185"/>
      <c r="WDZ84" s="1185"/>
      <c r="WEA84" s="1185"/>
      <c r="WEB84" s="1185"/>
      <c r="WEC84" s="1185"/>
      <c r="WED84" s="1185"/>
      <c r="WEE84" s="1185"/>
      <c r="WEF84" s="1185"/>
      <c r="WEG84" s="1185"/>
      <c r="WEH84" s="1185"/>
      <c r="WEI84" s="1185"/>
      <c r="WEJ84" s="1185"/>
      <c r="WEK84" s="1185"/>
      <c r="WEL84" s="1185"/>
      <c r="WEM84" s="1185"/>
      <c r="WEN84" s="1185"/>
      <c r="WEO84" s="1185"/>
      <c r="WEP84" s="1185"/>
      <c r="WEQ84" s="1185"/>
      <c r="WER84" s="1185"/>
      <c r="WES84" s="1185"/>
      <c r="WET84" s="1185"/>
      <c r="WEU84" s="1185"/>
      <c r="WEV84" s="1185"/>
      <c r="WEW84" s="1185"/>
      <c r="WEX84" s="1185"/>
      <c r="WEY84" s="1185"/>
      <c r="WEZ84" s="1185"/>
      <c r="WFA84" s="1185"/>
      <c r="WFB84" s="1185"/>
      <c r="WFC84" s="1185"/>
      <c r="WFD84" s="1185"/>
      <c r="WFE84" s="1185"/>
      <c r="WFF84" s="1185"/>
      <c r="WFG84" s="1185"/>
      <c r="WFH84" s="1185"/>
      <c r="WFI84" s="1185"/>
      <c r="WFJ84" s="1185"/>
      <c r="WFK84" s="1185"/>
      <c r="WFL84" s="1185"/>
      <c r="WFM84" s="1185"/>
      <c r="WFN84" s="1185"/>
      <c r="WFO84" s="1185"/>
      <c r="WFP84" s="1185"/>
      <c r="WFQ84" s="1185"/>
      <c r="WFR84" s="1185"/>
      <c r="WFS84" s="1185"/>
      <c r="WFT84" s="1185"/>
      <c r="WFU84" s="1185"/>
      <c r="WFV84" s="1185"/>
      <c r="WFW84" s="1185"/>
      <c r="WFX84" s="1185"/>
      <c r="WFY84" s="1185"/>
      <c r="WFZ84" s="1185"/>
      <c r="WGA84" s="1185"/>
      <c r="WGB84" s="1185"/>
      <c r="WGC84" s="1185"/>
      <c r="WGD84" s="1185"/>
      <c r="WGE84" s="1185"/>
      <c r="WGF84" s="1185"/>
      <c r="WGG84" s="1185"/>
      <c r="WGH84" s="1185"/>
      <c r="WGI84" s="1185"/>
      <c r="WGJ84" s="1185"/>
      <c r="WGK84" s="1185"/>
      <c r="WGL84" s="1185"/>
      <c r="WGM84" s="1185"/>
      <c r="WGN84" s="1185"/>
      <c r="WGO84" s="1185"/>
      <c r="WGP84" s="1185"/>
      <c r="WGQ84" s="1185"/>
      <c r="WGR84" s="1185"/>
      <c r="WGS84" s="1185"/>
      <c r="WGT84" s="1185"/>
      <c r="WGU84" s="1185"/>
      <c r="WGV84" s="1185"/>
      <c r="WGW84" s="1185"/>
      <c r="WGX84" s="1185"/>
      <c r="WGY84" s="1185"/>
      <c r="WGZ84" s="1185"/>
      <c r="WHA84" s="1185"/>
      <c r="WHB84" s="1185"/>
      <c r="WHC84" s="1185"/>
      <c r="WHD84" s="1185"/>
      <c r="WHE84" s="1185"/>
      <c r="WHF84" s="1185"/>
      <c r="WHG84" s="1185"/>
      <c r="WHH84" s="1185"/>
      <c r="WHI84" s="1185"/>
      <c r="WHJ84" s="1185"/>
      <c r="WHK84" s="1185"/>
      <c r="WHL84" s="1185"/>
      <c r="WHM84" s="1185"/>
      <c r="WHN84" s="1185"/>
      <c r="WHO84" s="1185"/>
      <c r="WHP84" s="1185"/>
      <c r="WHQ84" s="1185"/>
      <c r="WHR84" s="1185"/>
      <c r="WHS84" s="1185"/>
      <c r="WHT84" s="1185"/>
      <c r="WHU84" s="1185"/>
      <c r="WHV84" s="1185"/>
      <c r="WHW84" s="1185"/>
      <c r="WHX84" s="1185"/>
      <c r="WHY84" s="1185"/>
      <c r="WHZ84" s="1185"/>
      <c r="WIA84" s="1185"/>
      <c r="WIB84" s="1185"/>
      <c r="WIC84" s="1185"/>
      <c r="WID84" s="1185"/>
      <c r="WIE84" s="1185"/>
      <c r="WIF84" s="1185"/>
      <c r="WIG84" s="1185"/>
      <c r="WIH84" s="1185"/>
      <c r="WII84" s="1185"/>
      <c r="WIJ84" s="1185"/>
      <c r="WIK84" s="1185"/>
      <c r="WIL84" s="1185"/>
      <c r="WIM84" s="1185"/>
      <c r="WIN84" s="1185"/>
      <c r="WIO84" s="1185"/>
      <c r="WIP84" s="1185"/>
      <c r="WIQ84" s="1185"/>
      <c r="WIR84" s="1185"/>
      <c r="WIS84" s="1185"/>
      <c r="WIT84" s="1185"/>
      <c r="WIU84" s="1185"/>
      <c r="WIV84" s="1185"/>
      <c r="WIW84" s="1185"/>
      <c r="WIX84" s="1185"/>
      <c r="WIY84" s="1185"/>
      <c r="WIZ84" s="1185"/>
      <c r="WJA84" s="1185"/>
      <c r="WJB84" s="1185"/>
      <c r="WJC84" s="1185"/>
      <c r="WJD84" s="1185"/>
      <c r="WJE84" s="1185"/>
      <c r="WJF84" s="1185"/>
      <c r="WJG84" s="1185"/>
      <c r="WJH84" s="1185"/>
      <c r="WJI84" s="1185"/>
      <c r="WJJ84" s="1185"/>
      <c r="WJK84" s="1185"/>
      <c r="WJL84" s="1185"/>
      <c r="WJM84" s="1185"/>
      <c r="WJN84" s="1185"/>
      <c r="WJO84" s="1185"/>
      <c r="WJP84" s="1185"/>
      <c r="WJQ84" s="1185"/>
      <c r="WJR84" s="1185"/>
      <c r="WJS84" s="1185"/>
      <c r="WJT84" s="1185"/>
      <c r="WJU84" s="1185"/>
      <c r="WJV84" s="1185"/>
      <c r="WJW84" s="1185"/>
      <c r="WJX84" s="1185"/>
      <c r="WJY84" s="1185"/>
      <c r="WJZ84" s="1185"/>
      <c r="WKA84" s="1185"/>
      <c r="WKB84" s="1185"/>
      <c r="WKC84" s="1185"/>
      <c r="WKD84" s="1185"/>
      <c r="WKE84" s="1185"/>
      <c r="WKF84" s="1185"/>
      <c r="WKG84" s="1185"/>
      <c r="WKH84" s="1185"/>
      <c r="WKI84" s="1185"/>
      <c r="WKJ84" s="1185"/>
      <c r="WKK84" s="1185"/>
      <c r="WKL84" s="1185"/>
      <c r="WKM84" s="1185"/>
      <c r="WKN84" s="1185"/>
      <c r="WKO84" s="1185"/>
      <c r="WKP84" s="1185"/>
      <c r="WKQ84" s="1185"/>
      <c r="WKR84" s="1185"/>
      <c r="WKS84" s="1185"/>
      <c r="WKT84" s="1185"/>
      <c r="WKU84" s="1185"/>
      <c r="WKV84" s="1185"/>
      <c r="WKW84" s="1185"/>
      <c r="WKX84" s="1185"/>
      <c r="WKY84" s="1185"/>
      <c r="WKZ84" s="1185"/>
      <c r="WLA84" s="1185"/>
      <c r="WLB84" s="1185"/>
      <c r="WLC84" s="1185"/>
      <c r="WLD84" s="1185"/>
      <c r="WLE84" s="1185"/>
      <c r="WLF84" s="1185"/>
      <c r="WLG84" s="1185"/>
      <c r="WLH84" s="1185"/>
      <c r="WLI84" s="1185"/>
      <c r="WLJ84" s="1185"/>
      <c r="WLK84" s="1185"/>
      <c r="WLL84" s="1185"/>
      <c r="WLM84" s="1185"/>
      <c r="WLN84" s="1185"/>
      <c r="WLO84" s="1185"/>
      <c r="WLP84" s="1185"/>
      <c r="WLQ84" s="1185"/>
      <c r="WLR84" s="1185"/>
      <c r="WLS84" s="1185"/>
      <c r="WLT84" s="1185"/>
      <c r="WLU84" s="1185"/>
      <c r="WLV84" s="1185"/>
      <c r="WLW84" s="1185"/>
      <c r="WLX84" s="1185"/>
      <c r="WLY84" s="1185"/>
      <c r="WLZ84" s="1185"/>
      <c r="WMA84" s="1185"/>
      <c r="WMB84" s="1185"/>
      <c r="WMC84" s="1185"/>
      <c r="WMD84" s="1185"/>
      <c r="WME84" s="1185"/>
      <c r="WMF84" s="1185"/>
      <c r="WMG84" s="1185"/>
      <c r="WMH84" s="1185"/>
      <c r="WMI84" s="1185"/>
      <c r="WMJ84" s="1185"/>
      <c r="WMK84" s="1185"/>
      <c r="WML84" s="1185"/>
      <c r="WMM84" s="1185"/>
      <c r="WMN84" s="1185"/>
      <c r="WMO84" s="1185"/>
      <c r="WMP84" s="1185"/>
      <c r="WMQ84" s="1185"/>
      <c r="WMR84" s="1185"/>
      <c r="WMS84" s="1185"/>
      <c r="WMT84" s="1185"/>
      <c r="WMU84" s="1185"/>
      <c r="WMV84" s="1185"/>
      <c r="WMW84" s="1185"/>
      <c r="WMX84" s="1185"/>
      <c r="WMY84" s="1185"/>
      <c r="WMZ84" s="1185"/>
      <c r="WNA84" s="1185"/>
      <c r="WNB84" s="1185"/>
      <c r="WNC84" s="1185"/>
      <c r="WND84" s="1185"/>
      <c r="WNE84" s="1185"/>
      <c r="WNF84" s="1185"/>
      <c r="WNG84" s="1185"/>
      <c r="WNH84" s="1185"/>
      <c r="WNI84" s="1185"/>
      <c r="WNJ84" s="1185"/>
      <c r="WNK84" s="1185"/>
      <c r="WNL84" s="1185"/>
      <c r="WNM84" s="1185"/>
      <c r="WNN84" s="1185"/>
      <c r="WNO84" s="1185"/>
      <c r="WNP84" s="1185"/>
      <c r="WNQ84" s="1185"/>
      <c r="WNR84" s="1185"/>
      <c r="WNS84" s="1185"/>
      <c r="WNT84" s="1185"/>
      <c r="WNU84" s="1185"/>
      <c r="WNV84" s="1185"/>
      <c r="WNW84" s="1185"/>
      <c r="WNX84" s="1185"/>
      <c r="WNY84" s="1185"/>
      <c r="WNZ84" s="1185"/>
      <c r="WOA84" s="1185"/>
      <c r="WOB84" s="1185"/>
      <c r="WOC84" s="1185"/>
      <c r="WOD84" s="1185"/>
      <c r="WOE84" s="1185"/>
      <c r="WOF84" s="1185"/>
      <c r="WOG84" s="1185"/>
      <c r="WOH84" s="1185"/>
      <c r="WOI84" s="1185"/>
      <c r="WOJ84" s="1185"/>
      <c r="WOK84" s="1185"/>
      <c r="WOL84" s="1185"/>
      <c r="WOM84" s="1185"/>
      <c r="WON84" s="1185"/>
      <c r="WOO84" s="1185"/>
      <c r="WOP84" s="1185"/>
      <c r="WOQ84" s="1185"/>
      <c r="WOR84" s="1185"/>
      <c r="WOS84" s="1185"/>
      <c r="WOT84" s="1185"/>
      <c r="WOU84" s="1185"/>
      <c r="WOV84" s="1185"/>
      <c r="WOW84" s="1185"/>
      <c r="WOX84" s="1185"/>
      <c r="WOY84" s="1185"/>
      <c r="WOZ84" s="1185"/>
      <c r="WPA84" s="1185"/>
      <c r="WPB84" s="1185"/>
      <c r="WPC84" s="1185"/>
      <c r="WPD84" s="1185"/>
      <c r="WPE84" s="1185"/>
      <c r="WPF84" s="1185"/>
      <c r="WPG84" s="1185"/>
      <c r="WPH84" s="1185"/>
      <c r="WPI84" s="1185"/>
      <c r="WPJ84" s="1185"/>
      <c r="WPK84" s="1185"/>
      <c r="WPL84" s="1185"/>
      <c r="WPM84" s="1185"/>
      <c r="WPN84" s="1185"/>
      <c r="WPO84" s="1185"/>
      <c r="WPP84" s="1185"/>
      <c r="WPQ84" s="1185"/>
      <c r="WPR84" s="1185"/>
      <c r="WPS84" s="1185"/>
      <c r="WPT84" s="1185"/>
      <c r="WPU84" s="1185"/>
      <c r="WPV84" s="1185"/>
      <c r="WPW84" s="1185"/>
      <c r="WPX84" s="1185"/>
      <c r="WPY84" s="1185"/>
      <c r="WPZ84" s="1185"/>
      <c r="WQA84" s="1185"/>
      <c r="WQB84" s="1185"/>
      <c r="WQC84" s="1185"/>
      <c r="WQD84" s="1185"/>
      <c r="WQE84" s="1185"/>
      <c r="WQF84" s="1185"/>
      <c r="WQG84" s="1185"/>
      <c r="WQH84" s="1185"/>
      <c r="WQI84" s="1185"/>
      <c r="WQJ84" s="1185"/>
      <c r="WQK84" s="1185"/>
      <c r="WQL84" s="1185"/>
      <c r="WQM84" s="1185"/>
      <c r="WQN84" s="1185"/>
      <c r="WQO84" s="1185"/>
      <c r="WQP84" s="1185"/>
      <c r="WQQ84" s="1185"/>
      <c r="WQR84" s="1185"/>
      <c r="WQS84" s="1185"/>
      <c r="WQT84" s="1185"/>
      <c r="WQU84" s="1185"/>
      <c r="WQV84" s="1185"/>
      <c r="WQW84" s="1185"/>
      <c r="WQX84" s="1185"/>
      <c r="WQY84" s="1185"/>
      <c r="WQZ84" s="1185"/>
      <c r="WRA84" s="1185"/>
      <c r="WRB84" s="1185"/>
      <c r="WRC84" s="1185"/>
      <c r="WRD84" s="1185"/>
      <c r="WRE84" s="1185"/>
      <c r="WRF84" s="1185"/>
      <c r="WRG84" s="1185"/>
      <c r="WRH84" s="1185"/>
      <c r="WRI84" s="1185"/>
      <c r="WRJ84" s="1185"/>
      <c r="WRK84" s="1185"/>
      <c r="WRL84" s="1185"/>
      <c r="WRM84" s="1185"/>
      <c r="WRN84" s="1185"/>
      <c r="WRO84" s="1185"/>
      <c r="WRP84" s="1185"/>
      <c r="WRQ84" s="1185"/>
      <c r="WRR84" s="1185"/>
      <c r="WRS84" s="1185"/>
      <c r="WRT84" s="1185"/>
      <c r="WRU84" s="1185"/>
      <c r="WRV84" s="1185"/>
      <c r="WRW84" s="1185"/>
      <c r="WRX84" s="1185"/>
      <c r="WRY84" s="1185"/>
      <c r="WRZ84" s="1185"/>
      <c r="WSA84" s="1185"/>
      <c r="WSB84" s="1185"/>
      <c r="WSC84" s="1185"/>
      <c r="WSD84" s="1185"/>
      <c r="WSE84" s="1185"/>
      <c r="WSF84" s="1185"/>
      <c r="WSG84" s="1185"/>
      <c r="WSH84" s="1185"/>
      <c r="WSI84" s="1185"/>
      <c r="WSJ84" s="1185"/>
      <c r="WSK84" s="1185"/>
      <c r="WSL84" s="1185"/>
      <c r="WSM84" s="1185"/>
      <c r="WSN84" s="1185"/>
      <c r="WSO84" s="1185"/>
      <c r="WSP84" s="1185"/>
      <c r="WSQ84" s="1185"/>
      <c r="WSR84" s="1185"/>
      <c r="WSS84" s="1185"/>
      <c r="WST84" s="1185"/>
      <c r="WSU84" s="1185"/>
      <c r="WSV84" s="1185"/>
      <c r="WSW84" s="1185"/>
      <c r="WSX84" s="1185"/>
      <c r="WSY84" s="1185"/>
      <c r="WSZ84" s="1185"/>
      <c r="WTA84" s="1185"/>
      <c r="WTB84" s="1185"/>
      <c r="WTC84" s="1185"/>
      <c r="WTD84" s="1185"/>
      <c r="WTE84" s="1185"/>
      <c r="WTF84" s="1185"/>
      <c r="WTG84" s="1185"/>
      <c r="WTH84" s="1185"/>
      <c r="WTI84" s="1185"/>
      <c r="WTJ84" s="1185"/>
      <c r="WTK84" s="1185"/>
      <c r="WTL84" s="1185"/>
      <c r="WTM84" s="1185"/>
      <c r="WTN84" s="1185"/>
      <c r="WTO84" s="1185"/>
      <c r="WTP84" s="1185"/>
      <c r="WTQ84" s="1185"/>
      <c r="WTR84" s="1185"/>
      <c r="WTS84" s="1185"/>
      <c r="WTT84" s="1185"/>
      <c r="WTU84" s="1185"/>
      <c r="WTV84" s="1185"/>
      <c r="WTW84" s="1185"/>
      <c r="WTX84" s="1185"/>
      <c r="WTY84" s="1185"/>
      <c r="WTZ84" s="1185"/>
      <c r="WUA84" s="1185"/>
      <c r="WUB84" s="1185"/>
      <c r="WUC84" s="1185"/>
      <c r="WUD84" s="1185"/>
      <c r="WUE84" s="1185"/>
      <c r="WUF84" s="1185"/>
      <c r="WUG84" s="1185"/>
      <c r="WUH84" s="1185"/>
      <c r="WUI84" s="1185"/>
      <c r="WUJ84" s="1185"/>
      <c r="WUK84" s="1185"/>
      <c r="WUL84" s="1185"/>
      <c r="WUM84" s="1185"/>
      <c r="WUN84" s="1185"/>
      <c r="WUO84" s="1185"/>
      <c r="WUP84" s="1185"/>
      <c r="WUQ84" s="1185"/>
      <c r="WUR84" s="1185"/>
      <c r="WUS84" s="1185"/>
      <c r="WUT84" s="1185"/>
      <c r="WUU84" s="1185"/>
      <c r="WUV84" s="1185"/>
      <c r="WUW84" s="1185"/>
      <c r="WUX84" s="1185"/>
      <c r="WUY84" s="1185"/>
      <c r="WUZ84" s="1185"/>
      <c r="WVA84" s="1185"/>
      <c r="WVB84" s="1185"/>
      <c r="WVC84" s="1185"/>
      <c r="WVD84" s="1185"/>
      <c r="WVE84" s="1185"/>
      <c r="WVF84" s="1185"/>
      <c r="WVG84" s="1185"/>
      <c r="WVH84" s="1185"/>
      <c r="WVI84" s="1185"/>
      <c r="WVJ84" s="1185"/>
      <c r="WVK84" s="1185"/>
      <c r="WVL84" s="1185"/>
      <c r="WVM84" s="1185"/>
      <c r="WVN84" s="1185"/>
      <c r="WVO84" s="1185"/>
      <c r="WVP84" s="1185"/>
      <c r="WVQ84" s="1185"/>
      <c r="WVR84" s="1185"/>
      <c r="WVS84" s="1185"/>
      <c r="WVT84" s="1185"/>
      <c r="WVU84" s="1185"/>
      <c r="WVV84" s="1185"/>
      <c r="WVW84" s="1185"/>
      <c r="WVX84" s="1185"/>
      <c r="WVY84" s="1185"/>
      <c r="WVZ84" s="1185"/>
      <c r="WWA84" s="1185"/>
      <c r="WWB84" s="1185"/>
      <c r="WWC84" s="1185"/>
      <c r="WWD84" s="1185"/>
      <c r="WWE84" s="1185"/>
      <c r="WWF84" s="1185"/>
      <c r="WWG84" s="1185"/>
      <c r="WWH84" s="1185"/>
      <c r="WWI84" s="1185"/>
      <c r="WWJ84" s="1185"/>
      <c r="WWK84" s="1185"/>
      <c r="WWL84" s="1185"/>
      <c r="WWM84" s="1185"/>
      <c r="WWN84" s="1185"/>
      <c r="WWO84" s="1185"/>
      <c r="WWP84" s="1185"/>
      <c r="WWQ84" s="1185"/>
      <c r="WWR84" s="1185"/>
      <c r="WWS84" s="1185"/>
      <c r="WWT84" s="1185"/>
      <c r="WWU84" s="1185"/>
      <c r="WWV84" s="1185"/>
      <c r="WWW84" s="1185"/>
      <c r="WWX84" s="1185"/>
      <c r="WWY84" s="1185"/>
      <c r="WWZ84" s="1185"/>
      <c r="WXA84" s="1185"/>
      <c r="WXB84" s="1185"/>
      <c r="WXC84" s="1185"/>
      <c r="WXD84" s="1185"/>
      <c r="WXE84" s="1185"/>
      <c r="WXF84" s="1185"/>
      <c r="WXG84" s="1185"/>
      <c r="WXH84" s="1185"/>
      <c r="WXI84" s="1185"/>
      <c r="WXJ84" s="1185"/>
      <c r="WXK84" s="1185"/>
      <c r="WXL84" s="1185"/>
      <c r="WXM84" s="1185"/>
      <c r="WXN84" s="1185"/>
      <c r="WXO84" s="1185"/>
      <c r="WXP84" s="1185"/>
      <c r="WXQ84" s="1185"/>
      <c r="WXR84" s="1185"/>
      <c r="WXS84" s="1185"/>
      <c r="WXT84" s="1185"/>
      <c r="WXU84" s="1185"/>
      <c r="WXV84" s="1185"/>
      <c r="WXW84" s="1185"/>
      <c r="WXX84" s="1185"/>
      <c r="WXY84" s="1185"/>
      <c r="WXZ84" s="1185"/>
      <c r="WYA84" s="1185"/>
      <c r="WYB84" s="1185"/>
      <c r="WYC84" s="1185"/>
      <c r="WYD84" s="1185"/>
      <c r="WYE84" s="1185"/>
      <c r="WYF84" s="1185"/>
      <c r="WYG84" s="1185"/>
      <c r="WYH84" s="1185"/>
      <c r="WYI84" s="1185"/>
      <c r="WYJ84" s="1185"/>
      <c r="WYK84" s="1185"/>
      <c r="WYL84" s="1185"/>
      <c r="WYM84" s="1185"/>
      <c r="WYN84" s="1185"/>
      <c r="WYO84" s="1185"/>
      <c r="WYP84" s="1185"/>
      <c r="WYQ84" s="1185"/>
      <c r="WYR84" s="1185"/>
      <c r="WYS84" s="1185"/>
      <c r="WYT84" s="1185"/>
      <c r="WYU84" s="1185"/>
      <c r="WYV84" s="1185"/>
      <c r="WYW84" s="1185"/>
      <c r="WYX84" s="1185"/>
      <c r="WYY84" s="1185"/>
      <c r="WYZ84" s="1185"/>
      <c r="WZA84" s="1185"/>
      <c r="WZB84" s="1185"/>
      <c r="WZC84" s="1185"/>
      <c r="WZD84" s="1185"/>
      <c r="WZE84" s="1185"/>
      <c r="WZF84" s="1185"/>
      <c r="WZG84" s="1185"/>
      <c r="WZH84" s="1185"/>
      <c r="WZI84" s="1185"/>
      <c r="WZJ84" s="1185"/>
      <c r="WZK84" s="1185"/>
      <c r="WZL84" s="1185"/>
      <c r="WZM84" s="1185"/>
      <c r="WZN84" s="1185"/>
      <c r="WZO84" s="1185"/>
      <c r="WZP84" s="1185"/>
      <c r="WZQ84" s="1185"/>
      <c r="WZR84" s="1185"/>
      <c r="WZS84" s="1185"/>
      <c r="WZT84" s="1185"/>
      <c r="WZU84" s="1185"/>
      <c r="WZV84" s="1185"/>
      <c r="WZW84" s="1185"/>
      <c r="WZX84" s="1185"/>
      <c r="WZY84" s="1185"/>
      <c r="WZZ84" s="1185"/>
      <c r="XAA84" s="1185"/>
      <c r="XAB84" s="1185"/>
      <c r="XAC84" s="1185"/>
      <c r="XAD84" s="1185"/>
      <c r="XAE84" s="1185"/>
      <c r="XAF84" s="1185"/>
      <c r="XAG84" s="1185"/>
      <c r="XAH84" s="1185"/>
      <c r="XAI84" s="1185"/>
      <c r="XAJ84" s="1185"/>
      <c r="XAK84" s="1185"/>
      <c r="XAL84" s="1185"/>
      <c r="XAM84" s="1185"/>
      <c r="XAN84" s="1185"/>
      <c r="XAO84" s="1185"/>
      <c r="XAP84" s="1185"/>
      <c r="XAQ84" s="1185"/>
      <c r="XAR84" s="1185"/>
      <c r="XAS84" s="1185"/>
      <c r="XAT84" s="1185"/>
      <c r="XAU84" s="1185"/>
      <c r="XAV84" s="1185"/>
      <c r="XAW84" s="1185"/>
      <c r="XAX84" s="1185"/>
      <c r="XAY84" s="1185"/>
      <c r="XAZ84" s="1185"/>
      <c r="XBA84" s="1185"/>
      <c r="XBB84" s="1185"/>
      <c r="XBC84" s="1185"/>
      <c r="XBD84" s="1185"/>
      <c r="XBE84" s="1185"/>
      <c r="XBF84" s="1185"/>
      <c r="XBG84" s="1185"/>
      <c r="XBH84" s="1185"/>
      <c r="XBI84" s="1185"/>
      <c r="XBJ84" s="1185"/>
      <c r="XBK84" s="1185"/>
      <c r="XBL84" s="1185"/>
      <c r="XBM84" s="1185"/>
      <c r="XBN84" s="1185"/>
      <c r="XBO84" s="1185"/>
      <c r="XBP84" s="1185"/>
      <c r="XBQ84" s="1185"/>
      <c r="XBR84" s="1185"/>
      <c r="XBS84" s="1185"/>
      <c r="XBT84" s="1185"/>
      <c r="XBU84" s="1185"/>
      <c r="XBV84" s="1185"/>
      <c r="XBW84" s="1185"/>
      <c r="XBX84" s="1185"/>
      <c r="XBY84" s="1185"/>
      <c r="XBZ84" s="1185"/>
      <c r="XCA84" s="1185"/>
      <c r="XCB84" s="1185"/>
      <c r="XCC84" s="1185"/>
      <c r="XCD84" s="1185"/>
      <c r="XCE84" s="1185"/>
      <c r="XCF84" s="1185"/>
      <c r="XCG84" s="1185"/>
      <c r="XCH84" s="1185"/>
      <c r="XCI84" s="1185"/>
      <c r="XCJ84" s="1185"/>
      <c r="XCK84" s="1185"/>
      <c r="XCL84" s="1185"/>
      <c r="XCM84" s="1185"/>
    </row>
    <row r="85" spans="1:16315" s="1186" customFormat="1" ht="47.25" customHeight="1">
      <c r="B85" s="2141" t="s">
        <v>1459</v>
      </c>
      <c r="C85" s="2142"/>
      <c r="D85" s="2142"/>
      <c r="E85" s="2142"/>
      <c r="F85" s="2142"/>
      <c r="G85" s="2142"/>
      <c r="H85" s="2143"/>
      <c r="I85" s="1195"/>
      <c r="GF85" s="1185"/>
      <c r="GG85" s="1185"/>
      <c r="GH85" s="1185"/>
      <c r="GI85" s="1185"/>
      <c r="GJ85" s="1185"/>
      <c r="GK85" s="1185"/>
      <c r="GL85" s="1185"/>
      <c r="GM85" s="1185"/>
      <c r="GN85" s="1185"/>
      <c r="GO85" s="1185"/>
      <c r="GP85" s="1185"/>
      <c r="GQ85" s="1185"/>
      <c r="GR85" s="1185"/>
      <c r="GS85" s="1185"/>
      <c r="GT85" s="1185"/>
      <c r="GU85" s="1185"/>
      <c r="GV85" s="1185"/>
      <c r="GW85" s="1185"/>
      <c r="GX85" s="1185"/>
      <c r="GY85" s="1185"/>
      <c r="GZ85" s="1185"/>
      <c r="HA85" s="1185"/>
      <c r="HB85" s="1185"/>
      <c r="HC85" s="1185"/>
      <c r="HD85" s="1185"/>
      <c r="HE85" s="1185"/>
      <c r="HF85" s="1185"/>
      <c r="HG85" s="1185"/>
      <c r="HH85" s="1185"/>
      <c r="HI85" s="1185"/>
      <c r="HJ85" s="1185"/>
      <c r="HK85" s="1185"/>
      <c r="HL85" s="1185"/>
      <c r="HM85" s="1185"/>
      <c r="HN85" s="1185"/>
      <c r="HO85" s="1185"/>
      <c r="HP85" s="1185"/>
      <c r="HQ85" s="1185"/>
      <c r="HR85" s="1185"/>
      <c r="HS85" s="1185"/>
      <c r="HT85" s="1185"/>
      <c r="HU85" s="1185"/>
      <c r="HV85" s="1185"/>
      <c r="HW85" s="1185"/>
      <c r="HX85" s="1185"/>
      <c r="HY85" s="1185"/>
      <c r="HZ85" s="1185"/>
      <c r="IA85" s="1185"/>
      <c r="IB85" s="1185"/>
      <c r="IC85" s="1185"/>
      <c r="ID85" s="1185"/>
      <c r="IE85" s="1185"/>
      <c r="IF85" s="1185"/>
      <c r="IG85" s="1185"/>
      <c r="IH85" s="1185"/>
      <c r="II85" s="1185"/>
      <c r="IJ85" s="1185"/>
      <c r="IK85" s="1185"/>
      <c r="IL85" s="1185"/>
      <c r="IM85" s="1185"/>
      <c r="IN85" s="1185"/>
      <c r="IO85" s="1185"/>
      <c r="IP85" s="1185"/>
      <c r="IQ85" s="1185"/>
      <c r="IR85" s="1185"/>
      <c r="IS85" s="1185"/>
      <c r="IT85" s="1185"/>
      <c r="IU85" s="1185"/>
      <c r="IV85" s="1185"/>
      <c r="IW85" s="1185"/>
      <c r="IX85" s="1185"/>
      <c r="IY85" s="1185"/>
      <c r="IZ85" s="1185"/>
      <c r="JA85" s="1185"/>
      <c r="JB85" s="1185"/>
      <c r="JC85" s="1185"/>
      <c r="JD85" s="1185"/>
      <c r="JE85" s="1185"/>
      <c r="JF85" s="1185"/>
      <c r="JG85" s="1185"/>
      <c r="JH85" s="1185"/>
      <c r="JI85" s="1185"/>
      <c r="JJ85" s="1185"/>
      <c r="JK85" s="1185"/>
      <c r="JL85" s="1185"/>
      <c r="JM85" s="1185"/>
      <c r="JN85" s="1185"/>
      <c r="JO85" s="1185"/>
      <c r="JP85" s="1185"/>
      <c r="JQ85" s="1185"/>
      <c r="JR85" s="1185"/>
      <c r="JS85" s="1185"/>
      <c r="JT85" s="1185"/>
      <c r="JU85" s="1185"/>
      <c r="JV85" s="1185"/>
      <c r="JW85" s="1185"/>
      <c r="JX85" s="1185"/>
      <c r="JY85" s="1185"/>
      <c r="JZ85" s="1185"/>
      <c r="KA85" s="1185"/>
      <c r="KB85" s="1185"/>
      <c r="KC85" s="1185"/>
      <c r="KD85" s="1185"/>
      <c r="KE85" s="1185"/>
      <c r="KF85" s="1185"/>
      <c r="KG85" s="1185"/>
      <c r="KH85" s="1185"/>
      <c r="KI85" s="1185"/>
      <c r="KJ85" s="1185"/>
      <c r="KK85" s="1185"/>
      <c r="KL85" s="1185"/>
      <c r="KM85" s="1185"/>
      <c r="KN85" s="1185"/>
      <c r="KO85" s="1185"/>
      <c r="KP85" s="1185"/>
      <c r="KQ85" s="1185"/>
      <c r="KR85" s="1185"/>
      <c r="KS85" s="1185"/>
      <c r="KT85" s="1185"/>
      <c r="KU85" s="1185"/>
      <c r="KV85" s="1185"/>
      <c r="KW85" s="1185"/>
      <c r="KX85" s="1185"/>
      <c r="KY85" s="1185"/>
      <c r="KZ85" s="1185"/>
      <c r="LA85" s="1185"/>
      <c r="LB85" s="1185"/>
      <c r="LC85" s="1185"/>
      <c r="LD85" s="1185"/>
      <c r="LE85" s="1185"/>
      <c r="LF85" s="1185"/>
      <c r="LG85" s="1185"/>
      <c r="LH85" s="1185"/>
      <c r="LI85" s="1185"/>
      <c r="LJ85" s="1185"/>
      <c r="LK85" s="1185"/>
      <c r="LL85" s="1185"/>
      <c r="LM85" s="1185"/>
      <c r="LN85" s="1185"/>
      <c r="LO85" s="1185"/>
      <c r="LP85" s="1185"/>
      <c r="LQ85" s="1185"/>
      <c r="LR85" s="1185"/>
      <c r="LS85" s="1185"/>
      <c r="LT85" s="1185"/>
      <c r="LU85" s="1185"/>
      <c r="LV85" s="1185"/>
      <c r="LW85" s="1185"/>
      <c r="LX85" s="1185"/>
      <c r="LY85" s="1185"/>
      <c r="LZ85" s="1185"/>
      <c r="MA85" s="1185"/>
      <c r="MB85" s="1185"/>
      <c r="MC85" s="1185"/>
      <c r="MD85" s="1185"/>
      <c r="ME85" s="1185"/>
      <c r="MF85" s="1185"/>
      <c r="MG85" s="1185"/>
      <c r="MH85" s="1185"/>
      <c r="MI85" s="1185"/>
      <c r="MJ85" s="1185"/>
      <c r="MK85" s="1185"/>
      <c r="ML85" s="1185"/>
      <c r="MM85" s="1185"/>
      <c r="MN85" s="1185"/>
      <c r="MO85" s="1185"/>
      <c r="MP85" s="1185"/>
      <c r="MQ85" s="1185"/>
      <c r="MR85" s="1185"/>
      <c r="MS85" s="1185"/>
      <c r="MT85" s="1185"/>
      <c r="MU85" s="1185"/>
      <c r="MV85" s="1185"/>
      <c r="MW85" s="1185"/>
      <c r="MX85" s="1185"/>
      <c r="MY85" s="1185"/>
      <c r="MZ85" s="1185"/>
      <c r="NA85" s="1185"/>
      <c r="NB85" s="1185"/>
      <c r="NC85" s="1185"/>
      <c r="ND85" s="1185"/>
      <c r="NE85" s="1185"/>
      <c r="NF85" s="1185"/>
      <c r="NG85" s="1185"/>
      <c r="NH85" s="1185"/>
      <c r="NI85" s="1185"/>
      <c r="NJ85" s="1185"/>
      <c r="NK85" s="1185"/>
      <c r="NL85" s="1185"/>
      <c r="NM85" s="1185"/>
      <c r="NN85" s="1185"/>
      <c r="NO85" s="1185"/>
      <c r="NP85" s="1185"/>
      <c r="NQ85" s="1185"/>
      <c r="NR85" s="1185"/>
      <c r="NS85" s="1185"/>
      <c r="NT85" s="1185"/>
      <c r="NU85" s="1185"/>
      <c r="NV85" s="1185"/>
      <c r="NW85" s="1185"/>
      <c r="NX85" s="1185"/>
      <c r="NY85" s="1185"/>
      <c r="NZ85" s="1185"/>
      <c r="OA85" s="1185"/>
      <c r="OB85" s="1185"/>
      <c r="OC85" s="1185"/>
      <c r="OD85" s="1185"/>
      <c r="OE85" s="1185"/>
      <c r="OF85" s="1185"/>
      <c r="OG85" s="1185"/>
      <c r="OH85" s="1185"/>
      <c r="OI85" s="1185"/>
      <c r="OJ85" s="1185"/>
      <c r="OK85" s="1185"/>
      <c r="OL85" s="1185"/>
      <c r="OM85" s="1185"/>
      <c r="ON85" s="1185"/>
      <c r="OO85" s="1185"/>
      <c r="OP85" s="1185"/>
      <c r="OQ85" s="1185"/>
      <c r="OR85" s="1185"/>
      <c r="OS85" s="1185"/>
      <c r="OT85" s="1185"/>
      <c r="OU85" s="1185"/>
      <c r="OV85" s="1185"/>
      <c r="OW85" s="1185"/>
      <c r="OX85" s="1185"/>
      <c r="OY85" s="1185"/>
      <c r="OZ85" s="1185"/>
      <c r="PA85" s="1185"/>
      <c r="PB85" s="1185"/>
      <c r="PC85" s="1185"/>
      <c r="PD85" s="1185"/>
      <c r="PE85" s="1185"/>
      <c r="PF85" s="1185"/>
      <c r="PG85" s="1185"/>
      <c r="PH85" s="1185"/>
      <c r="PI85" s="1185"/>
      <c r="PJ85" s="1185"/>
      <c r="PK85" s="1185"/>
      <c r="PL85" s="1185"/>
      <c r="PM85" s="1185"/>
      <c r="PN85" s="1185"/>
      <c r="PO85" s="1185"/>
      <c r="PP85" s="1185"/>
      <c r="PQ85" s="1185"/>
      <c r="PR85" s="1185"/>
      <c r="PS85" s="1185"/>
      <c r="PT85" s="1185"/>
      <c r="PU85" s="1185"/>
      <c r="PV85" s="1185"/>
      <c r="PW85" s="1185"/>
      <c r="PX85" s="1185"/>
      <c r="PY85" s="1185"/>
      <c r="PZ85" s="1185"/>
      <c r="QA85" s="1185"/>
      <c r="QB85" s="1185"/>
      <c r="QC85" s="1185"/>
      <c r="QD85" s="1185"/>
      <c r="QE85" s="1185"/>
      <c r="QF85" s="1185"/>
      <c r="QG85" s="1185"/>
      <c r="QH85" s="1185"/>
      <c r="QI85" s="1185"/>
      <c r="QJ85" s="1185"/>
      <c r="QK85" s="1185"/>
      <c r="QL85" s="1185"/>
      <c r="QM85" s="1185"/>
      <c r="QN85" s="1185"/>
      <c r="QO85" s="1185"/>
      <c r="QP85" s="1185"/>
      <c r="QQ85" s="1185"/>
      <c r="QR85" s="1185"/>
      <c r="QS85" s="1185"/>
      <c r="QT85" s="1185"/>
      <c r="QU85" s="1185"/>
      <c r="QV85" s="1185"/>
      <c r="QW85" s="1185"/>
      <c r="QX85" s="1185"/>
      <c r="QY85" s="1185"/>
      <c r="QZ85" s="1185"/>
      <c r="RA85" s="1185"/>
      <c r="RB85" s="1185"/>
      <c r="RC85" s="1185"/>
      <c r="RD85" s="1185"/>
      <c r="RE85" s="1185"/>
      <c r="RF85" s="1185"/>
      <c r="RG85" s="1185"/>
      <c r="RH85" s="1185"/>
      <c r="RI85" s="1185"/>
      <c r="RJ85" s="1185"/>
      <c r="RK85" s="1185"/>
      <c r="RL85" s="1185"/>
      <c r="RM85" s="1185"/>
      <c r="RN85" s="1185"/>
      <c r="RO85" s="1185"/>
      <c r="RP85" s="1185"/>
      <c r="RQ85" s="1185"/>
      <c r="RR85" s="1185"/>
      <c r="RS85" s="1185"/>
      <c r="RT85" s="1185"/>
      <c r="RU85" s="1185"/>
      <c r="RV85" s="1185"/>
      <c r="RW85" s="1185"/>
      <c r="RX85" s="1185"/>
      <c r="RY85" s="1185"/>
      <c r="RZ85" s="1185"/>
      <c r="SA85" s="1185"/>
      <c r="SB85" s="1185"/>
      <c r="SC85" s="1185"/>
      <c r="SD85" s="1185"/>
      <c r="SE85" s="1185"/>
      <c r="SF85" s="1185"/>
      <c r="SG85" s="1185"/>
      <c r="SH85" s="1185"/>
      <c r="SI85" s="1185"/>
      <c r="SJ85" s="1185"/>
      <c r="SK85" s="1185"/>
      <c r="SL85" s="1185"/>
      <c r="SM85" s="1185"/>
      <c r="SN85" s="1185"/>
      <c r="SO85" s="1185"/>
      <c r="SP85" s="1185"/>
      <c r="SQ85" s="1185"/>
      <c r="SR85" s="1185"/>
      <c r="SS85" s="1185"/>
      <c r="ST85" s="1185"/>
      <c r="SU85" s="1185"/>
      <c r="SV85" s="1185"/>
      <c r="SW85" s="1185"/>
      <c r="SX85" s="1185"/>
      <c r="SY85" s="1185"/>
      <c r="SZ85" s="1185"/>
      <c r="TA85" s="1185"/>
      <c r="TB85" s="1185"/>
      <c r="TC85" s="1185"/>
      <c r="TD85" s="1185"/>
      <c r="TE85" s="1185"/>
      <c r="TF85" s="1185"/>
      <c r="TG85" s="1185"/>
      <c r="TH85" s="1185"/>
      <c r="TI85" s="1185"/>
      <c r="TJ85" s="1185"/>
      <c r="TK85" s="1185"/>
      <c r="TL85" s="1185"/>
      <c r="TM85" s="1185"/>
      <c r="TN85" s="1185"/>
      <c r="TO85" s="1185"/>
      <c r="TP85" s="1185"/>
      <c r="TQ85" s="1185"/>
      <c r="TR85" s="1185"/>
      <c r="TS85" s="1185"/>
      <c r="TT85" s="1185"/>
      <c r="TU85" s="1185"/>
      <c r="TV85" s="1185"/>
      <c r="TW85" s="1185"/>
      <c r="TX85" s="1185"/>
      <c r="TY85" s="1185"/>
      <c r="TZ85" s="1185"/>
      <c r="UA85" s="1185"/>
      <c r="UB85" s="1185"/>
      <c r="UC85" s="1185"/>
      <c r="UD85" s="1185"/>
      <c r="UE85" s="1185"/>
      <c r="UF85" s="1185"/>
      <c r="UG85" s="1185"/>
      <c r="UH85" s="1185"/>
      <c r="UI85" s="1185"/>
      <c r="UJ85" s="1185"/>
      <c r="UK85" s="1185"/>
      <c r="UL85" s="1185"/>
      <c r="UM85" s="1185"/>
      <c r="UN85" s="1185"/>
      <c r="UO85" s="1185"/>
      <c r="UP85" s="1185"/>
      <c r="UQ85" s="1185"/>
      <c r="UR85" s="1185"/>
      <c r="US85" s="1185"/>
      <c r="UT85" s="1185"/>
      <c r="UU85" s="1185"/>
      <c r="UV85" s="1185"/>
      <c r="UW85" s="1185"/>
      <c r="UX85" s="1185"/>
      <c r="UY85" s="1185"/>
      <c r="UZ85" s="1185"/>
      <c r="VA85" s="1185"/>
      <c r="VB85" s="1185"/>
      <c r="VC85" s="1185"/>
      <c r="VD85" s="1185"/>
      <c r="VE85" s="1185"/>
      <c r="VF85" s="1185"/>
      <c r="VG85" s="1185"/>
      <c r="VH85" s="1185"/>
      <c r="VI85" s="1185"/>
      <c r="VJ85" s="1185"/>
      <c r="VK85" s="1185"/>
      <c r="VL85" s="1185"/>
      <c r="VM85" s="1185"/>
      <c r="VN85" s="1185"/>
      <c r="VO85" s="1185"/>
      <c r="VP85" s="1185"/>
      <c r="VQ85" s="1185"/>
      <c r="VR85" s="1185"/>
      <c r="VS85" s="1185"/>
      <c r="VT85" s="1185"/>
      <c r="VU85" s="1185"/>
      <c r="VV85" s="1185"/>
      <c r="VW85" s="1185"/>
      <c r="VX85" s="1185"/>
      <c r="VY85" s="1185"/>
      <c r="VZ85" s="1185"/>
      <c r="WA85" s="1185"/>
      <c r="WB85" s="1185"/>
      <c r="WC85" s="1185"/>
      <c r="WD85" s="1185"/>
      <c r="WE85" s="1185"/>
      <c r="WF85" s="1185"/>
      <c r="WG85" s="1185"/>
      <c r="WH85" s="1185"/>
      <c r="WI85" s="1185"/>
      <c r="WJ85" s="1185"/>
      <c r="WK85" s="1185"/>
      <c r="WL85" s="1185"/>
      <c r="WM85" s="1185"/>
      <c r="WN85" s="1185"/>
      <c r="WO85" s="1185"/>
      <c r="WP85" s="1185"/>
      <c r="WQ85" s="1185"/>
      <c r="WR85" s="1185"/>
      <c r="WS85" s="1185"/>
      <c r="WT85" s="1185"/>
      <c r="WU85" s="1185"/>
      <c r="WV85" s="1185"/>
      <c r="WW85" s="1185"/>
      <c r="WX85" s="1185"/>
      <c r="WY85" s="1185"/>
      <c r="WZ85" s="1185"/>
      <c r="XA85" s="1185"/>
      <c r="XB85" s="1185"/>
      <c r="XC85" s="1185"/>
      <c r="XD85" s="1185"/>
      <c r="XE85" s="1185"/>
      <c r="XF85" s="1185"/>
      <c r="XG85" s="1185"/>
      <c r="XH85" s="1185"/>
      <c r="XI85" s="1185"/>
      <c r="XJ85" s="1185"/>
      <c r="XK85" s="1185"/>
      <c r="XL85" s="1185"/>
      <c r="XM85" s="1185"/>
      <c r="XN85" s="1185"/>
      <c r="XO85" s="1185"/>
      <c r="XP85" s="1185"/>
      <c r="XQ85" s="1185"/>
      <c r="XR85" s="1185"/>
      <c r="XS85" s="1185"/>
      <c r="XT85" s="1185"/>
      <c r="XU85" s="1185"/>
      <c r="XV85" s="1185"/>
      <c r="XW85" s="1185"/>
      <c r="XX85" s="1185"/>
      <c r="XY85" s="1185"/>
      <c r="XZ85" s="1185"/>
      <c r="YA85" s="1185"/>
      <c r="YB85" s="1185"/>
      <c r="YC85" s="1185"/>
      <c r="YD85" s="1185"/>
      <c r="YE85" s="1185"/>
      <c r="YF85" s="1185"/>
      <c r="YG85" s="1185"/>
      <c r="YH85" s="1185"/>
      <c r="YI85" s="1185"/>
      <c r="YJ85" s="1185"/>
      <c r="YK85" s="1185"/>
      <c r="YL85" s="1185"/>
      <c r="YM85" s="1185"/>
      <c r="YN85" s="1185"/>
      <c r="YO85" s="1185"/>
      <c r="YP85" s="1185"/>
      <c r="YQ85" s="1185"/>
      <c r="YR85" s="1185"/>
      <c r="YS85" s="1185"/>
      <c r="YT85" s="1185"/>
      <c r="YU85" s="1185"/>
      <c r="YV85" s="1185"/>
      <c r="YW85" s="1185"/>
      <c r="YX85" s="1185"/>
      <c r="YY85" s="1185"/>
      <c r="YZ85" s="1185"/>
      <c r="ZA85" s="1185"/>
      <c r="ZB85" s="1185"/>
      <c r="ZC85" s="1185"/>
      <c r="ZD85" s="1185"/>
      <c r="ZE85" s="1185"/>
      <c r="ZF85" s="1185"/>
      <c r="ZG85" s="1185"/>
      <c r="ZH85" s="1185"/>
      <c r="ZI85" s="1185"/>
      <c r="ZJ85" s="1185"/>
      <c r="ZK85" s="1185"/>
      <c r="ZL85" s="1185"/>
      <c r="ZM85" s="1185"/>
      <c r="ZN85" s="1185"/>
      <c r="ZO85" s="1185"/>
      <c r="ZP85" s="1185"/>
      <c r="ZQ85" s="1185"/>
      <c r="ZR85" s="1185"/>
      <c r="ZS85" s="1185"/>
      <c r="ZT85" s="1185"/>
      <c r="ZU85" s="1185"/>
      <c r="ZV85" s="1185"/>
      <c r="ZW85" s="1185"/>
      <c r="ZX85" s="1185"/>
      <c r="ZY85" s="1185"/>
      <c r="ZZ85" s="1185"/>
      <c r="AAA85" s="1185"/>
      <c r="AAB85" s="1185"/>
      <c r="AAC85" s="1185"/>
      <c r="AAD85" s="1185"/>
      <c r="AAE85" s="1185"/>
      <c r="AAF85" s="1185"/>
      <c r="AAG85" s="1185"/>
      <c r="AAH85" s="1185"/>
      <c r="AAI85" s="1185"/>
      <c r="AAJ85" s="1185"/>
      <c r="AAK85" s="1185"/>
      <c r="AAL85" s="1185"/>
      <c r="AAM85" s="1185"/>
      <c r="AAN85" s="1185"/>
      <c r="AAO85" s="1185"/>
      <c r="AAP85" s="1185"/>
      <c r="AAQ85" s="1185"/>
      <c r="AAR85" s="1185"/>
      <c r="AAS85" s="1185"/>
      <c r="AAT85" s="1185"/>
      <c r="AAU85" s="1185"/>
      <c r="AAV85" s="1185"/>
      <c r="AAW85" s="1185"/>
      <c r="AAX85" s="1185"/>
      <c r="AAY85" s="1185"/>
      <c r="AAZ85" s="1185"/>
      <c r="ABA85" s="1185"/>
      <c r="ABB85" s="1185"/>
      <c r="ABC85" s="1185"/>
      <c r="ABD85" s="1185"/>
      <c r="ABE85" s="1185"/>
      <c r="ABF85" s="1185"/>
      <c r="ABG85" s="1185"/>
      <c r="ABH85" s="1185"/>
      <c r="ABI85" s="1185"/>
      <c r="ABJ85" s="1185"/>
      <c r="ABK85" s="1185"/>
      <c r="ABL85" s="1185"/>
      <c r="ABM85" s="1185"/>
      <c r="ABN85" s="1185"/>
      <c r="ABO85" s="1185"/>
      <c r="ABP85" s="1185"/>
      <c r="ABQ85" s="1185"/>
      <c r="ABR85" s="1185"/>
      <c r="ABS85" s="1185"/>
      <c r="ABT85" s="1185"/>
      <c r="ABU85" s="1185"/>
      <c r="ABV85" s="1185"/>
      <c r="ABW85" s="1185"/>
      <c r="ABX85" s="1185"/>
      <c r="ABY85" s="1185"/>
      <c r="ABZ85" s="1185"/>
      <c r="ACA85" s="1185"/>
      <c r="ACB85" s="1185"/>
      <c r="ACC85" s="1185"/>
      <c r="ACD85" s="1185"/>
      <c r="ACE85" s="1185"/>
      <c r="ACF85" s="1185"/>
      <c r="ACG85" s="1185"/>
      <c r="ACH85" s="1185"/>
      <c r="ACI85" s="1185"/>
      <c r="ACJ85" s="1185"/>
      <c r="ACK85" s="1185"/>
      <c r="ACL85" s="1185"/>
      <c r="ACM85" s="1185"/>
      <c r="ACN85" s="1185"/>
      <c r="ACO85" s="1185"/>
      <c r="ACP85" s="1185"/>
      <c r="ACQ85" s="1185"/>
      <c r="ACR85" s="1185"/>
      <c r="ACS85" s="1185"/>
      <c r="ACT85" s="1185"/>
      <c r="ACU85" s="1185"/>
      <c r="ACV85" s="1185"/>
      <c r="ACW85" s="1185"/>
      <c r="ACX85" s="1185"/>
      <c r="ACY85" s="1185"/>
      <c r="ACZ85" s="1185"/>
      <c r="ADA85" s="1185"/>
      <c r="ADB85" s="1185"/>
      <c r="ADC85" s="1185"/>
      <c r="ADD85" s="1185"/>
      <c r="ADE85" s="1185"/>
      <c r="ADF85" s="1185"/>
      <c r="ADG85" s="1185"/>
      <c r="ADH85" s="1185"/>
      <c r="ADI85" s="1185"/>
      <c r="ADJ85" s="1185"/>
      <c r="ADK85" s="1185"/>
      <c r="ADL85" s="1185"/>
      <c r="ADM85" s="1185"/>
      <c r="ADN85" s="1185"/>
      <c r="ADO85" s="1185"/>
      <c r="ADP85" s="1185"/>
      <c r="ADQ85" s="1185"/>
      <c r="ADR85" s="1185"/>
      <c r="ADS85" s="1185"/>
      <c r="ADT85" s="1185"/>
      <c r="ADU85" s="1185"/>
      <c r="ADV85" s="1185"/>
      <c r="ADW85" s="1185"/>
      <c r="ADX85" s="1185"/>
      <c r="ADY85" s="1185"/>
      <c r="ADZ85" s="1185"/>
      <c r="AEA85" s="1185"/>
      <c r="AEB85" s="1185"/>
      <c r="AEC85" s="1185"/>
      <c r="AED85" s="1185"/>
      <c r="AEE85" s="1185"/>
      <c r="AEF85" s="1185"/>
      <c r="AEG85" s="1185"/>
      <c r="AEH85" s="1185"/>
      <c r="AEI85" s="1185"/>
      <c r="AEJ85" s="1185"/>
      <c r="AEK85" s="1185"/>
      <c r="AEL85" s="1185"/>
      <c r="AEM85" s="1185"/>
      <c r="AEN85" s="1185"/>
      <c r="AEO85" s="1185"/>
      <c r="AEP85" s="1185"/>
      <c r="AEQ85" s="1185"/>
      <c r="AER85" s="1185"/>
      <c r="AES85" s="1185"/>
      <c r="AET85" s="1185"/>
      <c r="AEU85" s="1185"/>
      <c r="AEV85" s="1185"/>
      <c r="AEW85" s="1185"/>
      <c r="AEX85" s="1185"/>
      <c r="AEY85" s="1185"/>
      <c r="AEZ85" s="1185"/>
      <c r="AFA85" s="1185"/>
      <c r="AFB85" s="1185"/>
      <c r="AFC85" s="1185"/>
      <c r="AFD85" s="1185"/>
      <c r="AFE85" s="1185"/>
      <c r="AFF85" s="1185"/>
      <c r="AFG85" s="1185"/>
      <c r="AFH85" s="1185"/>
      <c r="AFI85" s="1185"/>
      <c r="AFJ85" s="1185"/>
      <c r="AFK85" s="1185"/>
      <c r="AFL85" s="1185"/>
      <c r="AFM85" s="1185"/>
      <c r="AFN85" s="1185"/>
      <c r="AFO85" s="1185"/>
      <c r="AFP85" s="1185"/>
      <c r="AFQ85" s="1185"/>
      <c r="AFR85" s="1185"/>
      <c r="AFS85" s="1185"/>
      <c r="AFT85" s="1185"/>
      <c r="AFU85" s="1185"/>
      <c r="AFV85" s="1185"/>
      <c r="AFW85" s="1185"/>
      <c r="AFX85" s="1185"/>
      <c r="AFY85" s="1185"/>
      <c r="AFZ85" s="1185"/>
      <c r="AGA85" s="1185"/>
      <c r="AGB85" s="1185"/>
      <c r="AGC85" s="1185"/>
      <c r="AGD85" s="1185"/>
      <c r="AGE85" s="1185"/>
      <c r="AGF85" s="1185"/>
      <c r="AGG85" s="1185"/>
      <c r="AGH85" s="1185"/>
      <c r="AGI85" s="1185"/>
      <c r="AGJ85" s="1185"/>
      <c r="AGK85" s="1185"/>
      <c r="AGL85" s="1185"/>
      <c r="AGM85" s="1185"/>
      <c r="AGN85" s="1185"/>
      <c r="AGO85" s="1185"/>
      <c r="AGP85" s="1185"/>
      <c r="AGQ85" s="1185"/>
      <c r="AGR85" s="1185"/>
      <c r="AGS85" s="1185"/>
      <c r="AGT85" s="1185"/>
      <c r="AGU85" s="1185"/>
      <c r="AGV85" s="1185"/>
      <c r="AGW85" s="1185"/>
      <c r="AGX85" s="1185"/>
      <c r="AGY85" s="1185"/>
      <c r="AGZ85" s="1185"/>
      <c r="AHA85" s="1185"/>
      <c r="AHB85" s="1185"/>
      <c r="AHC85" s="1185"/>
      <c r="AHD85" s="1185"/>
      <c r="AHE85" s="1185"/>
      <c r="AHF85" s="1185"/>
      <c r="AHG85" s="1185"/>
      <c r="AHH85" s="1185"/>
      <c r="AHI85" s="1185"/>
      <c r="AHJ85" s="1185"/>
      <c r="AHK85" s="1185"/>
      <c r="AHL85" s="1185"/>
      <c r="AHM85" s="1185"/>
      <c r="AHN85" s="1185"/>
      <c r="AHO85" s="1185"/>
      <c r="AHP85" s="1185"/>
      <c r="AHQ85" s="1185"/>
      <c r="AHR85" s="1185"/>
      <c r="AHS85" s="1185"/>
      <c r="AHT85" s="1185"/>
      <c r="AHU85" s="1185"/>
      <c r="AHV85" s="1185"/>
      <c r="AHW85" s="1185"/>
      <c r="AHX85" s="1185"/>
      <c r="AHY85" s="1185"/>
      <c r="AHZ85" s="1185"/>
      <c r="AIA85" s="1185"/>
      <c r="AIB85" s="1185"/>
      <c r="AIC85" s="1185"/>
      <c r="AID85" s="1185"/>
      <c r="AIE85" s="1185"/>
      <c r="AIF85" s="1185"/>
      <c r="AIG85" s="1185"/>
      <c r="AIH85" s="1185"/>
      <c r="AII85" s="1185"/>
      <c r="AIJ85" s="1185"/>
      <c r="AIK85" s="1185"/>
      <c r="AIL85" s="1185"/>
      <c r="AIM85" s="1185"/>
      <c r="AIN85" s="1185"/>
      <c r="AIO85" s="1185"/>
      <c r="AIP85" s="1185"/>
      <c r="AIQ85" s="1185"/>
      <c r="AIR85" s="1185"/>
      <c r="AIS85" s="1185"/>
      <c r="AIT85" s="1185"/>
      <c r="AIU85" s="1185"/>
      <c r="AIV85" s="1185"/>
      <c r="AIW85" s="1185"/>
      <c r="AIX85" s="1185"/>
      <c r="AIY85" s="1185"/>
      <c r="AIZ85" s="1185"/>
      <c r="AJA85" s="1185"/>
      <c r="AJB85" s="1185"/>
      <c r="AJC85" s="1185"/>
      <c r="AJD85" s="1185"/>
      <c r="AJE85" s="1185"/>
      <c r="AJF85" s="1185"/>
      <c r="AJG85" s="1185"/>
      <c r="AJH85" s="1185"/>
      <c r="AJI85" s="1185"/>
      <c r="AJJ85" s="1185"/>
      <c r="AJK85" s="1185"/>
      <c r="AJL85" s="1185"/>
      <c r="AJM85" s="1185"/>
      <c r="AJN85" s="1185"/>
      <c r="AJO85" s="1185"/>
      <c r="AJP85" s="1185"/>
      <c r="AJQ85" s="1185"/>
      <c r="AJR85" s="1185"/>
      <c r="AJS85" s="1185"/>
      <c r="AJT85" s="1185"/>
      <c r="AJU85" s="1185"/>
      <c r="AJV85" s="1185"/>
      <c r="AJW85" s="1185"/>
      <c r="AJX85" s="1185"/>
      <c r="AJY85" s="1185"/>
      <c r="AJZ85" s="1185"/>
      <c r="AKA85" s="1185"/>
      <c r="AKB85" s="1185"/>
      <c r="AKC85" s="1185"/>
      <c r="AKD85" s="1185"/>
      <c r="AKE85" s="1185"/>
      <c r="AKF85" s="1185"/>
      <c r="AKG85" s="1185"/>
      <c r="AKH85" s="1185"/>
      <c r="AKI85" s="1185"/>
      <c r="AKJ85" s="1185"/>
      <c r="AKK85" s="1185"/>
      <c r="AKL85" s="1185"/>
      <c r="AKM85" s="1185"/>
      <c r="AKN85" s="1185"/>
      <c r="AKO85" s="1185"/>
      <c r="AKP85" s="1185"/>
      <c r="AKQ85" s="1185"/>
      <c r="AKR85" s="1185"/>
      <c r="AKS85" s="1185"/>
      <c r="AKT85" s="1185"/>
      <c r="AKU85" s="1185"/>
      <c r="AKV85" s="1185"/>
      <c r="AKW85" s="1185"/>
      <c r="AKX85" s="1185"/>
      <c r="AKY85" s="1185"/>
      <c r="AKZ85" s="1185"/>
      <c r="ALA85" s="1185"/>
      <c r="ALB85" s="1185"/>
      <c r="ALC85" s="1185"/>
      <c r="ALD85" s="1185"/>
      <c r="ALE85" s="1185"/>
      <c r="ALF85" s="1185"/>
      <c r="ALG85" s="1185"/>
      <c r="ALH85" s="1185"/>
      <c r="ALI85" s="1185"/>
      <c r="ALJ85" s="1185"/>
      <c r="ALK85" s="1185"/>
      <c r="ALL85" s="1185"/>
      <c r="ALM85" s="1185"/>
      <c r="ALN85" s="1185"/>
      <c r="ALO85" s="1185"/>
      <c r="ALP85" s="1185"/>
      <c r="ALQ85" s="1185"/>
      <c r="ALR85" s="1185"/>
      <c r="ALS85" s="1185"/>
      <c r="ALT85" s="1185"/>
      <c r="ALU85" s="1185"/>
      <c r="ALV85" s="1185"/>
      <c r="ALW85" s="1185"/>
      <c r="ALX85" s="1185"/>
      <c r="ALY85" s="1185"/>
      <c r="ALZ85" s="1185"/>
      <c r="AMA85" s="1185"/>
      <c r="AMB85" s="1185"/>
      <c r="AMC85" s="1185"/>
      <c r="AMD85" s="1185"/>
      <c r="AME85" s="1185"/>
      <c r="AMF85" s="1185"/>
      <c r="AMG85" s="1185"/>
      <c r="AMH85" s="1185"/>
      <c r="AMI85" s="1185"/>
      <c r="AMJ85" s="1185"/>
      <c r="AMK85" s="1185"/>
      <c r="AML85" s="1185"/>
      <c r="AMM85" s="1185"/>
      <c r="AMN85" s="1185"/>
      <c r="AMO85" s="1185"/>
      <c r="AMP85" s="1185"/>
      <c r="AMQ85" s="1185"/>
      <c r="AMR85" s="1185"/>
      <c r="AMS85" s="1185"/>
      <c r="AMT85" s="1185"/>
      <c r="AMU85" s="1185"/>
      <c r="AMV85" s="1185"/>
      <c r="AMW85" s="1185"/>
      <c r="AMX85" s="1185"/>
      <c r="AMY85" s="1185"/>
      <c r="AMZ85" s="1185"/>
      <c r="ANA85" s="1185"/>
      <c r="ANB85" s="1185"/>
      <c r="ANC85" s="1185"/>
      <c r="AND85" s="1185"/>
      <c r="ANE85" s="1185"/>
      <c r="ANF85" s="1185"/>
      <c r="ANG85" s="1185"/>
      <c r="ANH85" s="1185"/>
      <c r="ANI85" s="1185"/>
      <c r="ANJ85" s="1185"/>
      <c r="ANK85" s="1185"/>
      <c r="ANL85" s="1185"/>
      <c r="ANM85" s="1185"/>
      <c r="ANN85" s="1185"/>
      <c r="ANO85" s="1185"/>
      <c r="ANP85" s="1185"/>
      <c r="ANQ85" s="1185"/>
      <c r="ANR85" s="1185"/>
      <c r="ANS85" s="1185"/>
      <c r="ANT85" s="1185"/>
      <c r="ANU85" s="1185"/>
      <c r="ANV85" s="1185"/>
      <c r="ANW85" s="1185"/>
      <c r="ANX85" s="1185"/>
      <c r="ANY85" s="1185"/>
      <c r="ANZ85" s="1185"/>
      <c r="AOA85" s="1185"/>
      <c r="AOB85" s="1185"/>
      <c r="AOC85" s="1185"/>
      <c r="AOD85" s="1185"/>
      <c r="AOE85" s="1185"/>
      <c r="AOF85" s="1185"/>
      <c r="AOG85" s="1185"/>
      <c r="AOH85" s="1185"/>
      <c r="AOI85" s="1185"/>
      <c r="AOJ85" s="1185"/>
      <c r="AOK85" s="1185"/>
      <c r="AOL85" s="1185"/>
      <c r="AOM85" s="1185"/>
      <c r="AON85" s="1185"/>
      <c r="AOO85" s="1185"/>
      <c r="AOP85" s="1185"/>
      <c r="AOQ85" s="1185"/>
      <c r="AOR85" s="1185"/>
      <c r="AOS85" s="1185"/>
      <c r="AOT85" s="1185"/>
      <c r="AOU85" s="1185"/>
      <c r="AOV85" s="1185"/>
      <c r="AOW85" s="1185"/>
      <c r="AOX85" s="1185"/>
      <c r="AOY85" s="1185"/>
      <c r="AOZ85" s="1185"/>
      <c r="APA85" s="1185"/>
      <c r="APB85" s="1185"/>
      <c r="APC85" s="1185"/>
      <c r="APD85" s="1185"/>
      <c r="APE85" s="1185"/>
      <c r="APF85" s="1185"/>
      <c r="APG85" s="1185"/>
      <c r="APH85" s="1185"/>
      <c r="API85" s="1185"/>
      <c r="APJ85" s="1185"/>
      <c r="APK85" s="1185"/>
      <c r="APL85" s="1185"/>
      <c r="APM85" s="1185"/>
      <c r="APN85" s="1185"/>
      <c r="APO85" s="1185"/>
      <c r="APP85" s="1185"/>
      <c r="APQ85" s="1185"/>
      <c r="APR85" s="1185"/>
      <c r="APS85" s="1185"/>
      <c r="APT85" s="1185"/>
      <c r="APU85" s="1185"/>
      <c r="APV85" s="1185"/>
      <c r="APW85" s="1185"/>
      <c r="APX85" s="1185"/>
      <c r="APY85" s="1185"/>
      <c r="APZ85" s="1185"/>
      <c r="AQA85" s="1185"/>
      <c r="AQB85" s="1185"/>
      <c r="AQC85" s="1185"/>
      <c r="AQD85" s="1185"/>
      <c r="AQE85" s="1185"/>
      <c r="AQF85" s="1185"/>
      <c r="AQG85" s="1185"/>
      <c r="AQH85" s="1185"/>
      <c r="AQI85" s="1185"/>
      <c r="AQJ85" s="1185"/>
      <c r="AQK85" s="1185"/>
      <c r="AQL85" s="1185"/>
      <c r="AQM85" s="1185"/>
      <c r="AQN85" s="1185"/>
      <c r="AQO85" s="1185"/>
      <c r="AQP85" s="1185"/>
      <c r="AQQ85" s="1185"/>
      <c r="AQR85" s="1185"/>
      <c r="AQS85" s="1185"/>
      <c r="AQT85" s="1185"/>
      <c r="AQU85" s="1185"/>
      <c r="AQV85" s="1185"/>
      <c r="AQW85" s="1185"/>
      <c r="AQX85" s="1185"/>
      <c r="AQY85" s="1185"/>
      <c r="AQZ85" s="1185"/>
      <c r="ARA85" s="1185"/>
      <c r="ARB85" s="1185"/>
      <c r="ARC85" s="1185"/>
      <c r="ARD85" s="1185"/>
      <c r="ARE85" s="1185"/>
      <c r="ARF85" s="1185"/>
      <c r="ARG85" s="1185"/>
      <c r="ARH85" s="1185"/>
      <c r="ARI85" s="1185"/>
      <c r="ARJ85" s="1185"/>
      <c r="ARK85" s="1185"/>
      <c r="ARL85" s="1185"/>
      <c r="ARM85" s="1185"/>
      <c r="ARN85" s="1185"/>
      <c r="ARO85" s="1185"/>
      <c r="ARP85" s="1185"/>
      <c r="ARQ85" s="1185"/>
      <c r="ARR85" s="1185"/>
      <c r="ARS85" s="1185"/>
      <c r="ART85" s="1185"/>
      <c r="ARU85" s="1185"/>
      <c r="ARV85" s="1185"/>
      <c r="ARW85" s="1185"/>
      <c r="ARX85" s="1185"/>
      <c r="ARY85" s="1185"/>
      <c r="ARZ85" s="1185"/>
      <c r="ASA85" s="1185"/>
      <c r="ASB85" s="1185"/>
      <c r="ASC85" s="1185"/>
      <c r="ASD85" s="1185"/>
      <c r="ASE85" s="1185"/>
      <c r="ASF85" s="1185"/>
      <c r="ASG85" s="1185"/>
      <c r="ASH85" s="1185"/>
      <c r="ASI85" s="1185"/>
      <c r="ASJ85" s="1185"/>
      <c r="ASK85" s="1185"/>
      <c r="ASL85" s="1185"/>
      <c r="ASM85" s="1185"/>
      <c r="ASN85" s="1185"/>
      <c r="ASO85" s="1185"/>
      <c r="ASP85" s="1185"/>
      <c r="ASQ85" s="1185"/>
      <c r="ASR85" s="1185"/>
      <c r="ASS85" s="1185"/>
      <c r="AST85" s="1185"/>
      <c r="ASU85" s="1185"/>
      <c r="ASV85" s="1185"/>
      <c r="ASW85" s="1185"/>
      <c r="ASX85" s="1185"/>
      <c r="ASY85" s="1185"/>
      <c r="ASZ85" s="1185"/>
      <c r="ATA85" s="1185"/>
      <c r="ATB85" s="1185"/>
      <c r="ATC85" s="1185"/>
      <c r="ATD85" s="1185"/>
      <c r="ATE85" s="1185"/>
      <c r="ATF85" s="1185"/>
      <c r="ATG85" s="1185"/>
      <c r="ATH85" s="1185"/>
      <c r="ATI85" s="1185"/>
      <c r="ATJ85" s="1185"/>
      <c r="ATK85" s="1185"/>
      <c r="ATL85" s="1185"/>
      <c r="ATM85" s="1185"/>
      <c r="ATN85" s="1185"/>
      <c r="ATO85" s="1185"/>
      <c r="ATP85" s="1185"/>
      <c r="ATQ85" s="1185"/>
      <c r="ATR85" s="1185"/>
      <c r="ATS85" s="1185"/>
      <c r="ATT85" s="1185"/>
      <c r="ATU85" s="1185"/>
      <c r="ATV85" s="1185"/>
      <c r="ATW85" s="1185"/>
      <c r="ATX85" s="1185"/>
      <c r="ATY85" s="1185"/>
      <c r="ATZ85" s="1185"/>
      <c r="AUA85" s="1185"/>
      <c r="AUB85" s="1185"/>
      <c r="AUC85" s="1185"/>
      <c r="AUD85" s="1185"/>
      <c r="AUE85" s="1185"/>
      <c r="AUF85" s="1185"/>
      <c r="AUG85" s="1185"/>
      <c r="AUH85" s="1185"/>
      <c r="AUI85" s="1185"/>
      <c r="AUJ85" s="1185"/>
      <c r="AUK85" s="1185"/>
      <c r="AUL85" s="1185"/>
      <c r="AUM85" s="1185"/>
      <c r="AUN85" s="1185"/>
      <c r="AUO85" s="1185"/>
      <c r="AUP85" s="1185"/>
      <c r="AUQ85" s="1185"/>
      <c r="AUR85" s="1185"/>
      <c r="AUS85" s="1185"/>
      <c r="AUT85" s="1185"/>
      <c r="AUU85" s="1185"/>
      <c r="AUV85" s="1185"/>
      <c r="AUW85" s="1185"/>
      <c r="AUX85" s="1185"/>
      <c r="AUY85" s="1185"/>
      <c r="AUZ85" s="1185"/>
      <c r="AVA85" s="1185"/>
      <c r="AVB85" s="1185"/>
      <c r="AVC85" s="1185"/>
      <c r="AVD85" s="1185"/>
      <c r="AVE85" s="1185"/>
      <c r="AVF85" s="1185"/>
      <c r="AVG85" s="1185"/>
      <c r="AVH85" s="1185"/>
      <c r="AVI85" s="1185"/>
      <c r="AVJ85" s="1185"/>
      <c r="AVK85" s="1185"/>
      <c r="AVL85" s="1185"/>
      <c r="AVM85" s="1185"/>
      <c r="AVN85" s="1185"/>
      <c r="AVO85" s="1185"/>
      <c r="AVP85" s="1185"/>
      <c r="AVQ85" s="1185"/>
      <c r="AVR85" s="1185"/>
      <c r="AVS85" s="1185"/>
      <c r="AVT85" s="1185"/>
      <c r="AVU85" s="1185"/>
      <c r="AVV85" s="1185"/>
      <c r="AVW85" s="1185"/>
      <c r="AVX85" s="1185"/>
      <c r="AVY85" s="1185"/>
      <c r="AVZ85" s="1185"/>
      <c r="AWA85" s="1185"/>
      <c r="AWB85" s="1185"/>
      <c r="AWC85" s="1185"/>
      <c r="AWD85" s="1185"/>
      <c r="AWE85" s="1185"/>
      <c r="AWF85" s="1185"/>
      <c r="AWG85" s="1185"/>
      <c r="AWH85" s="1185"/>
      <c r="AWI85" s="1185"/>
      <c r="AWJ85" s="1185"/>
      <c r="AWK85" s="1185"/>
      <c r="AWL85" s="1185"/>
      <c r="AWM85" s="1185"/>
      <c r="AWN85" s="1185"/>
      <c r="AWO85" s="1185"/>
      <c r="AWP85" s="1185"/>
      <c r="AWQ85" s="1185"/>
      <c r="AWR85" s="1185"/>
      <c r="AWS85" s="1185"/>
      <c r="AWT85" s="1185"/>
      <c r="AWU85" s="1185"/>
      <c r="AWV85" s="1185"/>
      <c r="AWW85" s="1185"/>
      <c r="AWX85" s="1185"/>
      <c r="AWY85" s="1185"/>
      <c r="AWZ85" s="1185"/>
      <c r="AXA85" s="1185"/>
      <c r="AXB85" s="1185"/>
      <c r="AXC85" s="1185"/>
      <c r="AXD85" s="1185"/>
      <c r="AXE85" s="1185"/>
      <c r="AXF85" s="1185"/>
      <c r="AXG85" s="1185"/>
      <c r="AXH85" s="1185"/>
      <c r="AXI85" s="1185"/>
      <c r="AXJ85" s="1185"/>
      <c r="AXK85" s="1185"/>
      <c r="AXL85" s="1185"/>
      <c r="AXM85" s="1185"/>
      <c r="AXN85" s="1185"/>
      <c r="AXO85" s="1185"/>
      <c r="AXP85" s="1185"/>
      <c r="AXQ85" s="1185"/>
      <c r="AXR85" s="1185"/>
      <c r="AXS85" s="1185"/>
      <c r="AXT85" s="1185"/>
      <c r="AXU85" s="1185"/>
      <c r="AXV85" s="1185"/>
      <c r="AXW85" s="1185"/>
      <c r="AXX85" s="1185"/>
      <c r="AXY85" s="1185"/>
      <c r="AXZ85" s="1185"/>
      <c r="AYA85" s="1185"/>
      <c r="AYB85" s="1185"/>
      <c r="AYC85" s="1185"/>
      <c r="AYD85" s="1185"/>
      <c r="AYE85" s="1185"/>
      <c r="AYF85" s="1185"/>
      <c r="AYG85" s="1185"/>
      <c r="AYH85" s="1185"/>
      <c r="AYI85" s="1185"/>
      <c r="AYJ85" s="1185"/>
      <c r="AYK85" s="1185"/>
      <c r="AYL85" s="1185"/>
      <c r="AYM85" s="1185"/>
      <c r="AYN85" s="1185"/>
      <c r="AYO85" s="1185"/>
      <c r="AYP85" s="1185"/>
      <c r="AYQ85" s="1185"/>
      <c r="AYR85" s="1185"/>
      <c r="AYS85" s="1185"/>
      <c r="AYT85" s="1185"/>
      <c r="AYU85" s="1185"/>
      <c r="AYV85" s="1185"/>
      <c r="AYW85" s="1185"/>
      <c r="AYX85" s="1185"/>
      <c r="AYY85" s="1185"/>
      <c r="AYZ85" s="1185"/>
      <c r="AZA85" s="1185"/>
      <c r="AZB85" s="1185"/>
      <c r="AZC85" s="1185"/>
      <c r="AZD85" s="1185"/>
      <c r="AZE85" s="1185"/>
      <c r="AZF85" s="1185"/>
      <c r="AZG85" s="1185"/>
      <c r="AZH85" s="1185"/>
      <c r="AZI85" s="1185"/>
      <c r="AZJ85" s="1185"/>
      <c r="AZK85" s="1185"/>
      <c r="AZL85" s="1185"/>
      <c r="AZM85" s="1185"/>
      <c r="AZN85" s="1185"/>
      <c r="AZO85" s="1185"/>
      <c r="AZP85" s="1185"/>
      <c r="AZQ85" s="1185"/>
      <c r="AZR85" s="1185"/>
      <c r="AZS85" s="1185"/>
      <c r="AZT85" s="1185"/>
      <c r="AZU85" s="1185"/>
      <c r="AZV85" s="1185"/>
      <c r="AZW85" s="1185"/>
      <c r="AZX85" s="1185"/>
      <c r="AZY85" s="1185"/>
      <c r="AZZ85" s="1185"/>
      <c r="BAA85" s="1185"/>
      <c r="BAB85" s="1185"/>
      <c r="BAC85" s="1185"/>
      <c r="BAD85" s="1185"/>
      <c r="BAE85" s="1185"/>
      <c r="BAF85" s="1185"/>
      <c r="BAG85" s="1185"/>
      <c r="BAH85" s="1185"/>
      <c r="BAI85" s="1185"/>
      <c r="BAJ85" s="1185"/>
      <c r="BAK85" s="1185"/>
      <c r="BAL85" s="1185"/>
      <c r="BAM85" s="1185"/>
      <c r="BAN85" s="1185"/>
      <c r="BAO85" s="1185"/>
      <c r="BAP85" s="1185"/>
      <c r="BAQ85" s="1185"/>
      <c r="BAR85" s="1185"/>
      <c r="BAS85" s="1185"/>
      <c r="BAT85" s="1185"/>
      <c r="BAU85" s="1185"/>
      <c r="BAV85" s="1185"/>
      <c r="BAW85" s="1185"/>
      <c r="BAX85" s="1185"/>
      <c r="BAY85" s="1185"/>
      <c r="BAZ85" s="1185"/>
      <c r="BBA85" s="1185"/>
      <c r="BBB85" s="1185"/>
      <c r="BBC85" s="1185"/>
      <c r="BBD85" s="1185"/>
      <c r="BBE85" s="1185"/>
      <c r="BBF85" s="1185"/>
      <c r="BBG85" s="1185"/>
      <c r="BBH85" s="1185"/>
      <c r="BBI85" s="1185"/>
      <c r="BBJ85" s="1185"/>
      <c r="BBK85" s="1185"/>
      <c r="BBL85" s="1185"/>
      <c r="BBM85" s="1185"/>
      <c r="BBN85" s="1185"/>
      <c r="BBO85" s="1185"/>
      <c r="BBP85" s="1185"/>
      <c r="BBQ85" s="1185"/>
      <c r="BBR85" s="1185"/>
      <c r="BBS85" s="1185"/>
      <c r="BBT85" s="1185"/>
      <c r="BBU85" s="1185"/>
      <c r="BBV85" s="1185"/>
      <c r="BBW85" s="1185"/>
      <c r="BBX85" s="1185"/>
      <c r="BBY85" s="1185"/>
      <c r="BBZ85" s="1185"/>
      <c r="BCA85" s="1185"/>
      <c r="BCB85" s="1185"/>
      <c r="BCC85" s="1185"/>
      <c r="BCD85" s="1185"/>
      <c r="BCE85" s="1185"/>
      <c r="BCF85" s="1185"/>
      <c r="BCG85" s="1185"/>
      <c r="BCH85" s="1185"/>
      <c r="BCI85" s="1185"/>
      <c r="BCJ85" s="1185"/>
      <c r="BCK85" s="1185"/>
      <c r="BCL85" s="1185"/>
      <c r="BCM85" s="1185"/>
      <c r="BCN85" s="1185"/>
      <c r="BCO85" s="1185"/>
      <c r="BCP85" s="1185"/>
      <c r="BCQ85" s="1185"/>
      <c r="BCR85" s="1185"/>
      <c r="BCS85" s="1185"/>
      <c r="BCT85" s="1185"/>
      <c r="BCU85" s="1185"/>
      <c r="BCV85" s="1185"/>
      <c r="BCW85" s="1185"/>
      <c r="BCX85" s="1185"/>
      <c r="BCY85" s="1185"/>
      <c r="BCZ85" s="1185"/>
      <c r="BDA85" s="1185"/>
      <c r="BDB85" s="1185"/>
      <c r="BDC85" s="1185"/>
      <c r="BDD85" s="1185"/>
      <c r="BDE85" s="1185"/>
      <c r="BDF85" s="1185"/>
      <c r="BDG85" s="1185"/>
      <c r="BDH85" s="1185"/>
      <c r="BDI85" s="1185"/>
      <c r="BDJ85" s="1185"/>
      <c r="BDK85" s="1185"/>
      <c r="BDL85" s="1185"/>
      <c r="BDM85" s="1185"/>
      <c r="BDN85" s="1185"/>
      <c r="BDO85" s="1185"/>
      <c r="BDP85" s="1185"/>
      <c r="BDQ85" s="1185"/>
      <c r="BDR85" s="1185"/>
      <c r="BDS85" s="1185"/>
      <c r="BDT85" s="1185"/>
      <c r="BDU85" s="1185"/>
      <c r="BDV85" s="1185"/>
      <c r="BDW85" s="1185"/>
      <c r="BDX85" s="1185"/>
      <c r="BDY85" s="1185"/>
      <c r="BDZ85" s="1185"/>
      <c r="BEA85" s="1185"/>
      <c r="BEB85" s="1185"/>
      <c r="BEC85" s="1185"/>
      <c r="BED85" s="1185"/>
      <c r="BEE85" s="1185"/>
      <c r="BEF85" s="1185"/>
      <c r="BEG85" s="1185"/>
      <c r="BEH85" s="1185"/>
      <c r="BEI85" s="1185"/>
      <c r="BEJ85" s="1185"/>
      <c r="BEK85" s="1185"/>
      <c r="BEL85" s="1185"/>
      <c r="BEM85" s="1185"/>
      <c r="BEN85" s="1185"/>
      <c r="BEO85" s="1185"/>
      <c r="BEP85" s="1185"/>
      <c r="BEQ85" s="1185"/>
      <c r="BER85" s="1185"/>
      <c r="BES85" s="1185"/>
      <c r="BET85" s="1185"/>
      <c r="BEU85" s="1185"/>
      <c r="BEV85" s="1185"/>
      <c r="BEW85" s="1185"/>
      <c r="BEX85" s="1185"/>
      <c r="BEY85" s="1185"/>
      <c r="BEZ85" s="1185"/>
      <c r="BFA85" s="1185"/>
      <c r="BFB85" s="1185"/>
      <c r="BFC85" s="1185"/>
      <c r="BFD85" s="1185"/>
      <c r="BFE85" s="1185"/>
      <c r="BFF85" s="1185"/>
      <c r="BFG85" s="1185"/>
      <c r="BFH85" s="1185"/>
      <c r="BFI85" s="1185"/>
      <c r="BFJ85" s="1185"/>
      <c r="BFK85" s="1185"/>
      <c r="BFL85" s="1185"/>
      <c r="BFM85" s="1185"/>
      <c r="BFN85" s="1185"/>
      <c r="BFO85" s="1185"/>
      <c r="BFP85" s="1185"/>
      <c r="BFQ85" s="1185"/>
      <c r="BFR85" s="1185"/>
      <c r="BFS85" s="1185"/>
      <c r="BFT85" s="1185"/>
      <c r="BFU85" s="1185"/>
      <c r="BFV85" s="1185"/>
      <c r="BFW85" s="1185"/>
      <c r="BFX85" s="1185"/>
      <c r="BFY85" s="1185"/>
      <c r="BFZ85" s="1185"/>
      <c r="BGA85" s="1185"/>
      <c r="BGB85" s="1185"/>
      <c r="BGC85" s="1185"/>
      <c r="BGD85" s="1185"/>
      <c r="BGE85" s="1185"/>
      <c r="BGF85" s="1185"/>
      <c r="BGG85" s="1185"/>
      <c r="BGH85" s="1185"/>
      <c r="BGI85" s="1185"/>
      <c r="BGJ85" s="1185"/>
      <c r="BGK85" s="1185"/>
      <c r="BGL85" s="1185"/>
      <c r="BGM85" s="1185"/>
      <c r="BGN85" s="1185"/>
      <c r="BGO85" s="1185"/>
      <c r="BGP85" s="1185"/>
      <c r="BGQ85" s="1185"/>
      <c r="BGR85" s="1185"/>
      <c r="BGS85" s="1185"/>
      <c r="BGT85" s="1185"/>
      <c r="BGU85" s="1185"/>
      <c r="BGV85" s="1185"/>
      <c r="BGW85" s="1185"/>
      <c r="BGX85" s="1185"/>
      <c r="BGY85" s="1185"/>
      <c r="BGZ85" s="1185"/>
      <c r="BHA85" s="1185"/>
      <c r="BHB85" s="1185"/>
      <c r="BHC85" s="1185"/>
      <c r="BHD85" s="1185"/>
      <c r="BHE85" s="1185"/>
      <c r="BHF85" s="1185"/>
      <c r="BHG85" s="1185"/>
      <c r="BHH85" s="1185"/>
      <c r="BHI85" s="1185"/>
      <c r="BHJ85" s="1185"/>
      <c r="BHK85" s="1185"/>
      <c r="BHL85" s="1185"/>
      <c r="BHM85" s="1185"/>
      <c r="BHN85" s="1185"/>
      <c r="BHO85" s="1185"/>
      <c r="BHP85" s="1185"/>
      <c r="BHQ85" s="1185"/>
      <c r="BHR85" s="1185"/>
      <c r="BHS85" s="1185"/>
      <c r="BHT85" s="1185"/>
      <c r="BHU85" s="1185"/>
      <c r="BHV85" s="1185"/>
      <c r="BHW85" s="1185"/>
      <c r="BHX85" s="1185"/>
      <c r="BHY85" s="1185"/>
      <c r="BHZ85" s="1185"/>
      <c r="BIA85" s="1185"/>
      <c r="BIB85" s="1185"/>
      <c r="BIC85" s="1185"/>
      <c r="BID85" s="1185"/>
      <c r="BIE85" s="1185"/>
      <c r="BIF85" s="1185"/>
      <c r="BIG85" s="1185"/>
      <c r="BIH85" s="1185"/>
      <c r="BII85" s="1185"/>
      <c r="BIJ85" s="1185"/>
      <c r="BIK85" s="1185"/>
      <c r="BIL85" s="1185"/>
      <c r="BIM85" s="1185"/>
      <c r="BIN85" s="1185"/>
      <c r="BIO85" s="1185"/>
      <c r="BIP85" s="1185"/>
      <c r="BIQ85" s="1185"/>
      <c r="BIR85" s="1185"/>
      <c r="BIS85" s="1185"/>
      <c r="BIT85" s="1185"/>
      <c r="BIU85" s="1185"/>
      <c r="BIV85" s="1185"/>
      <c r="BIW85" s="1185"/>
      <c r="BIX85" s="1185"/>
      <c r="BIY85" s="1185"/>
      <c r="BIZ85" s="1185"/>
      <c r="BJA85" s="1185"/>
      <c r="BJB85" s="1185"/>
      <c r="BJC85" s="1185"/>
      <c r="BJD85" s="1185"/>
      <c r="BJE85" s="1185"/>
      <c r="BJF85" s="1185"/>
      <c r="BJG85" s="1185"/>
      <c r="BJH85" s="1185"/>
      <c r="BJI85" s="1185"/>
      <c r="BJJ85" s="1185"/>
      <c r="BJK85" s="1185"/>
      <c r="BJL85" s="1185"/>
      <c r="BJM85" s="1185"/>
      <c r="BJN85" s="1185"/>
      <c r="BJO85" s="1185"/>
      <c r="BJP85" s="1185"/>
      <c r="BJQ85" s="1185"/>
      <c r="BJR85" s="1185"/>
      <c r="BJS85" s="1185"/>
      <c r="BJT85" s="1185"/>
      <c r="BJU85" s="1185"/>
      <c r="BJV85" s="1185"/>
      <c r="BJW85" s="1185"/>
      <c r="BJX85" s="1185"/>
      <c r="BJY85" s="1185"/>
      <c r="BJZ85" s="1185"/>
      <c r="BKA85" s="1185"/>
      <c r="BKB85" s="1185"/>
      <c r="BKC85" s="1185"/>
      <c r="BKD85" s="1185"/>
      <c r="BKE85" s="1185"/>
      <c r="BKF85" s="1185"/>
      <c r="BKG85" s="1185"/>
      <c r="BKH85" s="1185"/>
      <c r="BKI85" s="1185"/>
      <c r="BKJ85" s="1185"/>
      <c r="BKK85" s="1185"/>
      <c r="BKL85" s="1185"/>
      <c r="BKM85" s="1185"/>
      <c r="BKN85" s="1185"/>
      <c r="BKO85" s="1185"/>
      <c r="BKP85" s="1185"/>
      <c r="BKQ85" s="1185"/>
      <c r="BKR85" s="1185"/>
      <c r="BKS85" s="1185"/>
      <c r="BKT85" s="1185"/>
      <c r="BKU85" s="1185"/>
      <c r="BKV85" s="1185"/>
      <c r="BKW85" s="1185"/>
      <c r="BKX85" s="1185"/>
      <c r="BKY85" s="1185"/>
      <c r="BKZ85" s="1185"/>
      <c r="BLA85" s="1185"/>
      <c r="BLB85" s="1185"/>
      <c r="BLC85" s="1185"/>
      <c r="BLD85" s="1185"/>
      <c r="BLE85" s="1185"/>
      <c r="BLF85" s="1185"/>
      <c r="BLG85" s="1185"/>
      <c r="BLH85" s="1185"/>
      <c r="BLI85" s="1185"/>
      <c r="BLJ85" s="1185"/>
      <c r="BLK85" s="1185"/>
      <c r="BLL85" s="1185"/>
      <c r="BLM85" s="1185"/>
      <c r="BLN85" s="1185"/>
      <c r="BLO85" s="1185"/>
      <c r="BLP85" s="1185"/>
      <c r="BLQ85" s="1185"/>
      <c r="BLR85" s="1185"/>
      <c r="BLS85" s="1185"/>
      <c r="BLT85" s="1185"/>
      <c r="BLU85" s="1185"/>
      <c r="BLV85" s="1185"/>
      <c r="BLW85" s="1185"/>
      <c r="BLX85" s="1185"/>
      <c r="BLY85" s="1185"/>
      <c r="BLZ85" s="1185"/>
      <c r="BMA85" s="1185"/>
      <c r="BMB85" s="1185"/>
      <c r="BMC85" s="1185"/>
      <c r="BMD85" s="1185"/>
      <c r="BME85" s="1185"/>
      <c r="BMF85" s="1185"/>
      <c r="BMG85" s="1185"/>
      <c r="BMH85" s="1185"/>
      <c r="BMI85" s="1185"/>
      <c r="BMJ85" s="1185"/>
      <c r="BMK85" s="1185"/>
      <c r="BML85" s="1185"/>
      <c r="BMM85" s="1185"/>
      <c r="BMN85" s="1185"/>
      <c r="BMO85" s="1185"/>
      <c r="BMP85" s="1185"/>
      <c r="BMQ85" s="1185"/>
      <c r="BMR85" s="1185"/>
      <c r="BMS85" s="1185"/>
      <c r="BMT85" s="1185"/>
      <c r="BMU85" s="1185"/>
      <c r="BMV85" s="1185"/>
      <c r="BMW85" s="1185"/>
      <c r="BMX85" s="1185"/>
      <c r="BMY85" s="1185"/>
      <c r="BMZ85" s="1185"/>
      <c r="BNA85" s="1185"/>
      <c r="BNB85" s="1185"/>
      <c r="BNC85" s="1185"/>
      <c r="BND85" s="1185"/>
      <c r="BNE85" s="1185"/>
      <c r="BNF85" s="1185"/>
      <c r="BNG85" s="1185"/>
      <c r="BNH85" s="1185"/>
      <c r="BNI85" s="1185"/>
      <c r="BNJ85" s="1185"/>
      <c r="BNK85" s="1185"/>
      <c r="BNL85" s="1185"/>
      <c r="BNM85" s="1185"/>
      <c r="BNN85" s="1185"/>
      <c r="BNO85" s="1185"/>
      <c r="BNP85" s="1185"/>
      <c r="BNQ85" s="1185"/>
      <c r="BNR85" s="1185"/>
      <c r="BNS85" s="1185"/>
      <c r="BNT85" s="1185"/>
      <c r="BNU85" s="1185"/>
      <c r="BNV85" s="1185"/>
      <c r="BNW85" s="1185"/>
      <c r="BNX85" s="1185"/>
      <c r="BNY85" s="1185"/>
      <c r="BNZ85" s="1185"/>
      <c r="BOA85" s="1185"/>
      <c r="BOB85" s="1185"/>
      <c r="BOC85" s="1185"/>
      <c r="BOD85" s="1185"/>
      <c r="BOE85" s="1185"/>
      <c r="BOF85" s="1185"/>
      <c r="BOG85" s="1185"/>
      <c r="BOH85" s="1185"/>
      <c r="BOI85" s="1185"/>
      <c r="BOJ85" s="1185"/>
      <c r="BOK85" s="1185"/>
      <c r="BOL85" s="1185"/>
      <c r="BOM85" s="1185"/>
      <c r="BON85" s="1185"/>
      <c r="BOO85" s="1185"/>
      <c r="BOP85" s="1185"/>
      <c r="BOQ85" s="1185"/>
      <c r="BOR85" s="1185"/>
      <c r="BOS85" s="1185"/>
      <c r="BOT85" s="1185"/>
      <c r="BOU85" s="1185"/>
      <c r="BOV85" s="1185"/>
      <c r="BOW85" s="1185"/>
      <c r="BOX85" s="1185"/>
      <c r="BOY85" s="1185"/>
      <c r="BOZ85" s="1185"/>
      <c r="BPA85" s="1185"/>
      <c r="BPB85" s="1185"/>
      <c r="BPC85" s="1185"/>
      <c r="BPD85" s="1185"/>
      <c r="BPE85" s="1185"/>
      <c r="BPF85" s="1185"/>
      <c r="BPG85" s="1185"/>
      <c r="BPH85" s="1185"/>
      <c r="BPI85" s="1185"/>
      <c r="BPJ85" s="1185"/>
      <c r="BPK85" s="1185"/>
      <c r="BPL85" s="1185"/>
      <c r="BPM85" s="1185"/>
      <c r="BPN85" s="1185"/>
      <c r="BPO85" s="1185"/>
      <c r="BPP85" s="1185"/>
      <c r="BPQ85" s="1185"/>
      <c r="BPR85" s="1185"/>
      <c r="BPS85" s="1185"/>
      <c r="BPT85" s="1185"/>
      <c r="BPU85" s="1185"/>
      <c r="BPV85" s="1185"/>
      <c r="BPW85" s="1185"/>
      <c r="BPX85" s="1185"/>
      <c r="BPY85" s="1185"/>
      <c r="BPZ85" s="1185"/>
      <c r="BQA85" s="1185"/>
      <c r="BQB85" s="1185"/>
      <c r="BQC85" s="1185"/>
      <c r="BQD85" s="1185"/>
      <c r="BQE85" s="1185"/>
      <c r="BQF85" s="1185"/>
      <c r="BQG85" s="1185"/>
      <c r="BQH85" s="1185"/>
      <c r="BQI85" s="1185"/>
      <c r="BQJ85" s="1185"/>
      <c r="BQK85" s="1185"/>
      <c r="BQL85" s="1185"/>
      <c r="BQM85" s="1185"/>
      <c r="BQN85" s="1185"/>
      <c r="BQO85" s="1185"/>
      <c r="BQP85" s="1185"/>
      <c r="BQQ85" s="1185"/>
      <c r="BQR85" s="1185"/>
      <c r="BQS85" s="1185"/>
      <c r="BQT85" s="1185"/>
      <c r="BQU85" s="1185"/>
      <c r="BQV85" s="1185"/>
      <c r="BQW85" s="1185"/>
      <c r="BQX85" s="1185"/>
      <c r="BQY85" s="1185"/>
      <c r="BQZ85" s="1185"/>
      <c r="BRA85" s="1185"/>
      <c r="BRB85" s="1185"/>
      <c r="BRC85" s="1185"/>
      <c r="BRD85" s="1185"/>
      <c r="BRE85" s="1185"/>
      <c r="BRF85" s="1185"/>
      <c r="BRG85" s="1185"/>
      <c r="BRH85" s="1185"/>
      <c r="BRI85" s="1185"/>
      <c r="BRJ85" s="1185"/>
      <c r="BRK85" s="1185"/>
      <c r="BRL85" s="1185"/>
      <c r="BRM85" s="1185"/>
      <c r="BRN85" s="1185"/>
      <c r="BRO85" s="1185"/>
      <c r="BRP85" s="1185"/>
      <c r="BRQ85" s="1185"/>
      <c r="BRR85" s="1185"/>
      <c r="BRS85" s="1185"/>
      <c r="BRT85" s="1185"/>
      <c r="BRU85" s="1185"/>
      <c r="BRV85" s="1185"/>
      <c r="BRW85" s="1185"/>
      <c r="BRX85" s="1185"/>
      <c r="BRY85" s="1185"/>
      <c r="BRZ85" s="1185"/>
      <c r="BSA85" s="1185"/>
      <c r="BSB85" s="1185"/>
      <c r="BSC85" s="1185"/>
      <c r="BSD85" s="1185"/>
      <c r="BSE85" s="1185"/>
      <c r="BSF85" s="1185"/>
      <c r="BSG85" s="1185"/>
      <c r="BSH85" s="1185"/>
      <c r="BSI85" s="1185"/>
      <c r="BSJ85" s="1185"/>
      <c r="BSK85" s="1185"/>
      <c r="BSL85" s="1185"/>
      <c r="BSM85" s="1185"/>
      <c r="BSN85" s="1185"/>
      <c r="BSO85" s="1185"/>
      <c r="BSP85" s="1185"/>
      <c r="BSQ85" s="1185"/>
      <c r="BSR85" s="1185"/>
      <c r="BSS85" s="1185"/>
      <c r="BST85" s="1185"/>
      <c r="BSU85" s="1185"/>
      <c r="BSV85" s="1185"/>
      <c r="BSW85" s="1185"/>
      <c r="BSX85" s="1185"/>
      <c r="BSY85" s="1185"/>
      <c r="BSZ85" s="1185"/>
      <c r="BTA85" s="1185"/>
      <c r="BTB85" s="1185"/>
      <c r="BTC85" s="1185"/>
      <c r="BTD85" s="1185"/>
      <c r="BTE85" s="1185"/>
      <c r="BTF85" s="1185"/>
      <c r="BTG85" s="1185"/>
      <c r="BTH85" s="1185"/>
      <c r="BTI85" s="1185"/>
      <c r="BTJ85" s="1185"/>
      <c r="BTK85" s="1185"/>
      <c r="BTL85" s="1185"/>
      <c r="BTM85" s="1185"/>
      <c r="BTN85" s="1185"/>
      <c r="BTO85" s="1185"/>
      <c r="BTP85" s="1185"/>
      <c r="BTQ85" s="1185"/>
      <c r="BTR85" s="1185"/>
      <c r="BTS85" s="1185"/>
      <c r="BTT85" s="1185"/>
      <c r="BTU85" s="1185"/>
      <c r="BTV85" s="1185"/>
      <c r="BTW85" s="1185"/>
      <c r="BTX85" s="1185"/>
      <c r="BTY85" s="1185"/>
      <c r="BTZ85" s="1185"/>
      <c r="BUA85" s="1185"/>
      <c r="BUB85" s="1185"/>
      <c r="BUC85" s="1185"/>
      <c r="BUD85" s="1185"/>
      <c r="BUE85" s="1185"/>
      <c r="BUF85" s="1185"/>
      <c r="BUG85" s="1185"/>
      <c r="BUH85" s="1185"/>
      <c r="BUI85" s="1185"/>
      <c r="BUJ85" s="1185"/>
      <c r="BUK85" s="1185"/>
      <c r="BUL85" s="1185"/>
      <c r="BUM85" s="1185"/>
      <c r="BUN85" s="1185"/>
      <c r="BUO85" s="1185"/>
      <c r="BUP85" s="1185"/>
      <c r="BUQ85" s="1185"/>
      <c r="BUR85" s="1185"/>
      <c r="BUS85" s="1185"/>
      <c r="BUT85" s="1185"/>
      <c r="BUU85" s="1185"/>
      <c r="BUV85" s="1185"/>
      <c r="BUW85" s="1185"/>
      <c r="BUX85" s="1185"/>
      <c r="BUY85" s="1185"/>
      <c r="BUZ85" s="1185"/>
      <c r="BVA85" s="1185"/>
      <c r="BVB85" s="1185"/>
      <c r="BVC85" s="1185"/>
      <c r="BVD85" s="1185"/>
      <c r="BVE85" s="1185"/>
      <c r="BVF85" s="1185"/>
      <c r="BVG85" s="1185"/>
      <c r="BVH85" s="1185"/>
      <c r="BVI85" s="1185"/>
      <c r="BVJ85" s="1185"/>
      <c r="BVK85" s="1185"/>
      <c r="BVL85" s="1185"/>
      <c r="BVM85" s="1185"/>
      <c r="BVN85" s="1185"/>
      <c r="BVO85" s="1185"/>
      <c r="BVP85" s="1185"/>
      <c r="BVQ85" s="1185"/>
      <c r="BVR85" s="1185"/>
      <c r="BVS85" s="1185"/>
      <c r="BVT85" s="1185"/>
      <c r="BVU85" s="1185"/>
      <c r="BVV85" s="1185"/>
      <c r="BVW85" s="1185"/>
      <c r="BVX85" s="1185"/>
      <c r="BVY85" s="1185"/>
      <c r="BVZ85" s="1185"/>
      <c r="BWA85" s="1185"/>
      <c r="BWB85" s="1185"/>
      <c r="BWC85" s="1185"/>
      <c r="BWD85" s="1185"/>
      <c r="BWE85" s="1185"/>
      <c r="BWF85" s="1185"/>
      <c r="BWG85" s="1185"/>
      <c r="BWH85" s="1185"/>
      <c r="BWI85" s="1185"/>
      <c r="BWJ85" s="1185"/>
      <c r="BWK85" s="1185"/>
      <c r="BWL85" s="1185"/>
      <c r="BWM85" s="1185"/>
      <c r="BWN85" s="1185"/>
      <c r="BWO85" s="1185"/>
      <c r="BWP85" s="1185"/>
      <c r="BWQ85" s="1185"/>
      <c r="BWR85" s="1185"/>
      <c r="BWS85" s="1185"/>
      <c r="BWT85" s="1185"/>
      <c r="BWU85" s="1185"/>
      <c r="BWV85" s="1185"/>
      <c r="BWW85" s="1185"/>
      <c r="BWX85" s="1185"/>
      <c r="BWY85" s="1185"/>
      <c r="BWZ85" s="1185"/>
      <c r="BXA85" s="1185"/>
      <c r="BXB85" s="1185"/>
      <c r="BXC85" s="1185"/>
      <c r="BXD85" s="1185"/>
      <c r="BXE85" s="1185"/>
      <c r="BXF85" s="1185"/>
      <c r="BXG85" s="1185"/>
      <c r="BXH85" s="1185"/>
      <c r="BXI85" s="1185"/>
      <c r="BXJ85" s="1185"/>
      <c r="BXK85" s="1185"/>
      <c r="BXL85" s="1185"/>
      <c r="BXM85" s="1185"/>
      <c r="BXN85" s="1185"/>
      <c r="BXO85" s="1185"/>
      <c r="BXP85" s="1185"/>
      <c r="BXQ85" s="1185"/>
      <c r="BXR85" s="1185"/>
      <c r="BXS85" s="1185"/>
      <c r="BXT85" s="1185"/>
      <c r="BXU85" s="1185"/>
      <c r="BXV85" s="1185"/>
      <c r="BXW85" s="1185"/>
      <c r="BXX85" s="1185"/>
      <c r="BXY85" s="1185"/>
      <c r="BXZ85" s="1185"/>
      <c r="BYA85" s="1185"/>
      <c r="BYB85" s="1185"/>
      <c r="BYC85" s="1185"/>
      <c r="BYD85" s="1185"/>
      <c r="BYE85" s="1185"/>
      <c r="BYF85" s="1185"/>
      <c r="BYG85" s="1185"/>
      <c r="BYH85" s="1185"/>
      <c r="BYI85" s="1185"/>
      <c r="BYJ85" s="1185"/>
      <c r="BYK85" s="1185"/>
      <c r="BYL85" s="1185"/>
      <c r="BYM85" s="1185"/>
      <c r="BYN85" s="1185"/>
      <c r="BYO85" s="1185"/>
      <c r="BYP85" s="1185"/>
      <c r="BYQ85" s="1185"/>
      <c r="BYR85" s="1185"/>
      <c r="BYS85" s="1185"/>
      <c r="BYT85" s="1185"/>
      <c r="BYU85" s="1185"/>
      <c r="BYV85" s="1185"/>
      <c r="BYW85" s="1185"/>
      <c r="BYX85" s="1185"/>
      <c r="BYY85" s="1185"/>
      <c r="BYZ85" s="1185"/>
      <c r="BZA85" s="1185"/>
      <c r="BZB85" s="1185"/>
      <c r="BZC85" s="1185"/>
      <c r="BZD85" s="1185"/>
      <c r="BZE85" s="1185"/>
      <c r="BZF85" s="1185"/>
      <c r="BZG85" s="1185"/>
      <c r="BZH85" s="1185"/>
      <c r="BZI85" s="1185"/>
      <c r="BZJ85" s="1185"/>
      <c r="BZK85" s="1185"/>
      <c r="BZL85" s="1185"/>
      <c r="BZM85" s="1185"/>
      <c r="BZN85" s="1185"/>
      <c r="BZO85" s="1185"/>
      <c r="BZP85" s="1185"/>
      <c r="BZQ85" s="1185"/>
      <c r="BZR85" s="1185"/>
      <c r="BZS85" s="1185"/>
      <c r="BZT85" s="1185"/>
      <c r="BZU85" s="1185"/>
      <c r="BZV85" s="1185"/>
      <c r="BZW85" s="1185"/>
      <c r="BZX85" s="1185"/>
      <c r="BZY85" s="1185"/>
      <c r="BZZ85" s="1185"/>
      <c r="CAA85" s="1185"/>
      <c r="CAB85" s="1185"/>
      <c r="CAC85" s="1185"/>
      <c r="CAD85" s="1185"/>
      <c r="CAE85" s="1185"/>
      <c r="CAF85" s="1185"/>
      <c r="CAG85" s="1185"/>
      <c r="CAH85" s="1185"/>
      <c r="CAI85" s="1185"/>
      <c r="CAJ85" s="1185"/>
      <c r="CAK85" s="1185"/>
      <c r="CAL85" s="1185"/>
      <c r="CAM85" s="1185"/>
      <c r="CAN85" s="1185"/>
      <c r="CAO85" s="1185"/>
      <c r="CAP85" s="1185"/>
      <c r="CAQ85" s="1185"/>
      <c r="CAR85" s="1185"/>
      <c r="CAS85" s="1185"/>
      <c r="CAT85" s="1185"/>
      <c r="CAU85" s="1185"/>
      <c r="CAV85" s="1185"/>
      <c r="CAW85" s="1185"/>
      <c r="CAX85" s="1185"/>
      <c r="CAY85" s="1185"/>
      <c r="CAZ85" s="1185"/>
      <c r="CBA85" s="1185"/>
      <c r="CBB85" s="1185"/>
      <c r="CBC85" s="1185"/>
      <c r="CBD85" s="1185"/>
      <c r="CBE85" s="1185"/>
      <c r="CBF85" s="1185"/>
      <c r="CBG85" s="1185"/>
      <c r="CBH85" s="1185"/>
      <c r="CBI85" s="1185"/>
      <c r="CBJ85" s="1185"/>
      <c r="CBK85" s="1185"/>
      <c r="CBL85" s="1185"/>
      <c r="CBM85" s="1185"/>
      <c r="CBN85" s="1185"/>
      <c r="CBO85" s="1185"/>
      <c r="CBP85" s="1185"/>
      <c r="CBQ85" s="1185"/>
      <c r="CBR85" s="1185"/>
      <c r="CBS85" s="1185"/>
      <c r="CBT85" s="1185"/>
      <c r="CBU85" s="1185"/>
      <c r="CBV85" s="1185"/>
      <c r="CBW85" s="1185"/>
      <c r="CBX85" s="1185"/>
      <c r="CBY85" s="1185"/>
      <c r="CBZ85" s="1185"/>
      <c r="CCA85" s="1185"/>
      <c r="CCB85" s="1185"/>
      <c r="CCC85" s="1185"/>
      <c r="CCD85" s="1185"/>
      <c r="CCE85" s="1185"/>
      <c r="CCF85" s="1185"/>
      <c r="CCG85" s="1185"/>
      <c r="CCH85" s="1185"/>
      <c r="CCI85" s="1185"/>
      <c r="CCJ85" s="1185"/>
      <c r="CCK85" s="1185"/>
      <c r="CCL85" s="1185"/>
      <c r="CCM85" s="1185"/>
      <c r="CCN85" s="1185"/>
      <c r="CCO85" s="1185"/>
      <c r="CCP85" s="1185"/>
      <c r="CCQ85" s="1185"/>
      <c r="CCR85" s="1185"/>
      <c r="CCS85" s="1185"/>
      <c r="CCT85" s="1185"/>
      <c r="CCU85" s="1185"/>
      <c r="CCV85" s="1185"/>
      <c r="CCW85" s="1185"/>
      <c r="CCX85" s="1185"/>
      <c r="CCY85" s="1185"/>
      <c r="CCZ85" s="1185"/>
      <c r="CDA85" s="1185"/>
      <c r="CDB85" s="1185"/>
      <c r="CDC85" s="1185"/>
      <c r="CDD85" s="1185"/>
      <c r="CDE85" s="1185"/>
      <c r="CDF85" s="1185"/>
      <c r="CDG85" s="1185"/>
      <c r="CDH85" s="1185"/>
      <c r="CDI85" s="1185"/>
      <c r="CDJ85" s="1185"/>
      <c r="CDK85" s="1185"/>
      <c r="CDL85" s="1185"/>
      <c r="CDM85" s="1185"/>
      <c r="CDN85" s="1185"/>
      <c r="CDO85" s="1185"/>
      <c r="CDP85" s="1185"/>
      <c r="CDQ85" s="1185"/>
      <c r="CDR85" s="1185"/>
      <c r="CDS85" s="1185"/>
      <c r="CDT85" s="1185"/>
      <c r="CDU85" s="1185"/>
      <c r="CDV85" s="1185"/>
      <c r="CDW85" s="1185"/>
      <c r="CDX85" s="1185"/>
      <c r="CDY85" s="1185"/>
      <c r="CDZ85" s="1185"/>
      <c r="CEA85" s="1185"/>
      <c r="CEB85" s="1185"/>
      <c r="CEC85" s="1185"/>
      <c r="CED85" s="1185"/>
      <c r="CEE85" s="1185"/>
      <c r="CEF85" s="1185"/>
      <c r="CEG85" s="1185"/>
      <c r="CEH85" s="1185"/>
      <c r="CEI85" s="1185"/>
      <c r="CEJ85" s="1185"/>
      <c r="CEK85" s="1185"/>
      <c r="CEL85" s="1185"/>
      <c r="CEM85" s="1185"/>
      <c r="CEN85" s="1185"/>
      <c r="CEO85" s="1185"/>
      <c r="CEP85" s="1185"/>
      <c r="CEQ85" s="1185"/>
      <c r="CER85" s="1185"/>
      <c r="CES85" s="1185"/>
      <c r="CET85" s="1185"/>
      <c r="CEU85" s="1185"/>
      <c r="CEV85" s="1185"/>
      <c r="CEW85" s="1185"/>
      <c r="CEX85" s="1185"/>
      <c r="CEY85" s="1185"/>
      <c r="CEZ85" s="1185"/>
      <c r="CFA85" s="1185"/>
      <c r="CFB85" s="1185"/>
      <c r="CFC85" s="1185"/>
      <c r="CFD85" s="1185"/>
      <c r="CFE85" s="1185"/>
      <c r="CFF85" s="1185"/>
      <c r="CFG85" s="1185"/>
      <c r="CFH85" s="1185"/>
      <c r="CFI85" s="1185"/>
      <c r="CFJ85" s="1185"/>
      <c r="CFK85" s="1185"/>
      <c r="CFL85" s="1185"/>
      <c r="CFM85" s="1185"/>
      <c r="CFN85" s="1185"/>
      <c r="CFO85" s="1185"/>
      <c r="CFP85" s="1185"/>
      <c r="CFQ85" s="1185"/>
      <c r="CFR85" s="1185"/>
      <c r="CFS85" s="1185"/>
      <c r="CFT85" s="1185"/>
      <c r="CFU85" s="1185"/>
      <c r="CFV85" s="1185"/>
      <c r="CFW85" s="1185"/>
      <c r="CFX85" s="1185"/>
      <c r="CFY85" s="1185"/>
      <c r="CFZ85" s="1185"/>
      <c r="CGA85" s="1185"/>
      <c r="CGB85" s="1185"/>
      <c r="CGC85" s="1185"/>
      <c r="CGD85" s="1185"/>
      <c r="CGE85" s="1185"/>
      <c r="CGF85" s="1185"/>
      <c r="CGG85" s="1185"/>
      <c r="CGH85" s="1185"/>
      <c r="CGI85" s="1185"/>
      <c r="CGJ85" s="1185"/>
      <c r="CGK85" s="1185"/>
      <c r="CGL85" s="1185"/>
      <c r="CGM85" s="1185"/>
      <c r="CGN85" s="1185"/>
      <c r="CGO85" s="1185"/>
      <c r="CGP85" s="1185"/>
      <c r="CGQ85" s="1185"/>
      <c r="CGR85" s="1185"/>
      <c r="CGS85" s="1185"/>
      <c r="CGT85" s="1185"/>
      <c r="CGU85" s="1185"/>
      <c r="CGV85" s="1185"/>
      <c r="CGW85" s="1185"/>
      <c r="CGX85" s="1185"/>
      <c r="CGY85" s="1185"/>
      <c r="CGZ85" s="1185"/>
      <c r="CHA85" s="1185"/>
      <c r="CHB85" s="1185"/>
      <c r="CHC85" s="1185"/>
      <c r="CHD85" s="1185"/>
      <c r="CHE85" s="1185"/>
      <c r="CHF85" s="1185"/>
      <c r="CHG85" s="1185"/>
      <c r="CHH85" s="1185"/>
      <c r="CHI85" s="1185"/>
      <c r="CHJ85" s="1185"/>
      <c r="CHK85" s="1185"/>
      <c r="CHL85" s="1185"/>
      <c r="CHM85" s="1185"/>
      <c r="CHN85" s="1185"/>
      <c r="CHO85" s="1185"/>
      <c r="CHP85" s="1185"/>
      <c r="CHQ85" s="1185"/>
      <c r="CHR85" s="1185"/>
      <c r="CHS85" s="1185"/>
      <c r="CHT85" s="1185"/>
      <c r="CHU85" s="1185"/>
      <c r="CHV85" s="1185"/>
      <c r="CHW85" s="1185"/>
      <c r="CHX85" s="1185"/>
      <c r="CHY85" s="1185"/>
      <c r="CHZ85" s="1185"/>
      <c r="CIA85" s="1185"/>
      <c r="CIB85" s="1185"/>
      <c r="CIC85" s="1185"/>
      <c r="CID85" s="1185"/>
      <c r="CIE85" s="1185"/>
      <c r="CIF85" s="1185"/>
      <c r="CIG85" s="1185"/>
      <c r="CIH85" s="1185"/>
      <c r="CII85" s="1185"/>
      <c r="CIJ85" s="1185"/>
      <c r="CIK85" s="1185"/>
      <c r="CIL85" s="1185"/>
      <c r="CIM85" s="1185"/>
      <c r="CIN85" s="1185"/>
      <c r="CIO85" s="1185"/>
      <c r="CIP85" s="1185"/>
      <c r="CIQ85" s="1185"/>
      <c r="CIR85" s="1185"/>
      <c r="CIS85" s="1185"/>
      <c r="CIT85" s="1185"/>
      <c r="CIU85" s="1185"/>
      <c r="CIV85" s="1185"/>
      <c r="CIW85" s="1185"/>
      <c r="CIX85" s="1185"/>
      <c r="CIY85" s="1185"/>
      <c r="CIZ85" s="1185"/>
      <c r="CJA85" s="1185"/>
      <c r="CJB85" s="1185"/>
      <c r="CJC85" s="1185"/>
      <c r="CJD85" s="1185"/>
      <c r="CJE85" s="1185"/>
      <c r="CJF85" s="1185"/>
      <c r="CJG85" s="1185"/>
      <c r="CJH85" s="1185"/>
      <c r="CJI85" s="1185"/>
      <c r="CJJ85" s="1185"/>
      <c r="CJK85" s="1185"/>
      <c r="CJL85" s="1185"/>
      <c r="CJM85" s="1185"/>
      <c r="CJN85" s="1185"/>
      <c r="CJO85" s="1185"/>
      <c r="CJP85" s="1185"/>
      <c r="CJQ85" s="1185"/>
      <c r="CJR85" s="1185"/>
      <c r="CJS85" s="1185"/>
      <c r="CJT85" s="1185"/>
      <c r="CJU85" s="1185"/>
      <c r="CJV85" s="1185"/>
      <c r="CJW85" s="1185"/>
      <c r="CJX85" s="1185"/>
      <c r="CJY85" s="1185"/>
      <c r="CJZ85" s="1185"/>
      <c r="CKA85" s="1185"/>
      <c r="CKB85" s="1185"/>
      <c r="CKC85" s="1185"/>
      <c r="CKD85" s="1185"/>
      <c r="CKE85" s="1185"/>
      <c r="CKF85" s="1185"/>
      <c r="CKG85" s="1185"/>
      <c r="CKH85" s="1185"/>
      <c r="CKI85" s="1185"/>
      <c r="CKJ85" s="1185"/>
      <c r="CKK85" s="1185"/>
      <c r="CKL85" s="1185"/>
      <c r="CKM85" s="1185"/>
      <c r="CKN85" s="1185"/>
      <c r="CKO85" s="1185"/>
      <c r="CKP85" s="1185"/>
      <c r="CKQ85" s="1185"/>
      <c r="CKR85" s="1185"/>
      <c r="CKS85" s="1185"/>
      <c r="CKT85" s="1185"/>
      <c r="CKU85" s="1185"/>
      <c r="CKV85" s="1185"/>
      <c r="CKW85" s="1185"/>
      <c r="CKX85" s="1185"/>
      <c r="CKY85" s="1185"/>
      <c r="CKZ85" s="1185"/>
      <c r="CLA85" s="1185"/>
      <c r="CLB85" s="1185"/>
      <c r="CLC85" s="1185"/>
      <c r="CLD85" s="1185"/>
      <c r="CLE85" s="1185"/>
      <c r="CLF85" s="1185"/>
      <c r="CLG85" s="1185"/>
      <c r="CLH85" s="1185"/>
      <c r="CLI85" s="1185"/>
      <c r="CLJ85" s="1185"/>
      <c r="CLK85" s="1185"/>
      <c r="CLL85" s="1185"/>
      <c r="CLM85" s="1185"/>
      <c r="CLN85" s="1185"/>
      <c r="CLO85" s="1185"/>
      <c r="CLP85" s="1185"/>
      <c r="CLQ85" s="1185"/>
      <c r="CLR85" s="1185"/>
      <c r="CLS85" s="1185"/>
      <c r="CLT85" s="1185"/>
      <c r="CLU85" s="1185"/>
      <c r="CLV85" s="1185"/>
      <c r="CLW85" s="1185"/>
      <c r="CLX85" s="1185"/>
      <c r="CLY85" s="1185"/>
      <c r="CLZ85" s="1185"/>
      <c r="CMA85" s="1185"/>
      <c r="CMB85" s="1185"/>
      <c r="CMC85" s="1185"/>
      <c r="CMD85" s="1185"/>
      <c r="CME85" s="1185"/>
      <c r="CMF85" s="1185"/>
      <c r="CMG85" s="1185"/>
      <c r="CMH85" s="1185"/>
      <c r="CMI85" s="1185"/>
      <c r="CMJ85" s="1185"/>
      <c r="CMK85" s="1185"/>
      <c r="CML85" s="1185"/>
      <c r="CMM85" s="1185"/>
      <c r="CMN85" s="1185"/>
      <c r="CMO85" s="1185"/>
      <c r="CMP85" s="1185"/>
      <c r="CMQ85" s="1185"/>
      <c r="CMR85" s="1185"/>
      <c r="CMS85" s="1185"/>
      <c r="CMT85" s="1185"/>
      <c r="CMU85" s="1185"/>
      <c r="CMV85" s="1185"/>
      <c r="CMW85" s="1185"/>
      <c r="CMX85" s="1185"/>
      <c r="CMY85" s="1185"/>
      <c r="CMZ85" s="1185"/>
      <c r="CNA85" s="1185"/>
      <c r="CNB85" s="1185"/>
      <c r="CNC85" s="1185"/>
      <c r="CND85" s="1185"/>
      <c r="CNE85" s="1185"/>
      <c r="CNF85" s="1185"/>
      <c r="CNG85" s="1185"/>
      <c r="CNH85" s="1185"/>
      <c r="CNI85" s="1185"/>
      <c r="CNJ85" s="1185"/>
      <c r="CNK85" s="1185"/>
      <c r="CNL85" s="1185"/>
      <c r="CNM85" s="1185"/>
      <c r="CNN85" s="1185"/>
      <c r="CNO85" s="1185"/>
      <c r="CNP85" s="1185"/>
      <c r="CNQ85" s="1185"/>
      <c r="CNR85" s="1185"/>
      <c r="CNS85" s="1185"/>
      <c r="CNT85" s="1185"/>
      <c r="CNU85" s="1185"/>
      <c r="CNV85" s="1185"/>
      <c r="CNW85" s="1185"/>
      <c r="CNX85" s="1185"/>
      <c r="CNY85" s="1185"/>
      <c r="CNZ85" s="1185"/>
      <c r="COA85" s="1185"/>
      <c r="COB85" s="1185"/>
      <c r="COC85" s="1185"/>
      <c r="COD85" s="1185"/>
      <c r="COE85" s="1185"/>
      <c r="COF85" s="1185"/>
      <c r="COG85" s="1185"/>
      <c r="COH85" s="1185"/>
      <c r="COI85" s="1185"/>
      <c r="COJ85" s="1185"/>
      <c r="COK85" s="1185"/>
      <c r="COL85" s="1185"/>
      <c r="COM85" s="1185"/>
      <c r="CON85" s="1185"/>
      <c r="COO85" s="1185"/>
      <c r="COP85" s="1185"/>
      <c r="COQ85" s="1185"/>
      <c r="COR85" s="1185"/>
      <c r="COS85" s="1185"/>
      <c r="COT85" s="1185"/>
      <c r="COU85" s="1185"/>
      <c r="COV85" s="1185"/>
      <c r="COW85" s="1185"/>
      <c r="COX85" s="1185"/>
      <c r="COY85" s="1185"/>
      <c r="COZ85" s="1185"/>
      <c r="CPA85" s="1185"/>
      <c r="CPB85" s="1185"/>
      <c r="CPC85" s="1185"/>
      <c r="CPD85" s="1185"/>
      <c r="CPE85" s="1185"/>
      <c r="CPF85" s="1185"/>
      <c r="CPG85" s="1185"/>
      <c r="CPH85" s="1185"/>
      <c r="CPI85" s="1185"/>
      <c r="CPJ85" s="1185"/>
      <c r="CPK85" s="1185"/>
      <c r="CPL85" s="1185"/>
      <c r="CPM85" s="1185"/>
      <c r="CPN85" s="1185"/>
      <c r="CPO85" s="1185"/>
      <c r="CPP85" s="1185"/>
      <c r="CPQ85" s="1185"/>
      <c r="CPR85" s="1185"/>
      <c r="CPS85" s="1185"/>
      <c r="CPT85" s="1185"/>
      <c r="CPU85" s="1185"/>
      <c r="CPV85" s="1185"/>
      <c r="CPW85" s="1185"/>
      <c r="CPX85" s="1185"/>
      <c r="CPY85" s="1185"/>
      <c r="CPZ85" s="1185"/>
      <c r="CQA85" s="1185"/>
      <c r="CQB85" s="1185"/>
      <c r="CQC85" s="1185"/>
      <c r="CQD85" s="1185"/>
      <c r="CQE85" s="1185"/>
      <c r="CQF85" s="1185"/>
      <c r="CQG85" s="1185"/>
      <c r="CQH85" s="1185"/>
      <c r="CQI85" s="1185"/>
      <c r="CQJ85" s="1185"/>
      <c r="CQK85" s="1185"/>
      <c r="CQL85" s="1185"/>
      <c r="CQM85" s="1185"/>
      <c r="CQN85" s="1185"/>
      <c r="CQO85" s="1185"/>
      <c r="CQP85" s="1185"/>
      <c r="CQQ85" s="1185"/>
      <c r="CQR85" s="1185"/>
      <c r="CQS85" s="1185"/>
      <c r="CQT85" s="1185"/>
      <c r="CQU85" s="1185"/>
      <c r="CQV85" s="1185"/>
      <c r="CQW85" s="1185"/>
      <c r="CQX85" s="1185"/>
      <c r="CQY85" s="1185"/>
      <c r="CQZ85" s="1185"/>
      <c r="CRA85" s="1185"/>
      <c r="CRB85" s="1185"/>
      <c r="CRC85" s="1185"/>
      <c r="CRD85" s="1185"/>
      <c r="CRE85" s="1185"/>
      <c r="CRF85" s="1185"/>
      <c r="CRG85" s="1185"/>
      <c r="CRH85" s="1185"/>
      <c r="CRI85" s="1185"/>
      <c r="CRJ85" s="1185"/>
      <c r="CRK85" s="1185"/>
      <c r="CRL85" s="1185"/>
      <c r="CRM85" s="1185"/>
      <c r="CRN85" s="1185"/>
      <c r="CRO85" s="1185"/>
      <c r="CRP85" s="1185"/>
      <c r="CRQ85" s="1185"/>
      <c r="CRR85" s="1185"/>
      <c r="CRS85" s="1185"/>
      <c r="CRT85" s="1185"/>
      <c r="CRU85" s="1185"/>
      <c r="CRV85" s="1185"/>
      <c r="CRW85" s="1185"/>
      <c r="CRX85" s="1185"/>
      <c r="CRY85" s="1185"/>
      <c r="CRZ85" s="1185"/>
      <c r="CSA85" s="1185"/>
      <c r="CSB85" s="1185"/>
      <c r="CSC85" s="1185"/>
      <c r="CSD85" s="1185"/>
      <c r="CSE85" s="1185"/>
      <c r="CSF85" s="1185"/>
      <c r="CSG85" s="1185"/>
      <c r="CSH85" s="1185"/>
      <c r="CSI85" s="1185"/>
      <c r="CSJ85" s="1185"/>
      <c r="CSK85" s="1185"/>
      <c r="CSL85" s="1185"/>
      <c r="CSM85" s="1185"/>
      <c r="CSN85" s="1185"/>
      <c r="CSO85" s="1185"/>
      <c r="CSP85" s="1185"/>
      <c r="CSQ85" s="1185"/>
      <c r="CSR85" s="1185"/>
      <c r="CSS85" s="1185"/>
      <c r="CST85" s="1185"/>
      <c r="CSU85" s="1185"/>
      <c r="CSV85" s="1185"/>
      <c r="CSW85" s="1185"/>
      <c r="CSX85" s="1185"/>
      <c r="CSY85" s="1185"/>
      <c r="CSZ85" s="1185"/>
      <c r="CTA85" s="1185"/>
      <c r="CTB85" s="1185"/>
      <c r="CTC85" s="1185"/>
      <c r="CTD85" s="1185"/>
      <c r="CTE85" s="1185"/>
      <c r="CTF85" s="1185"/>
      <c r="CTG85" s="1185"/>
      <c r="CTH85" s="1185"/>
      <c r="CTI85" s="1185"/>
      <c r="CTJ85" s="1185"/>
      <c r="CTK85" s="1185"/>
      <c r="CTL85" s="1185"/>
      <c r="CTM85" s="1185"/>
      <c r="CTN85" s="1185"/>
      <c r="CTO85" s="1185"/>
      <c r="CTP85" s="1185"/>
      <c r="CTQ85" s="1185"/>
      <c r="CTR85" s="1185"/>
      <c r="CTS85" s="1185"/>
      <c r="CTT85" s="1185"/>
      <c r="CTU85" s="1185"/>
      <c r="CTV85" s="1185"/>
      <c r="CTW85" s="1185"/>
      <c r="CTX85" s="1185"/>
      <c r="CTY85" s="1185"/>
      <c r="CTZ85" s="1185"/>
      <c r="CUA85" s="1185"/>
      <c r="CUB85" s="1185"/>
      <c r="CUC85" s="1185"/>
      <c r="CUD85" s="1185"/>
      <c r="CUE85" s="1185"/>
      <c r="CUF85" s="1185"/>
      <c r="CUG85" s="1185"/>
      <c r="CUH85" s="1185"/>
      <c r="CUI85" s="1185"/>
      <c r="CUJ85" s="1185"/>
      <c r="CUK85" s="1185"/>
      <c r="CUL85" s="1185"/>
      <c r="CUM85" s="1185"/>
      <c r="CUN85" s="1185"/>
      <c r="CUO85" s="1185"/>
      <c r="CUP85" s="1185"/>
      <c r="CUQ85" s="1185"/>
      <c r="CUR85" s="1185"/>
      <c r="CUS85" s="1185"/>
      <c r="CUT85" s="1185"/>
      <c r="CUU85" s="1185"/>
      <c r="CUV85" s="1185"/>
      <c r="CUW85" s="1185"/>
      <c r="CUX85" s="1185"/>
      <c r="CUY85" s="1185"/>
      <c r="CUZ85" s="1185"/>
      <c r="CVA85" s="1185"/>
      <c r="CVB85" s="1185"/>
      <c r="CVC85" s="1185"/>
      <c r="CVD85" s="1185"/>
      <c r="CVE85" s="1185"/>
      <c r="CVF85" s="1185"/>
      <c r="CVG85" s="1185"/>
      <c r="CVH85" s="1185"/>
      <c r="CVI85" s="1185"/>
      <c r="CVJ85" s="1185"/>
      <c r="CVK85" s="1185"/>
      <c r="CVL85" s="1185"/>
      <c r="CVM85" s="1185"/>
      <c r="CVN85" s="1185"/>
      <c r="CVO85" s="1185"/>
      <c r="CVP85" s="1185"/>
      <c r="CVQ85" s="1185"/>
      <c r="CVR85" s="1185"/>
      <c r="CVS85" s="1185"/>
      <c r="CVT85" s="1185"/>
      <c r="CVU85" s="1185"/>
      <c r="CVV85" s="1185"/>
      <c r="CVW85" s="1185"/>
      <c r="CVX85" s="1185"/>
      <c r="CVY85" s="1185"/>
      <c r="CVZ85" s="1185"/>
      <c r="CWA85" s="1185"/>
      <c r="CWB85" s="1185"/>
      <c r="CWC85" s="1185"/>
      <c r="CWD85" s="1185"/>
      <c r="CWE85" s="1185"/>
      <c r="CWF85" s="1185"/>
      <c r="CWG85" s="1185"/>
      <c r="CWH85" s="1185"/>
      <c r="CWI85" s="1185"/>
      <c r="CWJ85" s="1185"/>
      <c r="CWK85" s="1185"/>
      <c r="CWL85" s="1185"/>
      <c r="CWM85" s="1185"/>
      <c r="CWN85" s="1185"/>
      <c r="CWO85" s="1185"/>
      <c r="CWP85" s="1185"/>
      <c r="CWQ85" s="1185"/>
      <c r="CWR85" s="1185"/>
      <c r="CWS85" s="1185"/>
      <c r="CWT85" s="1185"/>
      <c r="CWU85" s="1185"/>
      <c r="CWV85" s="1185"/>
      <c r="CWW85" s="1185"/>
      <c r="CWX85" s="1185"/>
      <c r="CWY85" s="1185"/>
      <c r="CWZ85" s="1185"/>
      <c r="CXA85" s="1185"/>
      <c r="CXB85" s="1185"/>
      <c r="CXC85" s="1185"/>
      <c r="CXD85" s="1185"/>
      <c r="CXE85" s="1185"/>
      <c r="CXF85" s="1185"/>
      <c r="CXG85" s="1185"/>
      <c r="CXH85" s="1185"/>
      <c r="CXI85" s="1185"/>
      <c r="CXJ85" s="1185"/>
      <c r="CXK85" s="1185"/>
      <c r="CXL85" s="1185"/>
      <c r="CXM85" s="1185"/>
      <c r="CXN85" s="1185"/>
      <c r="CXO85" s="1185"/>
      <c r="CXP85" s="1185"/>
      <c r="CXQ85" s="1185"/>
      <c r="CXR85" s="1185"/>
      <c r="CXS85" s="1185"/>
      <c r="CXT85" s="1185"/>
      <c r="CXU85" s="1185"/>
      <c r="CXV85" s="1185"/>
      <c r="CXW85" s="1185"/>
      <c r="CXX85" s="1185"/>
      <c r="CXY85" s="1185"/>
      <c r="CXZ85" s="1185"/>
      <c r="CYA85" s="1185"/>
      <c r="CYB85" s="1185"/>
      <c r="CYC85" s="1185"/>
      <c r="CYD85" s="1185"/>
      <c r="CYE85" s="1185"/>
      <c r="CYF85" s="1185"/>
      <c r="CYG85" s="1185"/>
      <c r="CYH85" s="1185"/>
      <c r="CYI85" s="1185"/>
      <c r="CYJ85" s="1185"/>
      <c r="CYK85" s="1185"/>
      <c r="CYL85" s="1185"/>
      <c r="CYM85" s="1185"/>
      <c r="CYN85" s="1185"/>
      <c r="CYO85" s="1185"/>
      <c r="CYP85" s="1185"/>
      <c r="CYQ85" s="1185"/>
      <c r="CYR85" s="1185"/>
      <c r="CYS85" s="1185"/>
      <c r="CYT85" s="1185"/>
      <c r="CYU85" s="1185"/>
      <c r="CYV85" s="1185"/>
      <c r="CYW85" s="1185"/>
      <c r="CYX85" s="1185"/>
      <c r="CYY85" s="1185"/>
      <c r="CYZ85" s="1185"/>
      <c r="CZA85" s="1185"/>
      <c r="CZB85" s="1185"/>
      <c r="CZC85" s="1185"/>
      <c r="CZD85" s="1185"/>
      <c r="CZE85" s="1185"/>
      <c r="CZF85" s="1185"/>
      <c r="CZG85" s="1185"/>
      <c r="CZH85" s="1185"/>
      <c r="CZI85" s="1185"/>
      <c r="CZJ85" s="1185"/>
      <c r="CZK85" s="1185"/>
      <c r="CZL85" s="1185"/>
      <c r="CZM85" s="1185"/>
      <c r="CZN85" s="1185"/>
      <c r="CZO85" s="1185"/>
      <c r="CZP85" s="1185"/>
      <c r="CZQ85" s="1185"/>
      <c r="CZR85" s="1185"/>
      <c r="CZS85" s="1185"/>
      <c r="CZT85" s="1185"/>
      <c r="CZU85" s="1185"/>
      <c r="CZV85" s="1185"/>
      <c r="CZW85" s="1185"/>
      <c r="CZX85" s="1185"/>
      <c r="CZY85" s="1185"/>
      <c r="CZZ85" s="1185"/>
      <c r="DAA85" s="1185"/>
      <c r="DAB85" s="1185"/>
      <c r="DAC85" s="1185"/>
      <c r="DAD85" s="1185"/>
      <c r="DAE85" s="1185"/>
      <c r="DAF85" s="1185"/>
      <c r="DAG85" s="1185"/>
      <c r="DAH85" s="1185"/>
      <c r="DAI85" s="1185"/>
      <c r="DAJ85" s="1185"/>
      <c r="DAK85" s="1185"/>
      <c r="DAL85" s="1185"/>
      <c r="DAM85" s="1185"/>
      <c r="DAN85" s="1185"/>
      <c r="DAO85" s="1185"/>
      <c r="DAP85" s="1185"/>
      <c r="DAQ85" s="1185"/>
      <c r="DAR85" s="1185"/>
      <c r="DAS85" s="1185"/>
      <c r="DAT85" s="1185"/>
      <c r="DAU85" s="1185"/>
      <c r="DAV85" s="1185"/>
      <c r="DAW85" s="1185"/>
      <c r="DAX85" s="1185"/>
      <c r="DAY85" s="1185"/>
      <c r="DAZ85" s="1185"/>
      <c r="DBA85" s="1185"/>
      <c r="DBB85" s="1185"/>
      <c r="DBC85" s="1185"/>
      <c r="DBD85" s="1185"/>
      <c r="DBE85" s="1185"/>
      <c r="DBF85" s="1185"/>
      <c r="DBG85" s="1185"/>
      <c r="DBH85" s="1185"/>
      <c r="DBI85" s="1185"/>
      <c r="DBJ85" s="1185"/>
      <c r="DBK85" s="1185"/>
      <c r="DBL85" s="1185"/>
      <c r="DBM85" s="1185"/>
      <c r="DBN85" s="1185"/>
      <c r="DBO85" s="1185"/>
      <c r="DBP85" s="1185"/>
      <c r="DBQ85" s="1185"/>
      <c r="DBR85" s="1185"/>
      <c r="DBS85" s="1185"/>
      <c r="DBT85" s="1185"/>
      <c r="DBU85" s="1185"/>
      <c r="DBV85" s="1185"/>
      <c r="DBW85" s="1185"/>
      <c r="DBX85" s="1185"/>
      <c r="DBY85" s="1185"/>
      <c r="DBZ85" s="1185"/>
      <c r="DCA85" s="1185"/>
      <c r="DCB85" s="1185"/>
      <c r="DCC85" s="1185"/>
      <c r="DCD85" s="1185"/>
      <c r="DCE85" s="1185"/>
      <c r="DCF85" s="1185"/>
      <c r="DCG85" s="1185"/>
      <c r="DCH85" s="1185"/>
      <c r="DCI85" s="1185"/>
      <c r="DCJ85" s="1185"/>
      <c r="DCK85" s="1185"/>
      <c r="DCL85" s="1185"/>
      <c r="DCM85" s="1185"/>
      <c r="DCN85" s="1185"/>
      <c r="DCO85" s="1185"/>
      <c r="DCP85" s="1185"/>
      <c r="DCQ85" s="1185"/>
      <c r="DCR85" s="1185"/>
      <c r="DCS85" s="1185"/>
      <c r="DCT85" s="1185"/>
      <c r="DCU85" s="1185"/>
      <c r="DCV85" s="1185"/>
      <c r="DCW85" s="1185"/>
      <c r="DCX85" s="1185"/>
      <c r="DCY85" s="1185"/>
      <c r="DCZ85" s="1185"/>
      <c r="DDA85" s="1185"/>
      <c r="DDB85" s="1185"/>
      <c r="DDC85" s="1185"/>
      <c r="DDD85" s="1185"/>
      <c r="DDE85" s="1185"/>
      <c r="DDF85" s="1185"/>
      <c r="DDG85" s="1185"/>
      <c r="DDH85" s="1185"/>
      <c r="DDI85" s="1185"/>
      <c r="DDJ85" s="1185"/>
      <c r="DDK85" s="1185"/>
      <c r="DDL85" s="1185"/>
      <c r="DDM85" s="1185"/>
      <c r="DDN85" s="1185"/>
      <c r="DDO85" s="1185"/>
      <c r="DDP85" s="1185"/>
      <c r="DDQ85" s="1185"/>
      <c r="DDR85" s="1185"/>
      <c r="DDS85" s="1185"/>
      <c r="DDT85" s="1185"/>
      <c r="DDU85" s="1185"/>
      <c r="DDV85" s="1185"/>
      <c r="DDW85" s="1185"/>
      <c r="DDX85" s="1185"/>
      <c r="DDY85" s="1185"/>
      <c r="DDZ85" s="1185"/>
      <c r="DEA85" s="1185"/>
      <c r="DEB85" s="1185"/>
      <c r="DEC85" s="1185"/>
      <c r="DED85" s="1185"/>
      <c r="DEE85" s="1185"/>
      <c r="DEF85" s="1185"/>
      <c r="DEG85" s="1185"/>
      <c r="DEH85" s="1185"/>
      <c r="DEI85" s="1185"/>
      <c r="DEJ85" s="1185"/>
      <c r="DEK85" s="1185"/>
      <c r="DEL85" s="1185"/>
      <c r="DEM85" s="1185"/>
      <c r="DEN85" s="1185"/>
      <c r="DEO85" s="1185"/>
      <c r="DEP85" s="1185"/>
      <c r="DEQ85" s="1185"/>
      <c r="DER85" s="1185"/>
      <c r="DES85" s="1185"/>
      <c r="DET85" s="1185"/>
      <c r="DEU85" s="1185"/>
      <c r="DEV85" s="1185"/>
      <c r="DEW85" s="1185"/>
      <c r="DEX85" s="1185"/>
      <c r="DEY85" s="1185"/>
      <c r="DEZ85" s="1185"/>
      <c r="DFA85" s="1185"/>
      <c r="DFB85" s="1185"/>
      <c r="DFC85" s="1185"/>
      <c r="DFD85" s="1185"/>
      <c r="DFE85" s="1185"/>
      <c r="DFF85" s="1185"/>
      <c r="DFG85" s="1185"/>
      <c r="DFH85" s="1185"/>
      <c r="DFI85" s="1185"/>
      <c r="DFJ85" s="1185"/>
      <c r="DFK85" s="1185"/>
      <c r="DFL85" s="1185"/>
      <c r="DFM85" s="1185"/>
      <c r="DFN85" s="1185"/>
      <c r="DFO85" s="1185"/>
      <c r="DFP85" s="1185"/>
      <c r="DFQ85" s="1185"/>
      <c r="DFR85" s="1185"/>
      <c r="DFS85" s="1185"/>
      <c r="DFT85" s="1185"/>
      <c r="DFU85" s="1185"/>
      <c r="DFV85" s="1185"/>
      <c r="DFW85" s="1185"/>
      <c r="DFX85" s="1185"/>
      <c r="DFY85" s="1185"/>
      <c r="DFZ85" s="1185"/>
      <c r="DGA85" s="1185"/>
      <c r="DGB85" s="1185"/>
      <c r="DGC85" s="1185"/>
      <c r="DGD85" s="1185"/>
      <c r="DGE85" s="1185"/>
      <c r="DGF85" s="1185"/>
      <c r="DGG85" s="1185"/>
      <c r="DGH85" s="1185"/>
      <c r="DGI85" s="1185"/>
      <c r="DGJ85" s="1185"/>
      <c r="DGK85" s="1185"/>
      <c r="DGL85" s="1185"/>
      <c r="DGM85" s="1185"/>
      <c r="DGN85" s="1185"/>
      <c r="DGO85" s="1185"/>
      <c r="DGP85" s="1185"/>
      <c r="DGQ85" s="1185"/>
      <c r="DGR85" s="1185"/>
      <c r="DGS85" s="1185"/>
      <c r="DGT85" s="1185"/>
      <c r="DGU85" s="1185"/>
      <c r="DGV85" s="1185"/>
      <c r="DGW85" s="1185"/>
      <c r="DGX85" s="1185"/>
      <c r="DGY85" s="1185"/>
      <c r="DGZ85" s="1185"/>
      <c r="DHA85" s="1185"/>
      <c r="DHB85" s="1185"/>
      <c r="DHC85" s="1185"/>
      <c r="DHD85" s="1185"/>
      <c r="DHE85" s="1185"/>
      <c r="DHF85" s="1185"/>
      <c r="DHG85" s="1185"/>
      <c r="DHH85" s="1185"/>
      <c r="DHI85" s="1185"/>
      <c r="DHJ85" s="1185"/>
      <c r="DHK85" s="1185"/>
      <c r="DHL85" s="1185"/>
      <c r="DHM85" s="1185"/>
      <c r="DHN85" s="1185"/>
      <c r="DHO85" s="1185"/>
      <c r="DHP85" s="1185"/>
      <c r="DHQ85" s="1185"/>
      <c r="DHR85" s="1185"/>
      <c r="DHS85" s="1185"/>
      <c r="DHT85" s="1185"/>
      <c r="DHU85" s="1185"/>
      <c r="DHV85" s="1185"/>
      <c r="DHW85" s="1185"/>
      <c r="DHX85" s="1185"/>
      <c r="DHY85" s="1185"/>
      <c r="DHZ85" s="1185"/>
      <c r="DIA85" s="1185"/>
      <c r="DIB85" s="1185"/>
      <c r="DIC85" s="1185"/>
      <c r="DID85" s="1185"/>
      <c r="DIE85" s="1185"/>
      <c r="DIF85" s="1185"/>
      <c r="DIG85" s="1185"/>
      <c r="DIH85" s="1185"/>
      <c r="DII85" s="1185"/>
      <c r="DIJ85" s="1185"/>
      <c r="DIK85" s="1185"/>
      <c r="DIL85" s="1185"/>
      <c r="DIM85" s="1185"/>
      <c r="DIN85" s="1185"/>
      <c r="DIO85" s="1185"/>
      <c r="DIP85" s="1185"/>
      <c r="DIQ85" s="1185"/>
      <c r="DIR85" s="1185"/>
      <c r="DIS85" s="1185"/>
      <c r="DIT85" s="1185"/>
      <c r="DIU85" s="1185"/>
      <c r="DIV85" s="1185"/>
      <c r="DIW85" s="1185"/>
      <c r="DIX85" s="1185"/>
      <c r="DIY85" s="1185"/>
      <c r="DIZ85" s="1185"/>
      <c r="DJA85" s="1185"/>
      <c r="DJB85" s="1185"/>
      <c r="DJC85" s="1185"/>
      <c r="DJD85" s="1185"/>
      <c r="DJE85" s="1185"/>
      <c r="DJF85" s="1185"/>
      <c r="DJG85" s="1185"/>
      <c r="DJH85" s="1185"/>
      <c r="DJI85" s="1185"/>
      <c r="DJJ85" s="1185"/>
      <c r="DJK85" s="1185"/>
      <c r="DJL85" s="1185"/>
      <c r="DJM85" s="1185"/>
      <c r="DJN85" s="1185"/>
      <c r="DJO85" s="1185"/>
      <c r="DJP85" s="1185"/>
      <c r="DJQ85" s="1185"/>
      <c r="DJR85" s="1185"/>
      <c r="DJS85" s="1185"/>
      <c r="DJT85" s="1185"/>
      <c r="DJU85" s="1185"/>
      <c r="DJV85" s="1185"/>
      <c r="DJW85" s="1185"/>
      <c r="DJX85" s="1185"/>
      <c r="DJY85" s="1185"/>
      <c r="DJZ85" s="1185"/>
      <c r="DKA85" s="1185"/>
      <c r="DKB85" s="1185"/>
      <c r="DKC85" s="1185"/>
      <c r="DKD85" s="1185"/>
      <c r="DKE85" s="1185"/>
      <c r="DKF85" s="1185"/>
      <c r="DKG85" s="1185"/>
      <c r="DKH85" s="1185"/>
      <c r="DKI85" s="1185"/>
      <c r="DKJ85" s="1185"/>
      <c r="DKK85" s="1185"/>
      <c r="DKL85" s="1185"/>
      <c r="DKM85" s="1185"/>
      <c r="DKN85" s="1185"/>
      <c r="DKO85" s="1185"/>
      <c r="DKP85" s="1185"/>
      <c r="DKQ85" s="1185"/>
      <c r="DKR85" s="1185"/>
      <c r="DKS85" s="1185"/>
      <c r="DKT85" s="1185"/>
      <c r="DKU85" s="1185"/>
      <c r="DKV85" s="1185"/>
      <c r="DKW85" s="1185"/>
      <c r="DKX85" s="1185"/>
      <c r="DKY85" s="1185"/>
      <c r="DKZ85" s="1185"/>
      <c r="DLA85" s="1185"/>
      <c r="DLB85" s="1185"/>
      <c r="DLC85" s="1185"/>
      <c r="DLD85" s="1185"/>
      <c r="DLE85" s="1185"/>
      <c r="DLF85" s="1185"/>
      <c r="DLG85" s="1185"/>
      <c r="DLH85" s="1185"/>
      <c r="DLI85" s="1185"/>
      <c r="DLJ85" s="1185"/>
      <c r="DLK85" s="1185"/>
      <c r="DLL85" s="1185"/>
      <c r="DLM85" s="1185"/>
      <c r="DLN85" s="1185"/>
      <c r="DLO85" s="1185"/>
      <c r="DLP85" s="1185"/>
      <c r="DLQ85" s="1185"/>
      <c r="DLR85" s="1185"/>
      <c r="DLS85" s="1185"/>
      <c r="DLT85" s="1185"/>
      <c r="DLU85" s="1185"/>
      <c r="DLV85" s="1185"/>
      <c r="DLW85" s="1185"/>
      <c r="DLX85" s="1185"/>
      <c r="DLY85" s="1185"/>
      <c r="DLZ85" s="1185"/>
      <c r="DMA85" s="1185"/>
      <c r="DMB85" s="1185"/>
      <c r="DMC85" s="1185"/>
      <c r="DMD85" s="1185"/>
      <c r="DME85" s="1185"/>
      <c r="DMF85" s="1185"/>
      <c r="DMG85" s="1185"/>
      <c r="DMH85" s="1185"/>
      <c r="DMI85" s="1185"/>
      <c r="DMJ85" s="1185"/>
      <c r="DMK85" s="1185"/>
      <c r="DML85" s="1185"/>
      <c r="DMM85" s="1185"/>
      <c r="DMN85" s="1185"/>
      <c r="DMO85" s="1185"/>
      <c r="DMP85" s="1185"/>
      <c r="DMQ85" s="1185"/>
      <c r="DMR85" s="1185"/>
      <c r="DMS85" s="1185"/>
      <c r="DMT85" s="1185"/>
      <c r="DMU85" s="1185"/>
      <c r="DMV85" s="1185"/>
      <c r="DMW85" s="1185"/>
      <c r="DMX85" s="1185"/>
      <c r="DMY85" s="1185"/>
      <c r="DMZ85" s="1185"/>
      <c r="DNA85" s="1185"/>
      <c r="DNB85" s="1185"/>
      <c r="DNC85" s="1185"/>
      <c r="DND85" s="1185"/>
      <c r="DNE85" s="1185"/>
      <c r="DNF85" s="1185"/>
      <c r="DNG85" s="1185"/>
      <c r="DNH85" s="1185"/>
      <c r="DNI85" s="1185"/>
      <c r="DNJ85" s="1185"/>
      <c r="DNK85" s="1185"/>
      <c r="DNL85" s="1185"/>
      <c r="DNM85" s="1185"/>
      <c r="DNN85" s="1185"/>
      <c r="DNO85" s="1185"/>
      <c r="DNP85" s="1185"/>
      <c r="DNQ85" s="1185"/>
      <c r="DNR85" s="1185"/>
      <c r="DNS85" s="1185"/>
      <c r="DNT85" s="1185"/>
      <c r="DNU85" s="1185"/>
      <c r="DNV85" s="1185"/>
      <c r="DNW85" s="1185"/>
      <c r="DNX85" s="1185"/>
      <c r="DNY85" s="1185"/>
      <c r="DNZ85" s="1185"/>
      <c r="DOA85" s="1185"/>
      <c r="DOB85" s="1185"/>
      <c r="DOC85" s="1185"/>
      <c r="DOD85" s="1185"/>
      <c r="DOE85" s="1185"/>
      <c r="DOF85" s="1185"/>
      <c r="DOG85" s="1185"/>
      <c r="DOH85" s="1185"/>
      <c r="DOI85" s="1185"/>
      <c r="DOJ85" s="1185"/>
      <c r="DOK85" s="1185"/>
      <c r="DOL85" s="1185"/>
      <c r="DOM85" s="1185"/>
      <c r="DON85" s="1185"/>
      <c r="DOO85" s="1185"/>
      <c r="DOP85" s="1185"/>
      <c r="DOQ85" s="1185"/>
      <c r="DOR85" s="1185"/>
      <c r="DOS85" s="1185"/>
      <c r="DOT85" s="1185"/>
      <c r="DOU85" s="1185"/>
      <c r="DOV85" s="1185"/>
      <c r="DOW85" s="1185"/>
      <c r="DOX85" s="1185"/>
      <c r="DOY85" s="1185"/>
      <c r="DOZ85" s="1185"/>
      <c r="DPA85" s="1185"/>
      <c r="DPB85" s="1185"/>
      <c r="DPC85" s="1185"/>
      <c r="DPD85" s="1185"/>
      <c r="DPE85" s="1185"/>
      <c r="DPF85" s="1185"/>
      <c r="DPG85" s="1185"/>
      <c r="DPH85" s="1185"/>
      <c r="DPI85" s="1185"/>
      <c r="DPJ85" s="1185"/>
      <c r="DPK85" s="1185"/>
      <c r="DPL85" s="1185"/>
      <c r="DPM85" s="1185"/>
      <c r="DPN85" s="1185"/>
      <c r="DPO85" s="1185"/>
      <c r="DPP85" s="1185"/>
      <c r="DPQ85" s="1185"/>
      <c r="DPR85" s="1185"/>
      <c r="DPS85" s="1185"/>
      <c r="DPT85" s="1185"/>
      <c r="DPU85" s="1185"/>
      <c r="DPV85" s="1185"/>
      <c r="DPW85" s="1185"/>
      <c r="DPX85" s="1185"/>
      <c r="DPY85" s="1185"/>
      <c r="DPZ85" s="1185"/>
      <c r="DQA85" s="1185"/>
      <c r="DQB85" s="1185"/>
      <c r="DQC85" s="1185"/>
      <c r="DQD85" s="1185"/>
      <c r="DQE85" s="1185"/>
      <c r="DQF85" s="1185"/>
      <c r="DQG85" s="1185"/>
      <c r="DQH85" s="1185"/>
      <c r="DQI85" s="1185"/>
      <c r="DQJ85" s="1185"/>
      <c r="DQK85" s="1185"/>
      <c r="DQL85" s="1185"/>
      <c r="DQM85" s="1185"/>
      <c r="DQN85" s="1185"/>
      <c r="DQO85" s="1185"/>
      <c r="DQP85" s="1185"/>
      <c r="DQQ85" s="1185"/>
      <c r="DQR85" s="1185"/>
      <c r="DQS85" s="1185"/>
      <c r="DQT85" s="1185"/>
      <c r="DQU85" s="1185"/>
      <c r="DQV85" s="1185"/>
      <c r="DQW85" s="1185"/>
      <c r="DQX85" s="1185"/>
      <c r="DQY85" s="1185"/>
      <c r="DQZ85" s="1185"/>
      <c r="DRA85" s="1185"/>
      <c r="DRB85" s="1185"/>
      <c r="DRC85" s="1185"/>
      <c r="DRD85" s="1185"/>
      <c r="DRE85" s="1185"/>
      <c r="DRF85" s="1185"/>
      <c r="DRG85" s="1185"/>
      <c r="DRH85" s="1185"/>
      <c r="DRI85" s="1185"/>
      <c r="DRJ85" s="1185"/>
      <c r="DRK85" s="1185"/>
      <c r="DRL85" s="1185"/>
      <c r="DRM85" s="1185"/>
      <c r="DRN85" s="1185"/>
      <c r="DRO85" s="1185"/>
      <c r="DRP85" s="1185"/>
      <c r="DRQ85" s="1185"/>
      <c r="DRR85" s="1185"/>
      <c r="DRS85" s="1185"/>
      <c r="DRT85" s="1185"/>
      <c r="DRU85" s="1185"/>
      <c r="DRV85" s="1185"/>
      <c r="DRW85" s="1185"/>
      <c r="DRX85" s="1185"/>
      <c r="DRY85" s="1185"/>
      <c r="DRZ85" s="1185"/>
      <c r="DSA85" s="1185"/>
      <c r="DSB85" s="1185"/>
      <c r="DSC85" s="1185"/>
      <c r="DSD85" s="1185"/>
      <c r="DSE85" s="1185"/>
      <c r="DSF85" s="1185"/>
      <c r="DSG85" s="1185"/>
      <c r="DSH85" s="1185"/>
      <c r="DSI85" s="1185"/>
      <c r="DSJ85" s="1185"/>
      <c r="DSK85" s="1185"/>
      <c r="DSL85" s="1185"/>
      <c r="DSM85" s="1185"/>
      <c r="DSN85" s="1185"/>
      <c r="DSO85" s="1185"/>
      <c r="DSP85" s="1185"/>
      <c r="DSQ85" s="1185"/>
      <c r="DSR85" s="1185"/>
      <c r="DSS85" s="1185"/>
      <c r="DST85" s="1185"/>
      <c r="DSU85" s="1185"/>
      <c r="DSV85" s="1185"/>
      <c r="DSW85" s="1185"/>
      <c r="DSX85" s="1185"/>
      <c r="DSY85" s="1185"/>
      <c r="DSZ85" s="1185"/>
      <c r="DTA85" s="1185"/>
      <c r="DTB85" s="1185"/>
      <c r="DTC85" s="1185"/>
      <c r="DTD85" s="1185"/>
      <c r="DTE85" s="1185"/>
      <c r="DTF85" s="1185"/>
      <c r="DTG85" s="1185"/>
      <c r="DTH85" s="1185"/>
      <c r="DTI85" s="1185"/>
      <c r="DTJ85" s="1185"/>
      <c r="DTK85" s="1185"/>
      <c r="DTL85" s="1185"/>
      <c r="DTM85" s="1185"/>
      <c r="DTN85" s="1185"/>
      <c r="DTO85" s="1185"/>
      <c r="DTP85" s="1185"/>
      <c r="DTQ85" s="1185"/>
      <c r="DTR85" s="1185"/>
      <c r="DTS85" s="1185"/>
      <c r="DTT85" s="1185"/>
      <c r="DTU85" s="1185"/>
      <c r="DTV85" s="1185"/>
      <c r="DTW85" s="1185"/>
      <c r="DTX85" s="1185"/>
      <c r="DTY85" s="1185"/>
      <c r="DTZ85" s="1185"/>
      <c r="DUA85" s="1185"/>
      <c r="DUB85" s="1185"/>
      <c r="DUC85" s="1185"/>
      <c r="DUD85" s="1185"/>
      <c r="DUE85" s="1185"/>
      <c r="DUF85" s="1185"/>
      <c r="DUG85" s="1185"/>
      <c r="DUH85" s="1185"/>
      <c r="DUI85" s="1185"/>
      <c r="DUJ85" s="1185"/>
      <c r="DUK85" s="1185"/>
      <c r="DUL85" s="1185"/>
      <c r="DUM85" s="1185"/>
      <c r="DUN85" s="1185"/>
      <c r="DUO85" s="1185"/>
      <c r="DUP85" s="1185"/>
      <c r="DUQ85" s="1185"/>
      <c r="DUR85" s="1185"/>
      <c r="DUS85" s="1185"/>
      <c r="DUT85" s="1185"/>
      <c r="DUU85" s="1185"/>
      <c r="DUV85" s="1185"/>
      <c r="DUW85" s="1185"/>
      <c r="DUX85" s="1185"/>
      <c r="DUY85" s="1185"/>
      <c r="DUZ85" s="1185"/>
      <c r="DVA85" s="1185"/>
      <c r="DVB85" s="1185"/>
      <c r="DVC85" s="1185"/>
      <c r="DVD85" s="1185"/>
      <c r="DVE85" s="1185"/>
      <c r="DVF85" s="1185"/>
      <c r="DVG85" s="1185"/>
      <c r="DVH85" s="1185"/>
      <c r="DVI85" s="1185"/>
      <c r="DVJ85" s="1185"/>
      <c r="DVK85" s="1185"/>
      <c r="DVL85" s="1185"/>
      <c r="DVM85" s="1185"/>
      <c r="DVN85" s="1185"/>
      <c r="DVO85" s="1185"/>
      <c r="DVP85" s="1185"/>
      <c r="DVQ85" s="1185"/>
      <c r="DVR85" s="1185"/>
      <c r="DVS85" s="1185"/>
      <c r="DVT85" s="1185"/>
      <c r="DVU85" s="1185"/>
      <c r="DVV85" s="1185"/>
      <c r="DVW85" s="1185"/>
      <c r="DVX85" s="1185"/>
      <c r="DVY85" s="1185"/>
      <c r="DVZ85" s="1185"/>
      <c r="DWA85" s="1185"/>
      <c r="DWB85" s="1185"/>
      <c r="DWC85" s="1185"/>
      <c r="DWD85" s="1185"/>
      <c r="DWE85" s="1185"/>
      <c r="DWF85" s="1185"/>
      <c r="DWG85" s="1185"/>
      <c r="DWH85" s="1185"/>
      <c r="DWI85" s="1185"/>
      <c r="DWJ85" s="1185"/>
      <c r="DWK85" s="1185"/>
      <c r="DWL85" s="1185"/>
      <c r="DWM85" s="1185"/>
      <c r="DWN85" s="1185"/>
      <c r="DWO85" s="1185"/>
      <c r="DWP85" s="1185"/>
      <c r="DWQ85" s="1185"/>
      <c r="DWR85" s="1185"/>
      <c r="DWS85" s="1185"/>
      <c r="DWT85" s="1185"/>
      <c r="DWU85" s="1185"/>
      <c r="DWV85" s="1185"/>
      <c r="DWW85" s="1185"/>
      <c r="DWX85" s="1185"/>
      <c r="DWY85" s="1185"/>
      <c r="DWZ85" s="1185"/>
      <c r="DXA85" s="1185"/>
      <c r="DXB85" s="1185"/>
      <c r="DXC85" s="1185"/>
      <c r="DXD85" s="1185"/>
      <c r="DXE85" s="1185"/>
      <c r="DXF85" s="1185"/>
      <c r="DXG85" s="1185"/>
      <c r="DXH85" s="1185"/>
      <c r="DXI85" s="1185"/>
      <c r="DXJ85" s="1185"/>
      <c r="DXK85" s="1185"/>
      <c r="DXL85" s="1185"/>
      <c r="DXM85" s="1185"/>
      <c r="DXN85" s="1185"/>
      <c r="DXO85" s="1185"/>
      <c r="DXP85" s="1185"/>
      <c r="DXQ85" s="1185"/>
      <c r="DXR85" s="1185"/>
      <c r="DXS85" s="1185"/>
      <c r="DXT85" s="1185"/>
      <c r="DXU85" s="1185"/>
      <c r="DXV85" s="1185"/>
      <c r="DXW85" s="1185"/>
      <c r="DXX85" s="1185"/>
      <c r="DXY85" s="1185"/>
      <c r="DXZ85" s="1185"/>
      <c r="DYA85" s="1185"/>
      <c r="DYB85" s="1185"/>
      <c r="DYC85" s="1185"/>
      <c r="DYD85" s="1185"/>
      <c r="DYE85" s="1185"/>
      <c r="DYF85" s="1185"/>
      <c r="DYG85" s="1185"/>
      <c r="DYH85" s="1185"/>
      <c r="DYI85" s="1185"/>
      <c r="DYJ85" s="1185"/>
      <c r="DYK85" s="1185"/>
      <c r="DYL85" s="1185"/>
      <c r="DYM85" s="1185"/>
      <c r="DYN85" s="1185"/>
      <c r="DYO85" s="1185"/>
      <c r="DYP85" s="1185"/>
      <c r="DYQ85" s="1185"/>
      <c r="DYR85" s="1185"/>
      <c r="DYS85" s="1185"/>
      <c r="DYT85" s="1185"/>
      <c r="DYU85" s="1185"/>
      <c r="DYV85" s="1185"/>
      <c r="DYW85" s="1185"/>
      <c r="DYX85" s="1185"/>
      <c r="DYY85" s="1185"/>
      <c r="DYZ85" s="1185"/>
      <c r="DZA85" s="1185"/>
      <c r="DZB85" s="1185"/>
      <c r="DZC85" s="1185"/>
      <c r="DZD85" s="1185"/>
      <c r="DZE85" s="1185"/>
      <c r="DZF85" s="1185"/>
      <c r="DZG85" s="1185"/>
      <c r="DZH85" s="1185"/>
      <c r="DZI85" s="1185"/>
      <c r="DZJ85" s="1185"/>
      <c r="DZK85" s="1185"/>
      <c r="DZL85" s="1185"/>
      <c r="DZM85" s="1185"/>
      <c r="DZN85" s="1185"/>
      <c r="DZO85" s="1185"/>
      <c r="DZP85" s="1185"/>
      <c r="DZQ85" s="1185"/>
      <c r="DZR85" s="1185"/>
      <c r="DZS85" s="1185"/>
      <c r="DZT85" s="1185"/>
      <c r="DZU85" s="1185"/>
      <c r="DZV85" s="1185"/>
      <c r="DZW85" s="1185"/>
      <c r="DZX85" s="1185"/>
      <c r="DZY85" s="1185"/>
      <c r="DZZ85" s="1185"/>
      <c r="EAA85" s="1185"/>
      <c r="EAB85" s="1185"/>
      <c r="EAC85" s="1185"/>
      <c r="EAD85" s="1185"/>
      <c r="EAE85" s="1185"/>
      <c r="EAF85" s="1185"/>
      <c r="EAG85" s="1185"/>
      <c r="EAH85" s="1185"/>
      <c r="EAI85" s="1185"/>
      <c r="EAJ85" s="1185"/>
      <c r="EAK85" s="1185"/>
      <c r="EAL85" s="1185"/>
      <c r="EAM85" s="1185"/>
      <c r="EAN85" s="1185"/>
      <c r="EAO85" s="1185"/>
      <c r="EAP85" s="1185"/>
      <c r="EAQ85" s="1185"/>
      <c r="EAR85" s="1185"/>
      <c r="EAS85" s="1185"/>
      <c r="EAT85" s="1185"/>
      <c r="EAU85" s="1185"/>
      <c r="EAV85" s="1185"/>
      <c r="EAW85" s="1185"/>
      <c r="EAX85" s="1185"/>
      <c r="EAY85" s="1185"/>
      <c r="EAZ85" s="1185"/>
      <c r="EBA85" s="1185"/>
      <c r="EBB85" s="1185"/>
      <c r="EBC85" s="1185"/>
      <c r="EBD85" s="1185"/>
      <c r="EBE85" s="1185"/>
      <c r="EBF85" s="1185"/>
      <c r="EBG85" s="1185"/>
      <c r="EBH85" s="1185"/>
      <c r="EBI85" s="1185"/>
      <c r="EBJ85" s="1185"/>
      <c r="EBK85" s="1185"/>
      <c r="EBL85" s="1185"/>
      <c r="EBM85" s="1185"/>
      <c r="EBN85" s="1185"/>
      <c r="EBO85" s="1185"/>
      <c r="EBP85" s="1185"/>
      <c r="EBQ85" s="1185"/>
      <c r="EBR85" s="1185"/>
      <c r="EBS85" s="1185"/>
      <c r="EBT85" s="1185"/>
      <c r="EBU85" s="1185"/>
      <c r="EBV85" s="1185"/>
      <c r="EBW85" s="1185"/>
      <c r="EBX85" s="1185"/>
      <c r="EBY85" s="1185"/>
      <c r="EBZ85" s="1185"/>
      <c r="ECA85" s="1185"/>
      <c r="ECB85" s="1185"/>
      <c r="ECC85" s="1185"/>
      <c r="ECD85" s="1185"/>
      <c r="ECE85" s="1185"/>
      <c r="ECF85" s="1185"/>
      <c r="ECG85" s="1185"/>
      <c r="ECH85" s="1185"/>
      <c r="ECI85" s="1185"/>
      <c r="ECJ85" s="1185"/>
      <c r="ECK85" s="1185"/>
      <c r="ECL85" s="1185"/>
      <c r="ECM85" s="1185"/>
      <c r="ECN85" s="1185"/>
      <c r="ECO85" s="1185"/>
      <c r="ECP85" s="1185"/>
      <c r="ECQ85" s="1185"/>
      <c r="ECR85" s="1185"/>
      <c r="ECS85" s="1185"/>
      <c r="ECT85" s="1185"/>
      <c r="ECU85" s="1185"/>
      <c r="ECV85" s="1185"/>
      <c r="ECW85" s="1185"/>
      <c r="ECX85" s="1185"/>
      <c r="ECY85" s="1185"/>
      <c r="ECZ85" s="1185"/>
      <c r="EDA85" s="1185"/>
      <c r="EDB85" s="1185"/>
      <c r="EDC85" s="1185"/>
      <c r="EDD85" s="1185"/>
      <c r="EDE85" s="1185"/>
      <c r="EDF85" s="1185"/>
      <c r="EDG85" s="1185"/>
      <c r="EDH85" s="1185"/>
      <c r="EDI85" s="1185"/>
      <c r="EDJ85" s="1185"/>
      <c r="EDK85" s="1185"/>
      <c r="EDL85" s="1185"/>
      <c r="EDM85" s="1185"/>
      <c r="EDN85" s="1185"/>
      <c r="EDO85" s="1185"/>
      <c r="EDP85" s="1185"/>
      <c r="EDQ85" s="1185"/>
      <c r="EDR85" s="1185"/>
      <c r="EDS85" s="1185"/>
      <c r="EDT85" s="1185"/>
      <c r="EDU85" s="1185"/>
      <c r="EDV85" s="1185"/>
      <c r="EDW85" s="1185"/>
      <c r="EDX85" s="1185"/>
      <c r="EDY85" s="1185"/>
      <c r="EDZ85" s="1185"/>
      <c r="EEA85" s="1185"/>
      <c r="EEB85" s="1185"/>
      <c r="EEC85" s="1185"/>
      <c r="EED85" s="1185"/>
      <c r="EEE85" s="1185"/>
      <c r="EEF85" s="1185"/>
      <c r="EEG85" s="1185"/>
      <c r="EEH85" s="1185"/>
      <c r="EEI85" s="1185"/>
      <c r="EEJ85" s="1185"/>
      <c r="EEK85" s="1185"/>
      <c r="EEL85" s="1185"/>
      <c r="EEM85" s="1185"/>
      <c r="EEN85" s="1185"/>
      <c r="EEO85" s="1185"/>
      <c r="EEP85" s="1185"/>
      <c r="EEQ85" s="1185"/>
      <c r="EER85" s="1185"/>
      <c r="EES85" s="1185"/>
      <c r="EET85" s="1185"/>
      <c r="EEU85" s="1185"/>
      <c r="EEV85" s="1185"/>
      <c r="EEW85" s="1185"/>
      <c r="EEX85" s="1185"/>
      <c r="EEY85" s="1185"/>
      <c r="EEZ85" s="1185"/>
      <c r="EFA85" s="1185"/>
      <c r="EFB85" s="1185"/>
      <c r="EFC85" s="1185"/>
      <c r="EFD85" s="1185"/>
      <c r="EFE85" s="1185"/>
      <c r="EFF85" s="1185"/>
      <c r="EFG85" s="1185"/>
      <c r="EFH85" s="1185"/>
      <c r="EFI85" s="1185"/>
      <c r="EFJ85" s="1185"/>
      <c r="EFK85" s="1185"/>
      <c r="EFL85" s="1185"/>
      <c r="EFM85" s="1185"/>
      <c r="EFN85" s="1185"/>
      <c r="EFO85" s="1185"/>
      <c r="EFP85" s="1185"/>
      <c r="EFQ85" s="1185"/>
      <c r="EFR85" s="1185"/>
      <c r="EFS85" s="1185"/>
      <c r="EFT85" s="1185"/>
      <c r="EFU85" s="1185"/>
      <c r="EFV85" s="1185"/>
      <c r="EFW85" s="1185"/>
      <c r="EFX85" s="1185"/>
      <c r="EFY85" s="1185"/>
      <c r="EFZ85" s="1185"/>
      <c r="EGA85" s="1185"/>
      <c r="EGB85" s="1185"/>
      <c r="EGC85" s="1185"/>
      <c r="EGD85" s="1185"/>
      <c r="EGE85" s="1185"/>
      <c r="EGF85" s="1185"/>
      <c r="EGG85" s="1185"/>
      <c r="EGH85" s="1185"/>
      <c r="EGI85" s="1185"/>
      <c r="EGJ85" s="1185"/>
      <c r="EGK85" s="1185"/>
      <c r="EGL85" s="1185"/>
      <c r="EGM85" s="1185"/>
      <c r="EGN85" s="1185"/>
      <c r="EGO85" s="1185"/>
      <c r="EGP85" s="1185"/>
      <c r="EGQ85" s="1185"/>
      <c r="EGR85" s="1185"/>
      <c r="EGS85" s="1185"/>
      <c r="EGT85" s="1185"/>
      <c r="EGU85" s="1185"/>
      <c r="EGV85" s="1185"/>
      <c r="EGW85" s="1185"/>
      <c r="EGX85" s="1185"/>
      <c r="EGY85" s="1185"/>
      <c r="EGZ85" s="1185"/>
      <c r="EHA85" s="1185"/>
      <c r="EHB85" s="1185"/>
      <c r="EHC85" s="1185"/>
      <c r="EHD85" s="1185"/>
      <c r="EHE85" s="1185"/>
      <c r="EHF85" s="1185"/>
      <c r="EHG85" s="1185"/>
      <c r="EHH85" s="1185"/>
      <c r="EHI85" s="1185"/>
      <c r="EHJ85" s="1185"/>
      <c r="EHK85" s="1185"/>
      <c r="EHL85" s="1185"/>
      <c r="EHM85" s="1185"/>
      <c r="EHN85" s="1185"/>
      <c r="EHO85" s="1185"/>
      <c r="EHP85" s="1185"/>
      <c r="EHQ85" s="1185"/>
      <c r="EHR85" s="1185"/>
      <c r="EHS85" s="1185"/>
      <c r="EHT85" s="1185"/>
      <c r="EHU85" s="1185"/>
      <c r="EHV85" s="1185"/>
      <c r="EHW85" s="1185"/>
      <c r="EHX85" s="1185"/>
      <c r="EHY85" s="1185"/>
      <c r="EHZ85" s="1185"/>
      <c r="EIA85" s="1185"/>
      <c r="EIB85" s="1185"/>
      <c r="EIC85" s="1185"/>
      <c r="EID85" s="1185"/>
      <c r="EIE85" s="1185"/>
      <c r="EIF85" s="1185"/>
      <c r="EIG85" s="1185"/>
      <c r="EIH85" s="1185"/>
      <c r="EII85" s="1185"/>
      <c r="EIJ85" s="1185"/>
      <c r="EIK85" s="1185"/>
      <c r="EIL85" s="1185"/>
      <c r="EIM85" s="1185"/>
      <c r="EIN85" s="1185"/>
      <c r="EIO85" s="1185"/>
      <c r="EIP85" s="1185"/>
      <c r="EIQ85" s="1185"/>
      <c r="EIR85" s="1185"/>
      <c r="EIS85" s="1185"/>
      <c r="EIT85" s="1185"/>
      <c r="EIU85" s="1185"/>
      <c r="EIV85" s="1185"/>
      <c r="EIW85" s="1185"/>
      <c r="EIX85" s="1185"/>
      <c r="EIY85" s="1185"/>
      <c r="EIZ85" s="1185"/>
      <c r="EJA85" s="1185"/>
      <c r="EJB85" s="1185"/>
      <c r="EJC85" s="1185"/>
      <c r="EJD85" s="1185"/>
      <c r="EJE85" s="1185"/>
      <c r="EJF85" s="1185"/>
      <c r="EJG85" s="1185"/>
      <c r="EJH85" s="1185"/>
      <c r="EJI85" s="1185"/>
      <c r="EJJ85" s="1185"/>
      <c r="EJK85" s="1185"/>
      <c r="EJL85" s="1185"/>
      <c r="EJM85" s="1185"/>
      <c r="EJN85" s="1185"/>
      <c r="EJO85" s="1185"/>
      <c r="EJP85" s="1185"/>
      <c r="EJQ85" s="1185"/>
      <c r="EJR85" s="1185"/>
      <c r="EJS85" s="1185"/>
      <c r="EJT85" s="1185"/>
      <c r="EJU85" s="1185"/>
      <c r="EJV85" s="1185"/>
      <c r="EJW85" s="1185"/>
      <c r="EJX85" s="1185"/>
      <c r="EJY85" s="1185"/>
      <c r="EJZ85" s="1185"/>
      <c r="EKA85" s="1185"/>
      <c r="EKB85" s="1185"/>
      <c r="EKC85" s="1185"/>
      <c r="EKD85" s="1185"/>
      <c r="EKE85" s="1185"/>
      <c r="EKF85" s="1185"/>
      <c r="EKG85" s="1185"/>
      <c r="EKH85" s="1185"/>
      <c r="EKI85" s="1185"/>
      <c r="EKJ85" s="1185"/>
      <c r="EKK85" s="1185"/>
      <c r="EKL85" s="1185"/>
      <c r="EKM85" s="1185"/>
      <c r="EKN85" s="1185"/>
      <c r="EKO85" s="1185"/>
      <c r="EKP85" s="1185"/>
      <c r="EKQ85" s="1185"/>
      <c r="EKR85" s="1185"/>
      <c r="EKS85" s="1185"/>
      <c r="EKT85" s="1185"/>
      <c r="EKU85" s="1185"/>
      <c r="EKV85" s="1185"/>
      <c r="EKW85" s="1185"/>
      <c r="EKX85" s="1185"/>
      <c r="EKY85" s="1185"/>
      <c r="EKZ85" s="1185"/>
      <c r="ELA85" s="1185"/>
      <c r="ELB85" s="1185"/>
      <c r="ELC85" s="1185"/>
      <c r="ELD85" s="1185"/>
      <c r="ELE85" s="1185"/>
      <c r="ELF85" s="1185"/>
      <c r="ELG85" s="1185"/>
      <c r="ELH85" s="1185"/>
      <c r="ELI85" s="1185"/>
      <c r="ELJ85" s="1185"/>
      <c r="ELK85" s="1185"/>
      <c r="ELL85" s="1185"/>
      <c r="ELM85" s="1185"/>
      <c r="ELN85" s="1185"/>
      <c r="ELO85" s="1185"/>
      <c r="ELP85" s="1185"/>
      <c r="ELQ85" s="1185"/>
      <c r="ELR85" s="1185"/>
      <c r="ELS85" s="1185"/>
      <c r="ELT85" s="1185"/>
      <c r="ELU85" s="1185"/>
      <c r="ELV85" s="1185"/>
      <c r="ELW85" s="1185"/>
      <c r="ELX85" s="1185"/>
      <c r="ELY85" s="1185"/>
      <c r="ELZ85" s="1185"/>
      <c r="EMA85" s="1185"/>
      <c r="EMB85" s="1185"/>
      <c r="EMC85" s="1185"/>
      <c r="EMD85" s="1185"/>
      <c r="EME85" s="1185"/>
      <c r="EMF85" s="1185"/>
      <c r="EMG85" s="1185"/>
      <c r="EMH85" s="1185"/>
      <c r="EMI85" s="1185"/>
      <c r="EMJ85" s="1185"/>
      <c r="EMK85" s="1185"/>
      <c r="EML85" s="1185"/>
      <c r="EMM85" s="1185"/>
      <c r="EMN85" s="1185"/>
      <c r="EMO85" s="1185"/>
      <c r="EMP85" s="1185"/>
      <c r="EMQ85" s="1185"/>
      <c r="EMR85" s="1185"/>
      <c r="EMS85" s="1185"/>
      <c r="EMT85" s="1185"/>
      <c r="EMU85" s="1185"/>
      <c r="EMV85" s="1185"/>
      <c r="EMW85" s="1185"/>
      <c r="EMX85" s="1185"/>
      <c r="EMY85" s="1185"/>
      <c r="EMZ85" s="1185"/>
      <c r="ENA85" s="1185"/>
      <c r="ENB85" s="1185"/>
      <c r="ENC85" s="1185"/>
      <c r="END85" s="1185"/>
      <c r="ENE85" s="1185"/>
      <c r="ENF85" s="1185"/>
      <c r="ENG85" s="1185"/>
      <c r="ENH85" s="1185"/>
      <c r="ENI85" s="1185"/>
      <c r="ENJ85" s="1185"/>
      <c r="ENK85" s="1185"/>
      <c r="ENL85" s="1185"/>
      <c r="ENM85" s="1185"/>
      <c r="ENN85" s="1185"/>
      <c r="ENO85" s="1185"/>
      <c r="ENP85" s="1185"/>
      <c r="ENQ85" s="1185"/>
      <c r="ENR85" s="1185"/>
      <c r="ENS85" s="1185"/>
      <c r="ENT85" s="1185"/>
      <c r="ENU85" s="1185"/>
      <c r="ENV85" s="1185"/>
      <c r="ENW85" s="1185"/>
      <c r="ENX85" s="1185"/>
      <c r="ENY85" s="1185"/>
      <c r="ENZ85" s="1185"/>
      <c r="EOA85" s="1185"/>
      <c r="EOB85" s="1185"/>
      <c r="EOC85" s="1185"/>
      <c r="EOD85" s="1185"/>
      <c r="EOE85" s="1185"/>
      <c r="EOF85" s="1185"/>
      <c r="EOG85" s="1185"/>
      <c r="EOH85" s="1185"/>
      <c r="EOI85" s="1185"/>
      <c r="EOJ85" s="1185"/>
      <c r="EOK85" s="1185"/>
      <c r="EOL85" s="1185"/>
      <c r="EOM85" s="1185"/>
      <c r="EON85" s="1185"/>
      <c r="EOO85" s="1185"/>
      <c r="EOP85" s="1185"/>
      <c r="EOQ85" s="1185"/>
      <c r="EOR85" s="1185"/>
      <c r="EOS85" s="1185"/>
      <c r="EOT85" s="1185"/>
      <c r="EOU85" s="1185"/>
      <c r="EOV85" s="1185"/>
      <c r="EOW85" s="1185"/>
      <c r="EOX85" s="1185"/>
      <c r="EOY85" s="1185"/>
      <c r="EOZ85" s="1185"/>
      <c r="EPA85" s="1185"/>
      <c r="EPB85" s="1185"/>
      <c r="EPC85" s="1185"/>
      <c r="EPD85" s="1185"/>
      <c r="EPE85" s="1185"/>
      <c r="EPF85" s="1185"/>
      <c r="EPG85" s="1185"/>
      <c r="EPH85" s="1185"/>
      <c r="EPI85" s="1185"/>
      <c r="EPJ85" s="1185"/>
      <c r="EPK85" s="1185"/>
      <c r="EPL85" s="1185"/>
      <c r="EPM85" s="1185"/>
      <c r="EPN85" s="1185"/>
      <c r="EPO85" s="1185"/>
      <c r="EPP85" s="1185"/>
      <c r="EPQ85" s="1185"/>
      <c r="EPR85" s="1185"/>
      <c r="EPS85" s="1185"/>
      <c r="EPT85" s="1185"/>
      <c r="EPU85" s="1185"/>
      <c r="EPV85" s="1185"/>
      <c r="EPW85" s="1185"/>
      <c r="EPX85" s="1185"/>
      <c r="EPY85" s="1185"/>
      <c r="EPZ85" s="1185"/>
      <c r="EQA85" s="1185"/>
      <c r="EQB85" s="1185"/>
      <c r="EQC85" s="1185"/>
      <c r="EQD85" s="1185"/>
      <c r="EQE85" s="1185"/>
      <c r="EQF85" s="1185"/>
      <c r="EQG85" s="1185"/>
      <c r="EQH85" s="1185"/>
      <c r="EQI85" s="1185"/>
      <c r="EQJ85" s="1185"/>
      <c r="EQK85" s="1185"/>
      <c r="EQL85" s="1185"/>
      <c r="EQM85" s="1185"/>
      <c r="EQN85" s="1185"/>
      <c r="EQO85" s="1185"/>
      <c r="EQP85" s="1185"/>
      <c r="EQQ85" s="1185"/>
      <c r="EQR85" s="1185"/>
      <c r="EQS85" s="1185"/>
      <c r="EQT85" s="1185"/>
      <c r="EQU85" s="1185"/>
      <c r="EQV85" s="1185"/>
      <c r="EQW85" s="1185"/>
      <c r="EQX85" s="1185"/>
      <c r="EQY85" s="1185"/>
      <c r="EQZ85" s="1185"/>
      <c r="ERA85" s="1185"/>
      <c r="ERB85" s="1185"/>
      <c r="ERC85" s="1185"/>
      <c r="ERD85" s="1185"/>
      <c r="ERE85" s="1185"/>
      <c r="ERF85" s="1185"/>
      <c r="ERG85" s="1185"/>
      <c r="ERH85" s="1185"/>
      <c r="ERI85" s="1185"/>
      <c r="ERJ85" s="1185"/>
      <c r="ERK85" s="1185"/>
      <c r="ERL85" s="1185"/>
      <c r="ERM85" s="1185"/>
      <c r="ERN85" s="1185"/>
      <c r="ERO85" s="1185"/>
      <c r="ERP85" s="1185"/>
      <c r="ERQ85" s="1185"/>
      <c r="ERR85" s="1185"/>
      <c r="ERS85" s="1185"/>
      <c r="ERT85" s="1185"/>
      <c r="ERU85" s="1185"/>
      <c r="ERV85" s="1185"/>
      <c r="ERW85" s="1185"/>
      <c r="ERX85" s="1185"/>
      <c r="ERY85" s="1185"/>
      <c r="ERZ85" s="1185"/>
      <c r="ESA85" s="1185"/>
      <c r="ESB85" s="1185"/>
      <c r="ESC85" s="1185"/>
      <c r="ESD85" s="1185"/>
      <c r="ESE85" s="1185"/>
      <c r="ESF85" s="1185"/>
      <c r="ESG85" s="1185"/>
      <c r="ESH85" s="1185"/>
      <c r="ESI85" s="1185"/>
      <c r="ESJ85" s="1185"/>
      <c r="ESK85" s="1185"/>
      <c r="ESL85" s="1185"/>
      <c r="ESM85" s="1185"/>
      <c r="ESN85" s="1185"/>
      <c r="ESO85" s="1185"/>
      <c r="ESP85" s="1185"/>
      <c r="ESQ85" s="1185"/>
      <c r="ESR85" s="1185"/>
      <c r="ESS85" s="1185"/>
      <c r="EST85" s="1185"/>
      <c r="ESU85" s="1185"/>
      <c r="ESV85" s="1185"/>
      <c r="ESW85" s="1185"/>
      <c r="ESX85" s="1185"/>
      <c r="ESY85" s="1185"/>
      <c r="ESZ85" s="1185"/>
      <c r="ETA85" s="1185"/>
      <c r="ETB85" s="1185"/>
      <c r="ETC85" s="1185"/>
      <c r="ETD85" s="1185"/>
      <c r="ETE85" s="1185"/>
      <c r="ETF85" s="1185"/>
      <c r="ETG85" s="1185"/>
      <c r="ETH85" s="1185"/>
      <c r="ETI85" s="1185"/>
      <c r="ETJ85" s="1185"/>
      <c r="ETK85" s="1185"/>
      <c r="ETL85" s="1185"/>
      <c r="ETM85" s="1185"/>
      <c r="ETN85" s="1185"/>
      <c r="ETO85" s="1185"/>
      <c r="ETP85" s="1185"/>
      <c r="ETQ85" s="1185"/>
      <c r="ETR85" s="1185"/>
      <c r="ETS85" s="1185"/>
      <c r="ETT85" s="1185"/>
      <c r="ETU85" s="1185"/>
      <c r="ETV85" s="1185"/>
      <c r="ETW85" s="1185"/>
      <c r="ETX85" s="1185"/>
      <c r="ETY85" s="1185"/>
      <c r="ETZ85" s="1185"/>
      <c r="EUA85" s="1185"/>
      <c r="EUB85" s="1185"/>
      <c r="EUC85" s="1185"/>
      <c r="EUD85" s="1185"/>
      <c r="EUE85" s="1185"/>
      <c r="EUF85" s="1185"/>
      <c r="EUG85" s="1185"/>
      <c r="EUH85" s="1185"/>
      <c r="EUI85" s="1185"/>
      <c r="EUJ85" s="1185"/>
      <c r="EUK85" s="1185"/>
      <c r="EUL85" s="1185"/>
      <c r="EUM85" s="1185"/>
      <c r="EUN85" s="1185"/>
      <c r="EUO85" s="1185"/>
      <c r="EUP85" s="1185"/>
      <c r="EUQ85" s="1185"/>
      <c r="EUR85" s="1185"/>
      <c r="EUS85" s="1185"/>
      <c r="EUT85" s="1185"/>
      <c r="EUU85" s="1185"/>
      <c r="EUV85" s="1185"/>
      <c r="EUW85" s="1185"/>
      <c r="EUX85" s="1185"/>
      <c r="EUY85" s="1185"/>
      <c r="EUZ85" s="1185"/>
      <c r="EVA85" s="1185"/>
      <c r="EVB85" s="1185"/>
      <c r="EVC85" s="1185"/>
      <c r="EVD85" s="1185"/>
      <c r="EVE85" s="1185"/>
      <c r="EVF85" s="1185"/>
      <c r="EVG85" s="1185"/>
      <c r="EVH85" s="1185"/>
      <c r="EVI85" s="1185"/>
      <c r="EVJ85" s="1185"/>
      <c r="EVK85" s="1185"/>
      <c r="EVL85" s="1185"/>
      <c r="EVM85" s="1185"/>
      <c r="EVN85" s="1185"/>
      <c r="EVO85" s="1185"/>
      <c r="EVP85" s="1185"/>
      <c r="EVQ85" s="1185"/>
      <c r="EVR85" s="1185"/>
      <c r="EVS85" s="1185"/>
      <c r="EVT85" s="1185"/>
      <c r="EVU85" s="1185"/>
      <c r="EVV85" s="1185"/>
      <c r="EVW85" s="1185"/>
      <c r="EVX85" s="1185"/>
      <c r="EVY85" s="1185"/>
      <c r="EVZ85" s="1185"/>
      <c r="EWA85" s="1185"/>
      <c r="EWB85" s="1185"/>
      <c r="EWC85" s="1185"/>
      <c r="EWD85" s="1185"/>
      <c r="EWE85" s="1185"/>
      <c r="EWF85" s="1185"/>
      <c r="EWG85" s="1185"/>
      <c r="EWH85" s="1185"/>
      <c r="EWI85" s="1185"/>
      <c r="EWJ85" s="1185"/>
      <c r="EWK85" s="1185"/>
      <c r="EWL85" s="1185"/>
      <c r="EWM85" s="1185"/>
      <c r="EWN85" s="1185"/>
      <c r="EWO85" s="1185"/>
      <c r="EWP85" s="1185"/>
      <c r="EWQ85" s="1185"/>
      <c r="EWR85" s="1185"/>
      <c r="EWS85" s="1185"/>
      <c r="EWT85" s="1185"/>
      <c r="EWU85" s="1185"/>
      <c r="EWV85" s="1185"/>
      <c r="EWW85" s="1185"/>
      <c r="EWX85" s="1185"/>
      <c r="EWY85" s="1185"/>
      <c r="EWZ85" s="1185"/>
      <c r="EXA85" s="1185"/>
      <c r="EXB85" s="1185"/>
      <c r="EXC85" s="1185"/>
      <c r="EXD85" s="1185"/>
      <c r="EXE85" s="1185"/>
      <c r="EXF85" s="1185"/>
      <c r="EXG85" s="1185"/>
      <c r="EXH85" s="1185"/>
      <c r="EXI85" s="1185"/>
      <c r="EXJ85" s="1185"/>
      <c r="EXK85" s="1185"/>
      <c r="EXL85" s="1185"/>
      <c r="EXM85" s="1185"/>
      <c r="EXN85" s="1185"/>
      <c r="EXO85" s="1185"/>
      <c r="EXP85" s="1185"/>
      <c r="EXQ85" s="1185"/>
      <c r="EXR85" s="1185"/>
      <c r="EXS85" s="1185"/>
      <c r="EXT85" s="1185"/>
      <c r="EXU85" s="1185"/>
      <c r="EXV85" s="1185"/>
      <c r="EXW85" s="1185"/>
      <c r="EXX85" s="1185"/>
      <c r="EXY85" s="1185"/>
      <c r="EXZ85" s="1185"/>
      <c r="EYA85" s="1185"/>
      <c r="EYB85" s="1185"/>
      <c r="EYC85" s="1185"/>
      <c r="EYD85" s="1185"/>
      <c r="EYE85" s="1185"/>
      <c r="EYF85" s="1185"/>
      <c r="EYG85" s="1185"/>
      <c r="EYH85" s="1185"/>
      <c r="EYI85" s="1185"/>
      <c r="EYJ85" s="1185"/>
      <c r="EYK85" s="1185"/>
      <c r="EYL85" s="1185"/>
      <c r="EYM85" s="1185"/>
      <c r="EYN85" s="1185"/>
      <c r="EYO85" s="1185"/>
      <c r="EYP85" s="1185"/>
      <c r="EYQ85" s="1185"/>
      <c r="EYR85" s="1185"/>
      <c r="EYS85" s="1185"/>
      <c r="EYT85" s="1185"/>
      <c r="EYU85" s="1185"/>
      <c r="EYV85" s="1185"/>
      <c r="EYW85" s="1185"/>
      <c r="EYX85" s="1185"/>
      <c r="EYY85" s="1185"/>
      <c r="EYZ85" s="1185"/>
      <c r="EZA85" s="1185"/>
      <c r="EZB85" s="1185"/>
      <c r="EZC85" s="1185"/>
      <c r="EZD85" s="1185"/>
      <c r="EZE85" s="1185"/>
      <c r="EZF85" s="1185"/>
      <c r="EZG85" s="1185"/>
      <c r="EZH85" s="1185"/>
      <c r="EZI85" s="1185"/>
      <c r="EZJ85" s="1185"/>
      <c r="EZK85" s="1185"/>
      <c r="EZL85" s="1185"/>
      <c r="EZM85" s="1185"/>
      <c r="EZN85" s="1185"/>
      <c r="EZO85" s="1185"/>
      <c r="EZP85" s="1185"/>
      <c r="EZQ85" s="1185"/>
      <c r="EZR85" s="1185"/>
      <c r="EZS85" s="1185"/>
      <c r="EZT85" s="1185"/>
      <c r="EZU85" s="1185"/>
      <c r="EZV85" s="1185"/>
      <c r="EZW85" s="1185"/>
      <c r="EZX85" s="1185"/>
      <c r="EZY85" s="1185"/>
      <c r="EZZ85" s="1185"/>
      <c r="FAA85" s="1185"/>
      <c r="FAB85" s="1185"/>
      <c r="FAC85" s="1185"/>
      <c r="FAD85" s="1185"/>
      <c r="FAE85" s="1185"/>
      <c r="FAF85" s="1185"/>
      <c r="FAG85" s="1185"/>
      <c r="FAH85" s="1185"/>
      <c r="FAI85" s="1185"/>
      <c r="FAJ85" s="1185"/>
      <c r="FAK85" s="1185"/>
      <c r="FAL85" s="1185"/>
      <c r="FAM85" s="1185"/>
      <c r="FAN85" s="1185"/>
      <c r="FAO85" s="1185"/>
      <c r="FAP85" s="1185"/>
      <c r="FAQ85" s="1185"/>
      <c r="FAR85" s="1185"/>
      <c r="FAS85" s="1185"/>
      <c r="FAT85" s="1185"/>
      <c r="FAU85" s="1185"/>
      <c r="FAV85" s="1185"/>
      <c r="FAW85" s="1185"/>
      <c r="FAX85" s="1185"/>
      <c r="FAY85" s="1185"/>
      <c r="FAZ85" s="1185"/>
      <c r="FBA85" s="1185"/>
      <c r="FBB85" s="1185"/>
      <c r="FBC85" s="1185"/>
      <c r="FBD85" s="1185"/>
      <c r="FBE85" s="1185"/>
      <c r="FBF85" s="1185"/>
      <c r="FBG85" s="1185"/>
      <c r="FBH85" s="1185"/>
      <c r="FBI85" s="1185"/>
      <c r="FBJ85" s="1185"/>
      <c r="FBK85" s="1185"/>
      <c r="FBL85" s="1185"/>
      <c r="FBM85" s="1185"/>
      <c r="FBN85" s="1185"/>
      <c r="FBO85" s="1185"/>
      <c r="FBP85" s="1185"/>
      <c r="FBQ85" s="1185"/>
      <c r="FBR85" s="1185"/>
      <c r="FBS85" s="1185"/>
      <c r="FBT85" s="1185"/>
      <c r="FBU85" s="1185"/>
      <c r="FBV85" s="1185"/>
      <c r="FBW85" s="1185"/>
      <c r="FBX85" s="1185"/>
      <c r="FBY85" s="1185"/>
      <c r="FBZ85" s="1185"/>
      <c r="FCA85" s="1185"/>
      <c r="FCB85" s="1185"/>
      <c r="FCC85" s="1185"/>
      <c r="FCD85" s="1185"/>
      <c r="FCE85" s="1185"/>
      <c r="FCF85" s="1185"/>
      <c r="FCG85" s="1185"/>
      <c r="FCH85" s="1185"/>
      <c r="FCI85" s="1185"/>
      <c r="FCJ85" s="1185"/>
      <c r="FCK85" s="1185"/>
      <c r="FCL85" s="1185"/>
      <c r="FCM85" s="1185"/>
      <c r="FCN85" s="1185"/>
      <c r="FCO85" s="1185"/>
      <c r="FCP85" s="1185"/>
      <c r="FCQ85" s="1185"/>
      <c r="FCR85" s="1185"/>
      <c r="FCS85" s="1185"/>
      <c r="FCT85" s="1185"/>
      <c r="FCU85" s="1185"/>
      <c r="FCV85" s="1185"/>
      <c r="FCW85" s="1185"/>
      <c r="FCX85" s="1185"/>
      <c r="FCY85" s="1185"/>
      <c r="FCZ85" s="1185"/>
      <c r="FDA85" s="1185"/>
      <c r="FDB85" s="1185"/>
      <c r="FDC85" s="1185"/>
      <c r="FDD85" s="1185"/>
      <c r="FDE85" s="1185"/>
      <c r="FDF85" s="1185"/>
      <c r="FDG85" s="1185"/>
      <c r="FDH85" s="1185"/>
      <c r="FDI85" s="1185"/>
      <c r="FDJ85" s="1185"/>
      <c r="FDK85" s="1185"/>
      <c r="FDL85" s="1185"/>
      <c r="FDM85" s="1185"/>
      <c r="FDN85" s="1185"/>
      <c r="FDO85" s="1185"/>
      <c r="FDP85" s="1185"/>
      <c r="FDQ85" s="1185"/>
      <c r="FDR85" s="1185"/>
      <c r="FDS85" s="1185"/>
      <c r="FDT85" s="1185"/>
      <c r="FDU85" s="1185"/>
      <c r="FDV85" s="1185"/>
      <c r="FDW85" s="1185"/>
      <c r="FDX85" s="1185"/>
      <c r="FDY85" s="1185"/>
      <c r="FDZ85" s="1185"/>
      <c r="FEA85" s="1185"/>
      <c r="FEB85" s="1185"/>
      <c r="FEC85" s="1185"/>
      <c r="FED85" s="1185"/>
      <c r="FEE85" s="1185"/>
      <c r="FEF85" s="1185"/>
      <c r="FEG85" s="1185"/>
      <c r="FEH85" s="1185"/>
      <c r="FEI85" s="1185"/>
      <c r="FEJ85" s="1185"/>
      <c r="FEK85" s="1185"/>
      <c r="FEL85" s="1185"/>
      <c r="FEM85" s="1185"/>
      <c r="FEN85" s="1185"/>
      <c r="FEO85" s="1185"/>
      <c r="FEP85" s="1185"/>
      <c r="FEQ85" s="1185"/>
      <c r="FER85" s="1185"/>
      <c r="FES85" s="1185"/>
      <c r="FET85" s="1185"/>
      <c r="FEU85" s="1185"/>
      <c r="FEV85" s="1185"/>
      <c r="FEW85" s="1185"/>
      <c r="FEX85" s="1185"/>
      <c r="FEY85" s="1185"/>
      <c r="FEZ85" s="1185"/>
      <c r="FFA85" s="1185"/>
      <c r="FFB85" s="1185"/>
      <c r="FFC85" s="1185"/>
      <c r="FFD85" s="1185"/>
      <c r="FFE85" s="1185"/>
      <c r="FFF85" s="1185"/>
      <c r="FFG85" s="1185"/>
      <c r="FFH85" s="1185"/>
      <c r="FFI85" s="1185"/>
      <c r="FFJ85" s="1185"/>
      <c r="FFK85" s="1185"/>
      <c r="FFL85" s="1185"/>
      <c r="FFM85" s="1185"/>
      <c r="FFN85" s="1185"/>
      <c r="FFO85" s="1185"/>
      <c r="FFP85" s="1185"/>
      <c r="FFQ85" s="1185"/>
      <c r="FFR85" s="1185"/>
      <c r="FFS85" s="1185"/>
      <c r="FFT85" s="1185"/>
      <c r="FFU85" s="1185"/>
      <c r="FFV85" s="1185"/>
      <c r="FFW85" s="1185"/>
      <c r="FFX85" s="1185"/>
      <c r="FFY85" s="1185"/>
      <c r="FFZ85" s="1185"/>
      <c r="FGA85" s="1185"/>
      <c r="FGB85" s="1185"/>
      <c r="FGC85" s="1185"/>
      <c r="FGD85" s="1185"/>
      <c r="FGE85" s="1185"/>
      <c r="FGF85" s="1185"/>
      <c r="FGG85" s="1185"/>
      <c r="FGH85" s="1185"/>
      <c r="FGI85" s="1185"/>
      <c r="FGJ85" s="1185"/>
      <c r="FGK85" s="1185"/>
      <c r="FGL85" s="1185"/>
      <c r="FGM85" s="1185"/>
      <c r="FGN85" s="1185"/>
      <c r="FGO85" s="1185"/>
      <c r="FGP85" s="1185"/>
      <c r="FGQ85" s="1185"/>
      <c r="FGR85" s="1185"/>
      <c r="FGS85" s="1185"/>
      <c r="FGT85" s="1185"/>
      <c r="FGU85" s="1185"/>
      <c r="FGV85" s="1185"/>
      <c r="FGW85" s="1185"/>
      <c r="FGX85" s="1185"/>
      <c r="FGY85" s="1185"/>
      <c r="FGZ85" s="1185"/>
      <c r="FHA85" s="1185"/>
      <c r="FHB85" s="1185"/>
      <c r="FHC85" s="1185"/>
      <c r="FHD85" s="1185"/>
      <c r="FHE85" s="1185"/>
      <c r="FHF85" s="1185"/>
      <c r="FHG85" s="1185"/>
      <c r="FHH85" s="1185"/>
      <c r="FHI85" s="1185"/>
      <c r="FHJ85" s="1185"/>
      <c r="FHK85" s="1185"/>
      <c r="FHL85" s="1185"/>
      <c r="FHM85" s="1185"/>
      <c r="FHN85" s="1185"/>
      <c r="FHO85" s="1185"/>
      <c r="FHP85" s="1185"/>
      <c r="FHQ85" s="1185"/>
      <c r="FHR85" s="1185"/>
      <c r="FHS85" s="1185"/>
      <c r="FHT85" s="1185"/>
      <c r="FHU85" s="1185"/>
      <c r="FHV85" s="1185"/>
      <c r="FHW85" s="1185"/>
      <c r="FHX85" s="1185"/>
      <c r="FHY85" s="1185"/>
      <c r="FHZ85" s="1185"/>
      <c r="FIA85" s="1185"/>
      <c r="FIB85" s="1185"/>
      <c r="FIC85" s="1185"/>
      <c r="FID85" s="1185"/>
      <c r="FIE85" s="1185"/>
      <c r="FIF85" s="1185"/>
      <c r="FIG85" s="1185"/>
      <c r="FIH85" s="1185"/>
      <c r="FII85" s="1185"/>
      <c r="FIJ85" s="1185"/>
      <c r="FIK85" s="1185"/>
      <c r="FIL85" s="1185"/>
      <c r="FIM85" s="1185"/>
      <c r="FIN85" s="1185"/>
      <c r="FIO85" s="1185"/>
      <c r="FIP85" s="1185"/>
      <c r="FIQ85" s="1185"/>
      <c r="FIR85" s="1185"/>
      <c r="FIS85" s="1185"/>
      <c r="FIT85" s="1185"/>
      <c r="FIU85" s="1185"/>
      <c r="FIV85" s="1185"/>
      <c r="FIW85" s="1185"/>
      <c r="FIX85" s="1185"/>
      <c r="FIY85" s="1185"/>
      <c r="FIZ85" s="1185"/>
      <c r="FJA85" s="1185"/>
      <c r="FJB85" s="1185"/>
      <c r="FJC85" s="1185"/>
      <c r="FJD85" s="1185"/>
      <c r="FJE85" s="1185"/>
      <c r="FJF85" s="1185"/>
      <c r="FJG85" s="1185"/>
      <c r="FJH85" s="1185"/>
      <c r="FJI85" s="1185"/>
      <c r="FJJ85" s="1185"/>
      <c r="FJK85" s="1185"/>
      <c r="FJL85" s="1185"/>
      <c r="FJM85" s="1185"/>
      <c r="FJN85" s="1185"/>
      <c r="FJO85" s="1185"/>
      <c r="FJP85" s="1185"/>
      <c r="FJQ85" s="1185"/>
      <c r="FJR85" s="1185"/>
      <c r="FJS85" s="1185"/>
      <c r="FJT85" s="1185"/>
      <c r="FJU85" s="1185"/>
      <c r="FJV85" s="1185"/>
      <c r="FJW85" s="1185"/>
      <c r="FJX85" s="1185"/>
      <c r="FJY85" s="1185"/>
      <c r="FJZ85" s="1185"/>
      <c r="FKA85" s="1185"/>
      <c r="FKB85" s="1185"/>
      <c r="FKC85" s="1185"/>
      <c r="FKD85" s="1185"/>
      <c r="FKE85" s="1185"/>
      <c r="FKF85" s="1185"/>
      <c r="FKG85" s="1185"/>
      <c r="FKH85" s="1185"/>
      <c r="FKI85" s="1185"/>
      <c r="FKJ85" s="1185"/>
      <c r="FKK85" s="1185"/>
      <c r="FKL85" s="1185"/>
      <c r="FKM85" s="1185"/>
      <c r="FKN85" s="1185"/>
      <c r="FKO85" s="1185"/>
      <c r="FKP85" s="1185"/>
      <c r="FKQ85" s="1185"/>
      <c r="FKR85" s="1185"/>
      <c r="FKS85" s="1185"/>
      <c r="FKT85" s="1185"/>
      <c r="FKU85" s="1185"/>
      <c r="FKV85" s="1185"/>
      <c r="FKW85" s="1185"/>
      <c r="FKX85" s="1185"/>
      <c r="FKY85" s="1185"/>
      <c r="FKZ85" s="1185"/>
      <c r="FLA85" s="1185"/>
      <c r="FLB85" s="1185"/>
      <c r="FLC85" s="1185"/>
      <c r="FLD85" s="1185"/>
      <c r="FLE85" s="1185"/>
      <c r="FLF85" s="1185"/>
      <c r="FLG85" s="1185"/>
      <c r="FLH85" s="1185"/>
      <c r="FLI85" s="1185"/>
      <c r="FLJ85" s="1185"/>
      <c r="FLK85" s="1185"/>
      <c r="FLL85" s="1185"/>
      <c r="FLM85" s="1185"/>
      <c r="FLN85" s="1185"/>
      <c r="FLO85" s="1185"/>
      <c r="FLP85" s="1185"/>
      <c r="FLQ85" s="1185"/>
      <c r="FLR85" s="1185"/>
      <c r="FLS85" s="1185"/>
      <c r="FLT85" s="1185"/>
      <c r="FLU85" s="1185"/>
      <c r="FLV85" s="1185"/>
      <c r="FLW85" s="1185"/>
      <c r="FLX85" s="1185"/>
      <c r="FLY85" s="1185"/>
      <c r="FLZ85" s="1185"/>
      <c r="FMA85" s="1185"/>
      <c r="FMB85" s="1185"/>
      <c r="FMC85" s="1185"/>
      <c r="FMD85" s="1185"/>
      <c r="FME85" s="1185"/>
      <c r="FMF85" s="1185"/>
      <c r="FMG85" s="1185"/>
      <c r="FMH85" s="1185"/>
      <c r="FMI85" s="1185"/>
      <c r="FMJ85" s="1185"/>
      <c r="FMK85" s="1185"/>
      <c r="FML85" s="1185"/>
      <c r="FMM85" s="1185"/>
      <c r="FMN85" s="1185"/>
      <c r="FMO85" s="1185"/>
      <c r="FMP85" s="1185"/>
      <c r="FMQ85" s="1185"/>
      <c r="FMR85" s="1185"/>
      <c r="FMS85" s="1185"/>
      <c r="FMT85" s="1185"/>
      <c r="FMU85" s="1185"/>
      <c r="FMV85" s="1185"/>
      <c r="FMW85" s="1185"/>
      <c r="FMX85" s="1185"/>
      <c r="FMY85" s="1185"/>
      <c r="FMZ85" s="1185"/>
      <c r="FNA85" s="1185"/>
      <c r="FNB85" s="1185"/>
      <c r="FNC85" s="1185"/>
      <c r="FND85" s="1185"/>
      <c r="FNE85" s="1185"/>
      <c r="FNF85" s="1185"/>
      <c r="FNG85" s="1185"/>
      <c r="FNH85" s="1185"/>
      <c r="FNI85" s="1185"/>
      <c r="FNJ85" s="1185"/>
      <c r="FNK85" s="1185"/>
      <c r="FNL85" s="1185"/>
      <c r="FNM85" s="1185"/>
      <c r="FNN85" s="1185"/>
      <c r="FNO85" s="1185"/>
      <c r="FNP85" s="1185"/>
      <c r="FNQ85" s="1185"/>
      <c r="FNR85" s="1185"/>
      <c r="FNS85" s="1185"/>
      <c r="FNT85" s="1185"/>
      <c r="FNU85" s="1185"/>
      <c r="FNV85" s="1185"/>
      <c r="FNW85" s="1185"/>
      <c r="FNX85" s="1185"/>
      <c r="FNY85" s="1185"/>
      <c r="FNZ85" s="1185"/>
      <c r="FOA85" s="1185"/>
      <c r="FOB85" s="1185"/>
      <c r="FOC85" s="1185"/>
      <c r="FOD85" s="1185"/>
      <c r="FOE85" s="1185"/>
      <c r="FOF85" s="1185"/>
      <c r="FOG85" s="1185"/>
      <c r="FOH85" s="1185"/>
      <c r="FOI85" s="1185"/>
      <c r="FOJ85" s="1185"/>
      <c r="FOK85" s="1185"/>
      <c r="FOL85" s="1185"/>
      <c r="FOM85" s="1185"/>
      <c r="FON85" s="1185"/>
      <c r="FOO85" s="1185"/>
      <c r="FOP85" s="1185"/>
      <c r="FOQ85" s="1185"/>
      <c r="FOR85" s="1185"/>
      <c r="FOS85" s="1185"/>
      <c r="FOT85" s="1185"/>
      <c r="FOU85" s="1185"/>
      <c r="FOV85" s="1185"/>
      <c r="FOW85" s="1185"/>
      <c r="FOX85" s="1185"/>
      <c r="FOY85" s="1185"/>
      <c r="FOZ85" s="1185"/>
      <c r="FPA85" s="1185"/>
      <c r="FPB85" s="1185"/>
      <c r="FPC85" s="1185"/>
      <c r="FPD85" s="1185"/>
      <c r="FPE85" s="1185"/>
      <c r="FPF85" s="1185"/>
      <c r="FPG85" s="1185"/>
      <c r="FPH85" s="1185"/>
      <c r="FPI85" s="1185"/>
      <c r="FPJ85" s="1185"/>
      <c r="FPK85" s="1185"/>
      <c r="FPL85" s="1185"/>
      <c r="FPM85" s="1185"/>
      <c r="FPN85" s="1185"/>
      <c r="FPO85" s="1185"/>
      <c r="FPP85" s="1185"/>
      <c r="FPQ85" s="1185"/>
      <c r="FPR85" s="1185"/>
      <c r="FPS85" s="1185"/>
      <c r="FPT85" s="1185"/>
      <c r="FPU85" s="1185"/>
      <c r="FPV85" s="1185"/>
      <c r="FPW85" s="1185"/>
      <c r="FPX85" s="1185"/>
      <c r="FPY85" s="1185"/>
      <c r="FPZ85" s="1185"/>
      <c r="FQA85" s="1185"/>
      <c r="FQB85" s="1185"/>
      <c r="FQC85" s="1185"/>
      <c r="FQD85" s="1185"/>
      <c r="FQE85" s="1185"/>
      <c r="FQF85" s="1185"/>
      <c r="FQG85" s="1185"/>
      <c r="FQH85" s="1185"/>
      <c r="FQI85" s="1185"/>
      <c r="FQJ85" s="1185"/>
      <c r="FQK85" s="1185"/>
      <c r="FQL85" s="1185"/>
      <c r="FQM85" s="1185"/>
      <c r="FQN85" s="1185"/>
      <c r="FQO85" s="1185"/>
      <c r="FQP85" s="1185"/>
      <c r="FQQ85" s="1185"/>
      <c r="FQR85" s="1185"/>
      <c r="FQS85" s="1185"/>
      <c r="FQT85" s="1185"/>
      <c r="FQU85" s="1185"/>
      <c r="FQV85" s="1185"/>
      <c r="FQW85" s="1185"/>
      <c r="FQX85" s="1185"/>
      <c r="FQY85" s="1185"/>
      <c r="FQZ85" s="1185"/>
      <c r="FRA85" s="1185"/>
      <c r="FRB85" s="1185"/>
      <c r="FRC85" s="1185"/>
      <c r="FRD85" s="1185"/>
      <c r="FRE85" s="1185"/>
      <c r="FRF85" s="1185"/>
      <c r="FRG85" s="1185"/>
      <c r="FRH85" s="1185"/>
      <c r="FRI85" s="1185"/>
      <c r="FRJ85" s="1185"/>
      <c r="FRK85" s="1185"/>
      <c r="FRL85" s="1185"/>
      <c r="FRM85" s="1185"/>
      <c r="FRN85" s="1185"/>
      <c r="FRO85" s="1185"/>
      <c r="FRP85" s="1185"/>
      <c r="FRQ85" s="1185"/>
      <c r="FRR85" s="1185"/>
      <c r="FRS85" s="1185"/>
      <c r="FRT85" s="1185"/>
      <c r="FRU85" s="1185"/>
      <c r="FRV85" s="1185"/>
      <c r="FRW85" s="1185"/>
      <c r="FRX85" s="1185"/>
      <c r="FRY85" s="1185"/>
      <c r="FRZ85" s="1185"/>
      <c r="FSA85" s="1185"/>
      <c r="FSB85" s="1185"/>
      <c r="FSC85" s="1185"/>
      <c r="FSD85" s="1185"/>
      <c r="FSE85" s="1185"/>
      <c r="FSF85" s="1185"/>
      <c r="FSG85" s="1185"/>
      <c r="FSH85" s="1185"/>
      <c r="FSI85" s="1185"/>
      <c r="FSJ85" s="1185"/>
      <c r="FSK85" s="1185"/>
      <c r="FSL85" s="1185"/>
      <c r="FSM85" s="1185"/>
      <c r="FSN85" s="1185"/>
      <c r="FSO85" s="1185"/>
      <c r="FSP85" s="1185"/>
      <c r="FSQ85" s="1185"/>
      <c r="FSR85" s="1185"/>
      <c r="FSS85" s="1185"/>
      <c r="FST85" s="1185"/>
      <c r="FSU85" s="1185"/>
      <c r="FSV85" s="1185"/>
      <c r="FSW85" s="1185"/>
      <c r="FSX85" s="1185"/>
      <c r="FSY85" s="1185"/>
      <c r="FSZ85" s="1185"/>
      <c r="FTA85" s="1185"/>
      <c r="FTB85" s="1185"/>
      <c r="FTC85" s="1185"/>
      <c r="FTD85" s="1185"/>
      <c r="FTE85" s="1185"/>
      <c r="FTF85" s="1185"/>
      <c r="FTG85" s="1185"/>
      <c r="FTH85" s="1185"/>
      <c r="FTI85" s="1185"/>
      <c r="FTJ85" s="1185"/>
      <c r="FTK85" s="1185"/>
      <c r="FTL85" s="1185"/>
      <c r="FTM85" s="1185"/>
      <c r="FTN85" s="1185"/>
      <c r="FTO85" s="1185"/>
      <c r="FTP85" s="1185"/>
      <c r="FTQ85" s="1185"/>
      <c r="FTR85" s="1185"/>
      <c r="FTS85" s="1185"/>
      <c r="FTT85" s="1185"/>
      <c r="FTU85" s="1185"/>
      <c r="FTV85" s="1185"/>
      <c r="FTW85" s="1185"/>
      <c r="FTX85" s="1185"/>
      <c r="FTY85" s="1185"/>
      <c r="FTZ85" s="1185"/>
      <c r="FUA85" s="1185"/>
      <c r="FUB85" s="1185"/>
      <c r="FUC85" s="1185"/>
      <c r="FUD85" s="1185"/>
      <c r="FUE85" s="1185"/>
      <c r="FUF85" s="1185"/>
      <c r="FUG85" s="1185"/>
      <c r="FUH85" s="1185"/>
      <c r="FUI85" s="1185"/>
      <c r="FUJ85" s="1185"/>
      <c r="FUK85" s="1185"/>
      <c r="FUL85" s="1185"/>
      <c r="FUM85" s="1185"/>
      <c r="FUN85" s="1185"/>
      <c r="FUO85" s="1185"/>
      <c r="FUP85" s="1185"/>
      <c r="FUQ85" s="1185"/>
      <c r="FUR85" s="1185"/>
      <c r="FUS85" s="1185"/>
      <c r="FUT85" s="1185"/>
      <c r="FUU85" s="1185"/>
      <c r="FUV85" s="1185"/>
      <c r="FUW85" s="1185"/>
      <c r="FUX85" s="1185"/>
      <c r="FUY85" s="1185"/>
      <c r="FUZ85" s="1185"/>
      <c r="FVA85" s="1185"/>
      <c r="FVB85" s="1185"/>
      <c r="FVC85" s="1185"/>
      <c r="FVD85" s="1185"/>
      <c r="FVE85" s="1185"/>
      <c r="FVF85" s="1185"/>
      <c r="FVG85" s="1185"/>
      <c r="FVH85" s="1185"/>
      <c r="FVI85" s="1185"/>
      <c r="FVJ85" s="1185"/>
      <c r="FVK85" s="1185"/>
      <c r="FVL85" s="1185"/>
      <c r="FVM85" s="1185"/>
      <c r="FVN85" s="1185"/>
      <c r="FVO85" s="1185"/>
      <c r="FVP85" s="1185"/>
      <c r="FVQ85" s="1185"/>
      <c r="FVR85" s="1185"/>
      <c r="FVS85" s="1185"/>
      <c r="FVT85" s="1185"/>
      <c r="FVU85" s="1185"/>
      <c r="FVV85" s="1185"/>
      <c r="FVW85" s="1185"/>
      <c r="FVX85" s="1185"/>
      <c r="FVY85" s="1185"/>
      <c r="FVZ85" s="1185"/>
      <c r="FWA85" s="1185"/>
      <c r="FWB85" s="1185"/>
      <c r="FWC85" s="1185"/>
      <c r="FWD85" s="1185"/>
      <c r="FWE85" s="1185"/>
      <c r="FWF85" s="1185"/>
      <c r="FWG85" s="1185"/>
      <c r="FWH85" s="1185"/>
      <c r="FWI85" s="1185"/>
      <c r="FWJ85" s="1185"/>
      <c r="FWK85" s="1185"/>
      <c r="FWL85" s="1185"/>
      <c r="FWM85" s="1185"/>
      <c r="FWN85" s="1185"/>
      <c r="FWO85" s="1185"/>
      <c r="FWP85" s="1185"/>
      <c r="FWQ85" s="1185"/>
      <c r="FWR85" s="1185"/>
      <c r="FWS85" s="1185"/>
      <c r="FWT85" s="1185"/>
      <c r="FWU85" s="1185"/>
      <c r="FWV85" s="1185"/>
      <c r="FWW85" s="1185"/>
      <c r="FWX85" s="1185"/>
      <c r="FWY85" s="1185"/>
      <c r="FWZ85" s="1185"/>
      <c r="FXA85" s="1185"/>
      <c r="FXB85" s="1185"/>
      <c r="FXC85" s="1185"/>
      <c r="FXD85" s="1185"/>
      <c r="FXE85" s="1185"/>
      <c r="FXF85" s="1185"/>
      <c r="FXG85" s="1185"/>
      <c r="FXH85" s="1185"/>
      <c r="FXI85" s="1185"/>
      <c r="FXJ85" s="1185"/>
      <c r="FXK85" s="1185"/>
      <c r="FXL85" s="1185"/>
      <c r="FXM85" s="1185"/>
      <c r="FXN85" s="1185"/>
      <c r="FXO85" s="1185"/>
      <c r="FXP85" s="1185"/>
      <c r="FXQ85" s="1185"/>
      <c r="FXR85" s="1185"/>
      <c r="FXS85" s="1185"/>
      <c r="FXT85" s="1185"/>
      <c r="FXU85" s="1185"/>
      <c r="FXV85" s="1185"/>
      <c r="FXW85" s="1185"/>
      <c r="FXX85" s="1185"/>
      <c r="FXY85" s="1185"/>
      <c r="FXZ85" s="1185"/>
      <c r="FYA85" s="1185"/>
      <c r="FYB85" s="1185"/>
      <c r="FYC85" s="1185"/>
      <c r="FYD85" s="1185"/>
      <c r="FYE85" s="1185"/>
      <c r="FYF85" s="1185"/>
      <c r="FYG85" s="1185"/>
      <c r="FYH85" s="1185"/>
      <c r="FYI85" s="1185"/>
      <c r="FYJ85" s="1185"/>
      <c r="FYK85" s="1185"/>
      <c r="FYL85" s="1185"/>
      <c r="FYM85" s="1185"/>
      <c r="FYN85" s="1185"/>
      <c r="FYO85" s="1185"/>
      <c r="FYP85" s="1185"/>
      <c r="FYQ85" s="1185"/>
      <c r="FYR85" s="1185"/>
      <c r="FYS85" s="1185"/>
      <c r="FYT85" s="1185"/>
      <c r="FYU85" s="1185"/>
      <c r="FYV85" s="1185"/>
      <c r="FYW85" s="1185"/>
      <c r="FYX85" s="1185"/>
      <c r="FYY85" s="1185"/>
      <c r="FYZ85" s="1185"/>
      <c r="FZA85" s="1185"/>
      <c r="FZB85" s="1185"/>
      <c r="FZC85" s="1185"/>
      <c r="FZD85" s="1185"/>
      <c r="FZE85" s="1185"/>
      <c r="FZF85" s="1185"/>
      <c r="FZG85" s="1185"/>
      <c r="FZH85" s="1185"/>
      <c r="FZI85" s="1185"/>
      <c r="FZJ85" s="1185"/>
      <c r="FZK85" s="1185"/>
      <c r="FZL85" s="1185"/>
      <c r="FZM85" s="1185"/>
      <c r="FZN85" s="1185"/>
      <c r="FZO85" s="1185"/>
      <c r="FZP85" s="1185"/>
      <c r="FZQ85" s="1185"/>
      <c r="FZR85" s="1185"/>
      <c r="FZS85" s="1185"/>
      <c r="FZT85" s="1185"/>
      <c r="FZU85" s="1185"/>
      <c r="FZV85" s="1185"/>
      <c r="FZW85" s="1185"/>
      <c r="FZX85" s="1185"/>
      <c r="FZY85" s="1185"/>
      <c r="FZZ85" s="1185"/>
      <c r="GAA85" s="1185"/>
      <c r="GAB85" s="1185"/>
      <c r="GAC85" s="1185"/>
      <c r="GAD85" s="1185"/>
      <c r="GAE85" s="1185"/>
      <c r="GAF85" s="1185"/>
      <c r="GAG85" s="1185"/>
      <c r="GAH85" s="1185"/>
      <c r="GAI85" s="1185"/>
      <c r="GAJ85" s="1185"/>
      <c r="GAK85" s="1185"/>
      <c r="GAL85" s="1185"/>
      <c r="GAM85" s="1185"/>
      <c r="GAN85" s="1185"/>
      <c r="GAO85" s="1185"/>
      <c r="GAP85" s="1185"/>
      <c r="GAQ85" s="1185"/>
      <c r="GAR85" s="1185"/>
      <c r="GAS85" s="1185"/>
      <c r="GAT85" s="1185"/>
      <c r="GAU85" s="1185"/>
      <c r="GAV85" s="1185"/>
      <c r="GAW85" s="1185"/>
      <c r="GAX85" s="1185"/>
      <c r="GAY85" s="1185"/>
      <c r="GAZ85" s="1185"/>
      <c r="GBA85" s="1185"/>
      <c r="GBB85" s="1185"/>
      <c r="GBC85" s="1185"/>
      <c r="GBD85" s="1185"/>
      <c r="GBE85" s="1185"/>
      <c r="GBF85" s="1185"/>
      <c r="GBG85" s="1185"/>
      <c r="GBH85" s="1185"/>
      <c r="GBI85" s="1185"/>
      <c r="GBJ85" s="1185"/>
      <c r="GBK85" s="1185"/>
      <c r="GBL85" s="1185"/>
      <c r="GBM85" s="1185"/>
      <c r="GBN85" s="1185"/>
      <c r="GBO85" s="1185"/>
      <c r="GBP85" s="1185"/>
      <c r="GBQ85" s="1185"/>
      <c r="GBR85" s="1185"/>
      <c r="GBS85" s="1185"/>
      <c r="GBT85" s="1185"/>
      <c r="GBU85" s="1185"/>
      <c r="GBV85" s="1185"/>
      <c r="GBW85" s="1185"/>
      <c r="GBX85" s="1185"/>
      <c r="GBY85" s="1185"/>
      <c r="GBZ85" s="1185"/>
      <c r="GCA85" s="1185"/>
      <c r="GCB85" s="1185"/>
      <c r="GCC85" s="1185"/>
      <c r="GCD85" s="1185"/>
      <c r="GCE85" s="1185"/>
      <c r="GCF85" s="1185"/>
      <c r="GCG85" s="1185"/>
      <c r="GCH85" s="1185"/>
      <c r="GCI85" s="1185"/>
      <c r="GCJ85" s="1185"/>
      <c r="GCK85" s="1185"/>
      <c r="GCL85" s="1185"/>
      <c r="GCM85" s="1185"/>
      <c r="GCN85" s="1185"/>
      <c r="GCO85" s="1185"/>
      <c r="GCP85" s="1185"/>
      <c r="GCQ85" s="1185"/>
      <c r="GCR85" s="1185"/>
      <c r="GCS85" s="1185"/>
      <c r="GCT85" s="1185"/>
      <c r="GCU85" s="1185"/>
      <c r="GCV85" s="1185"/>
      <c r="GCW85" s="1185"/>
      <c r="GCX85" s="1185"/>
      <c r="GCY85" s="1185"/>
      <c r="GCZ85" s="1185"/>
      <c r="GDA85" s="1185"/>
      <c r="GDB85" s="1185"/>
      <c r="GDC85" s="1185"/>
      <c r="GDD85" s="1185"/>
      <c r="GDE85" s="1185"/>
      <c r="GDF85" s="1185"/>
      <c r="GDG85" s="1185"/>
      <c r="GDH85" s="1185"/>
      <c r="GDI85" s="1185"/>
      <c r="GDJ85" s="1185"/>
      <c r="GDK85" s="1185"/>
      <c r="GDL85" s="1185"/>
      <c r="GDM85" s="1185"/>
      <c r="GDN85" s="1185"/>
      <c r="GDO85" s="1185"/>
      <c r="GDP85" s="1185"/>
      <c r="GDQ85" s="1185"/>
      <c r="GDR85" s="1185"/>
      <c r="GDS85" s="1185"/>
      <c r="GDT85" s="1185"/>
      <c r="GDU85" s="1185"/>
      <c r="GDV85" s="1185"/>
      <c r="GDW85" s="1185"/>
      <c r="GDX85" s="1185"/>
      <c r="GDY85" s="1185"/>
      <c r="GDZ85" s="1185"/>
      <c r="GEA85" s="1185"/>
      <c r="GEB85" s="1185"/>
      <c r="GEC85" s="1185"/>
      <c r="GED85" s="1185"/>
      <c r="GEE85" s="1185"/>
      <c r="GEF85" s="1185"/>
      <c r="GEG85" s="1185"/>
      <c r="GEH85" s="1185"/>
      <c r="GEI85" s="1185"/>
      <c r="GEJ85" s="1185"/>
      <c r="GEK85" s="1185"/>
      <c r="GEL85" s="1185"/>
      <c r="GEM85" s="1185"/>
      <c r="GEN85" s="1185"/>
      <c r="GEO85" s="1185"/>
      <c r="GEP85" s="1185"/>
      <c r="GEQ85" s="1185"/>
      <c r="GER85" s="1185"/>
      <c r="GES85" s="1185"/>
      <c r="GET85" s="1185"/>
      <c r="GEU85" s="1185"/>
      <c r="GEV85" s="1185"/>
      <c r="GEW85" s="1185"/>
      <c r="GEX85" s="1185"/>
      <c r="GEY85" s="1185"/>
      <c r="GEZ85" s="1185"/>
      <c r="GFA85" s="1185"/>
      <c r="GFB85" s="1185"/>
      <c r="GFC85" s="1185"/>
      <c r="GFD85" s="1185"/>
      <c r="GFE85" s="1185"/>
      <c r="GFF85" s="1185"/>
      <c r="GFG85" s="1185"/>
      <c r="GFH85" s="1185"/>
      <c r="GFI85" s="1185"/>
      <c r="GFJ85" s="1185"/>
      <c r="GFK85" s="1185"/>
      <c r="GFL85" s="1185"/>
      <c r="GFM85" s="1185"/>
      <c r="GFN85" s="1185"/>
      <c r="GFO85" s="1185"/>
      <c r="GFP85" s="1185"/>
      <c r="GFQ85" s="1185"/>
      <c r="GFR85" s="1185"/>
      <c r="GFS85" s="1185"/>
      <c r="GFT85" s="1185"/>
      <c r="GFU85" s="1185"/>
      <c r="GFV85" s="1185"/>
      <c r="GFW85" s="1185"/>
      <c r="GFX85" s="1185"/>
      <c r="GFY85" s="1185"/>
      <c r="GFZ85" s="1185"/>
      <c r="GGA85" s="1185"/>
      <c r="GGB85" s="1185"/>
      <c r="GGC85" s="1185"/>
      <c r="GGD85" s="1185"/>
      <c r="GGE85" s="1185"/>
      <c r="GGF85" s="1185"/>
      <c r="GGG85" s="1185"/>
      <c r="GGH85" s="1185"/>
      <c r="GGI85" s="1185"/>
      <c r="GGJ85" s="1185"/>
      <c r="GGK85" s="1185"/>
      <c r="GGL85" s="1185"/>
      <c r="GGM85" s="1185"/>
      <c r="GGN85" s="1185"/>
      <c r="GGO85" s="1185"/>
      <c r="GGP85" s="1185"/>
      <c r="GGQ85" s="1185"/>
      <c r="GGR85" s="1185"/>
      <c r="GGS85" s="1185"/>
      <c r="GGT85" s="1185"/>
      <c r="GGU85" s="1185"/>
      <c r="GGV85" s="1185"/>
      <c r="GGW85" s="1185"/>
      <c r="GGX85" s="1185"/>
      <c r="GGY85" s="1185"/>
      <c r="GGZ85" s="1185"/>
      <c r="GHA85" s="1185"/>
      <c r="GHB85" s="1185"/>
      <c r="GHC85" s="1185"/>
      <c r="GHD85" s="1185"/>
      <c r="GHE85" s="1185"/>
      <c r="GHF85" s="1185"/>
      <c r="GHG85" s="1185"/>
      <c r="GHH85" s="1185"/>
      <c r="GHI85" s="1185"/>
      <c r="GHJ85" s="1185"/>
      <c r="GHK85" s="1185"/>
      <c r="GHL85" s="1185"/>
      <c r="GHM85" s="1185"/>
      <c r="GHN85" s="1185"/>
      <c r="GHO85" s="1185"/>
      <c r="GHP85" s="1185"/>
      <c r="GHQ85" s="1185"/>
      <c r="GHR85" s="1185"/>
      <c r="GHS85" s="1185"/>
      <c r="GHT85" s="1185"/>
      <c r="GHU85" s="1185"/>
      <c r="GHV85" s="1185"/>
      <c r="GHW85" s="1185"/>
      <c r="GHX85" s="1185"/>
      <c r="GHY85" s="1185"/>
      <c r="GHZ85" s="1185"/>
      <c r="GIA85" s="1185"/>
      <c r="GIB85" s="1185"/>
      <c r="GIC85" s="1185"/>
      <c r="GID85" s="1185"/>
      <c r="GIE85" s="1185"/>
      <c r="GIF85" s="1185"/>
      <c r="GIG85" s="1185"/>
      <c r="GIH85" s="1185"/>
      <c r="GII85" s="1185"/>
      <c r="GIJ85" s="1185"/>
      <c r="GIK85" s="1185"/>
      <c r="GIL85" s="1185"/>
      <c r="GIM85" s="1185"/>
      <c r="GIN85" s="1185"/>
      <c r="GIO85" s="1185"/>
      <c r="GIP85" s="1185"/>
      <c r="GIQ85" s="1185"/>
      <c r="GIR85" s="1185"/>
      <c r="GIS85" s="1185"/>
      <c r="GIT85" s="1185"/>
      <c r="GIU85" s="1185"/>
      <c r="GIV85" s="1185"/>
      <c r="GIW85" s="1185"/>
      <c r="GIX85" s="1185"/>
      <c r="GIY85" s="1185"/>
      <c r="GIZ85" s="1185"/>
      <c r="GJA85" s="1185"/>
      <c r="GJB85" s="1185"/>
      <c r="GJC85" s="1185"/>
      <c r="GJD85" s="1185"/>
      <c r="GJE85" s="1185"/>
      <c r="GJF85" s="1185"/>
      <c r="GJG85" s="1185"/>
      <c r="GJH85" s="1185"/>
      <c r="GJI85" s="1185"/>
      <c r="GJJ85" s="1185"/>
      <c r="GJK85" s="1185"/>
      <c r="GJL85" s="1185"/>
      <c r="GJM85" s="1185"/>
      <c r="GJN85" s="1185"/>
      <c r="GJO85" s="1185"/>
      <c r="GJP85" s="1185"/>
      <c r="GJQ85" s="1185"/>
      <c r="GJR85" s="1185"/>
      <c r="GJS85" s="1185"/>
      <c r="GJT85" s="1185"/>
      <c r="GJU85" s="1185"/>
      <c r="GJV85" s="1185"/>
      <c r="GJW85" s="1185"/>
      <c r="GJX85" s="1185"/>
      <c r="GJY85" s="1185"/>
      <c r="GJZ85" s="1185"/>
      <c r="GKA85" s="1185"/>
      <c r="GKB85" s="1185"/>
      <c r="GKC85" s="1185"/>
      <c r="GKD85" s="1185"/>
      <c r="GKE85" s="1185"/>
      <c r="GKF85" s="1185"/>
      <c r="GKG85" s="1185"/>
      <c r="GKH85" s="1185"/>
      <c r="GKI85" s="1185"/>
      <c r="GKJ85" s="1185"/>
      <c r="GKK85" s="1185"/>
      <c r="GKL85" s="1185"/>
      <c r="GKM85" s="1185"/>
      <c r="GKN85" s="1185"/>
      <c r="GKO85" s="1185"/>
      <c r="GKP85" s="1185"/>
      <c r="GKQ85" s="1185"/>
      <c r="GKR85" s="1185"/>
      <c r="GKS85" s="1185"/>
      <c r="GKT85" s="1185"/>
      <c r="GKU85" s="1185"/>
      <c r="GKV85" s="1185"/>
      <c r="GKW85" s="1185"/>
      <c r="GKX85" s="1185"/>
      <c r="GKY85" s="1185"/>
      <c r="GKZ85" s="1185"/>
      <c r="GLA85" s="1185"/>
      <c r="GLB85" s="1185"/>
      <c r="GLC85" s="1185"/>
      <c r="GLD85" s="1185"/>
      <c r="GLE85" s="1185"/>
      <c r="GLF85" s="1185"/>
      <c r="GLG85" s="1185"/>
      <c r="GLH85" s="1185"/>
      <c r="GLI85" s="1185"/>
      <c r="GLJ85" s="1185"/>
      <c r="GLK85" s="1185"/>
      <c r="GLL85" s="1185"/>
      <c r="GLM85" s="1185"/>
      <c r="GLN85" s="1185"/>
      <c r="GLO85" s="1185"/>
      <c r="GLP85" s="1185"/>
      <c r="GLQ85" s="1185"/>
      <c r="GLR85" s="1185"/>
      <c r="GLS85" s="1185"/>
      <c r="GLT85" s="1185"/>
      <c r="GLU85" s="1185"/>
      <c r="GLV85" s="1185"/>
      <c r="GLW85" s="1185"/>
      <c r="GLX85" s="1185"/>
      <c r="GLY85" s="1185"/>
      <c r="GLZ85" s="1185"/>
      <c r="GMA85" s="1185"/>
      <c r="GMB85" s="1185"/>
      <c r="GMC85" s="1185"/>
      <c r="GMD85" s="1185"/>
      <c r="GME85" s="1185"/>
      <c r="GMF85" s="1185"/>
      <c r="GMG85" s="1185"/>
      <c r="GMH85" s="1185"/>
      <c r="GMI85" s="1185"/>
      <c r="GMJ85" s="1185"/>
      <c r="GMK85" s="1185"/>
      <c r="GML85" s="1185"/>
      <c r="GMM85" s="1185"/>
      <c r="GMN85" s="1185"/>
      <c r="GMO85" s="1185"/>
      <c r="GMP85" s="1185"/>
      <c r="GMQ85" s="1185"/>
      <c r="GMR85" s="1185"/>
      <c r="GMS85" s="1185"/>
      <c r="GMT85" s="1185"/>
      <c r="GMU85" s="1185"/>
      <c r="GMV85" s="1185"/>
      <c r="GMW85" s="1185"/>
      <c r="GMX85" s="1185"/>
      <c r="GMY85" s="1185"/>
      <c r="GMZ85" s="1185"/>
      <c r="GNA85" s="1185"/>
      <c r="GNB85" s="1185"/>
      <c r="GNC85" s="1185"/>
      <c r="GND85" s="1185"/>
      <c r="GNE85" s="1185"/>
      <c r="GNF85" s="1185"/>
      <c r="GNG85" s="1185"/>
      <c r="GNH85" s="1185"/>
      <c r="GNI85" s="1185"/>
      <c r="GNJ85" s="1185"/>
      <c r="GNK85" s="1185"/>
      <c r="GNL85" s="1185"/>
      <c r="GNM85" s="1185"/>
      <c r="GNN85" s="1185"/>
      <c r="GNO85" s="1185"/>
      <c r="GNP85" s="1185"/>
      <c r="GNQ85" s="1185"/>
      <c r="GNR85" s="1185"/>
      <c r="GNS85" s="1185"/>
      <c r="GNT85" s="1185"/>
      <c r="GNU85" s="1185"/>
      <c r="GNV85" s="1185"/>
      <c r="GNW85" s="1185"/>
      <c r="GNX85" s="1185"/>
      <c r="GNY85" s="1185"/>
      <c r="GNZ85" s="1185"/>
      <c r="GOA85" s="1185"/>
      <c r="GOB85" s="1185"/>
      <c r="GOC85" s="1185"/>
      <c r="GOD85" s="1185"/>
      <c r="GOE85" s="1185"/>
      <c r="GOF85" s="1185"/>
      <c r="GOG85" s="1185"/>
      <c r="GOH85" s="1185"/>
      <c r="GOI85" s="1185"/>
      <c r="GOJ85" s="1185"/>
      <c r="GOK85" s="1185"/>
      <c r="GOL85" s="1185"/>
      <c r="GOM85" s="1185"/>
      <c r="GON85" s="1185"/>
      <c r="GOO85" s="1185"/>
      <c r="GOP85" s="1185"/>
      <c r="GOQ85" s="1185"/>
      <c r="GOR85" s="1185"/>
      <c r="GOS85" s="1185"/>
      <c r="GOT85" s="1185"/>
      <c r="GOU85" s="1185"/>
      <c r="GOV85" s="1185"/>
      <c r="GOW85" s="1185"/>
      <c r="GOX85" s="1185"/>
      <c r="GOY85" s="1185"/>
      <c r="GOZ85" s="1185"/>
      <c r="GPA85" s="1185"/>
      <c r="GPB85" s="1185"/>
      <c r="GPC85" s="1185"/>
      <c r="GPD85" s="1185"/>
      <c r="GPE85" s="1185"/>
      <c r="GPF85" s="1185"/>
      <c r="GPG85" s="1185"/>
      <c r="GPH85" s="1185"/>
      <c r="GPI85" s="1185"/>
      <c r="GPJ85" s="1185"/>
      <c r="GPK85" s="1185"/>
      <c r="GPL85" s="1185"/>
      <c r="GPM85" s="1185"/>
      <c r="GPN85" s="1185"/>
      <c r="GPO85" s="1185"/>
      <c r="GPP85" s="1185"/>
      <c r="GPQ85" s="1185"/>
      <c r="GPR85" s="1185"/>
      <c r="GPS85" s="1185"/>
      <c r="GPT85" s="1185"/>
      <c r="GPU85" s="1185"/>
      <c r="GPV85" s="1185"/>
      <c r="GPW85" s="1185"/>
      <c r="GPX85" s="1185"/>
      <c r="GPY85" s="1185"/>
      <c r="GPZ85" s="1185"/>
      <c r="GQA85" s="1185"/>
      <c r="GQB85" s="1185"/>
      <c r="GQC85" s="1185"/>
      <c r="GQD85" s="1185"/>
      <c r="GQE85" s="1185"/>
      <c r="GQF85" s="1185"/>
      <c r="GQG85" s="1185"/>
      <c r="GQH85" s="1185"/>
      <c r="GQI85" s="1185"/>
      <c r="GQJ85" s="1185"/>
      <c r="GQK85" s="1185"/>
      <c r="GQL85" s="1185"/>
      <c r="GQM85" s="1185"/>
      <c r="GQN85" s="1185"/>
      <c r="GQO85" s="1185"/>
      <c r="GQP85" s="1185"/>
      <c r="GQQ85" s="1185"/>
      <c r="GQR85" s="1185"/>
      <c r="GQS85" s="1185"/>
      <c r="GQT85" s="1185"/>
      <c r="GQU85" s="1185"/>
      <c r="GQV85" s="1185"/>
      <c r="GQW85" s="1185"/>
      <c r="GQX85" s="1185"/>
      <c r="GQY85" s="1185"/>
      <c r="GQZ85" s="1185"/>
      <c r="GRA85" s="1185"/>
      <c r="GRB85" s="1185"/>
      <c r="GRC85" s="1185"/>
      <c r="GRD85" s="1185"/>
      <c r="GRE85" s="1185"/>
      <c r="GRF85" s="1185"/>
      <c r="GRG85" s="1185"/>
      <c r="GRH85" s="1185"/>
      <c r="GRI85" s="1185"/>
      <c r="GRJ85" s="1185"/>
      <c r="GRK85" s="1185"/>
      <c r="GRL85" s="1185"/>
      <c r="GRM85" s="1185"/>
      <c r="GRN85" s="1185"/>
      <c r="GRO85" s="1185"/>
      <c r="GRP85" s="1185"/>
      <c r="GRQ85" s="1185"/>
      <c r="GRR85" s="1185"/>
      <c r="GRS85" s="1185"/>
      <c r="GRT85" s="1185"/>
      <c r="GRU85" s="1185"/>
      <c r="GRV85" s="1185"/>
      <c r="GRW85" s="1185"/>
      <c r="GRX85" s="1185"/>
      <c r="GRY85" s="1185"/>
      <c r="GRZ85" s="1185"/>
      <c r="GSA85" s="1185"/>
      <c r="GSB85" s="1185"/>
      <c r="GSC85" s="1185"/>
      <c r="GSD85" s="1185"/>
      <c r="GSE85" s="1185"/>
      <c r="GSF85" s="1185"/>
      <c r="GSG85" s="1185"/>
      <c r="GSH85" s="1185"/>
      <c r="GSI85" s="1185"/>
      <c r="GSJ85" s="1185"/>
      <c r="GSK85" s="1185"/>
      <c r="GSL85" s="1185"/>
      <c r="GSM85" s="1185"/>
      <c r="GSN85" s="1185"/>
      <c r="GSO85" s="1185"/>
      <c r="GSP85" s="1185"/>
      <c r="GSQ85" s="1185"/>
      <c r="GSR85" s="1185"/>
      <c r="GSS85" s="1185"/>
      <c r="GST85" s="1185"/>
      <c r="GSU85" s="1185"/>
      <c r="GSV85" s="1185"/>
      <c r="GSW85" s="1185"/>
      <c r="GSX85" s="1185"/>
      <c r="GSY85" s="1185"/>
      <c r="GSZ85" s="1185"/>
      <c r="GTA85" s="1185"/>
      <c r="GTB85" s="1185"/>
      <c r="GTC85" s="1185"/>
      <c r="GTD85" s="1185"/>
      <c r="GTE85" s="1185"/>
      <c r="GTF85" s="1185"/>
      <c r="GTG85" s="1185"/>
      <c r="GTH85" s="1185"/>
      <c r="GTI85" s="1185"/>
      <c r="GTJ85" s="1185"/>
      <c r="GTK85" s="1185"/>
      <c r="GTL85" s="1185"/>
      <c r="GTM85" s="1185"/>
      <c r="GTN85" s="1185"/>
      <c r="GTO85" s="1185"/>
      <c r="GTP85" s="1185"/>
      <c r="GTQ85" s="1185"/>
      <c r="GTR85" s="1185"/>
      <c r="GTS85" s="1185"/>
      <c r="GTT85" s="1185"/>
      <c r="GTU85" s="1185"/>
      <c r="GTV85" s="1185"/>
      <c r="GTW85" s="1185"/>
      <c r="GTX85" s="1185"/>
      <c r="GTY85" s="1185"/>
      <c r="GTZ85" s="1185"/>
      <c r="GUA85" s="1185"/>
      <c r="GUB85" s="1185"/>
      <c r="GUC85" s="1185"/>
      <c r="GUD85" s="1185"/>
      <c r="GUE85" s="1185"/>
      <c r="GUF85" s="1185"/>
      <c r="GUG85" s="1185"/>
      <c r="GUH85" s="1185"/>
      <c r="GUI85" s="1185"/>
      <c r="GUJ85" s="1185"/>
      <c r="GUK85" s="1185"/>
      <c r="GUL85" s="1185"/>
      <c r="GUM85" s="1185"/>
      <c r="GUN85" s="1185"/>
      <c r="GUO85" s="1185"/>
      <c r="GUP85" s="1185"/>
      <c r="GUQ85" s="1185"/>
      <c r="GUR85" s="1185"/>
      <c r="GUS85" s="1185"/>
      <c r="GUT85" s="1185"/>
      <c r="GUU85" s="1185"/>
      <c r="GUV85" s="1185"/>
      <c r="GUW85" s="1185"/>
      <c r="GUX85" s="1185"/>
      <c r="GUY85" s="1185"/>
      <c r="GUZ85" s="1185"/>
      <c r="GVA85" s="1185"/>
      <c r="GVB85" s="1185"/>
      <c r="GVC85" s="1185"/>
      <c r="GVD85" s="1185"/>
      <c r="GVE85" s="1185"/>
      <c r="GVF85" s="1185"/>
      <c r="GVG85" s="1185"/>
      <c r="GVH85" s="1185"/>
      <c r="GVI85" s="1185"/>
      <c r="GVJ85" s="1185"/>
      <c r="GVK85" s="1185"/>
      <c r="GVL85" s="1185"/>
      <c r="GVM85" s="1185"/>
      <c r="GVN85" s="1185"/>
      <c r="GVO85" s="1185"/>
      <c r="GVP85" s="1185"/>
      <c r="GVQ85" s="1185"/>
      <c r="GVR85" s="1185"/>
      <c r="GVS85" s="1185"/>
      <c r="GVT85" s="1185"/>
      <c r="GVU85" s="1185"/>
      <c r="GVV85" s="1185"/>
      <c r="GVW85" s="1185"/>
      <c r="GVX85" s="1185"/>
      <c r="GVY85" s="1185"/>
      <c r="GVZ85" s="1185"/>
      <c r="GWA85" s="1185"/>
      <c r="GWB85" s="1185"/>
      <c r="GWC85" s="1185"/>
      <c r="GWD85" s="1185"/>
      <c r="GWE85" s="1185"/>
      <c r="GWF85" s="1185"/>
      <c r="GWG85" s="1185"/>
      <c r="GWH85" s="1185"/>
      <c r="GWI85" s="1185"/>
      <c r="GWJ85" s="1185"/>
      <c r="GWK85" s="1185"/>
      <c r="GWL85" s="1185"/>
      <c r="GWM85" s="1185"/>
      <c r="GWN85" s="1185"/>
      <c r="GWO85" s="1185"/>
      <c r="GWP85" s="1185"/>
      <c r="GWQ85" s="1185"/>
      <c r="GWR85" s="1185"/>
      <c r="GWS85" s="1185"/>
      <c r="GWT85" s="1185"/>
      <c r="GWU85" s="1185"/>
      <c r="GWV85" s="1185"/>
      <c r="GWW85" s="1185"/>
      <c r="GWX85" s="1185"/>
      <c r="GWY85" s="1185"/>
      <c r="GWZ85" s="1185"/>
      <c r="GXA85" s="1185"/>
      <c r="GXB85" s="1185"/>
      <c r="GXC85" s="1185"/>
      <c r="GXD85" s="1185"/>
      <c r="GXE85" s="1185"/>
      <c r="GXF85" s="1185"/>
      <c r="GXG85" s="1185"/>
      <c r="GXH85" s="1185"/>
      <c r="GXI85" s="1185"/>
      <c r="GXJ85" s="1185"/>
      <c r="GXK85" s="1185"/>
      <c r="GXL85" s="1185"/>
      <c r="GXM85" s="1185"/>
      <c r="GXN85" s="1185"/>
      <c r="GXO85" s="1185"/>
      <c r="GXP85" s="1185"/>
      <c r="GXQ85" s="1185"/>
      <c r="GXR85" s="1185"/>
      <c r="GXS85" s="1185"/>
      <c r="GXT85" s="1185"/>
      <c r="GXU85" s="1185"/>
      <c r="GXV85" s="1185"/>
      <c r="GXW85" s="1185"/>
      <c r="GXX85" s="1185"/>
      <c r="GXY85" s="1185"/>
      <c r="GXZ85" s="1185"/>
      <c r="GYA85" s="1185"/>
      <c r="GYB85" s="1185"/>
      <c r="GYC85" s="1185"/>
      <c r="GYD85" s="1185"/>
      <c r="GYE85" s="1185"/>
      <c r="GYF85" s="1185"/>
      <c r="GYG85" s="1185"/>
      <c r="GYH85" s="1185"/>
      <c r="GYI85" s="1185"/>
      <c r="GYJ85" s="1185"/>
      <c r="GYK85" s="1185"/>
      <c r="GYL85" s="1185"/>
      <c r="GYM85" s="1185"/>
      <c r="GYN85" s="1185"/>
      <c r="GYO85" s="1185"/>
      <c r="GYP85" s="1185"/>
      <c r="GYQ85" s="1185"/>
      <c r="GYR85" s="1185"/>
      <c r="GYS85" s="1185"/>
      <c r="GYT85" s="1185"/>
      <c r="GYU85" s="1185"/>
      <c r="GYV85" s="1185"/>
      <c r="GYW85" s="1185"/>
      <c r="GYX85" s="1185"/>
      <c r="GYY85" s="1185"/>
      <c r="GYZ85" s="1185"/>
      <c r="GZA85" s="1185"/>
      <c r="GZB85" s="1185"/>
      <c r="GZC85" s="1185"/>
      <c r="GZD85" s="1185"/>
      <c r="GZE85" s="1185"/>
      <c r="GZF85" s="1185"/>
      <c r="GZG85" s="1185"/>
      <c r="GZH85" s="1185"/>
      <c r="GZI85" s="1185"/>
      <c r="GZJ85" s="1185"/>
      <c r="GZK85" s="1185"/>
      <c r="GZL85" s="1185"/>
      <c r="GZM85" s="1185"/>
      <c r="GZN85" s="1185"/>
      <c r="GZO85" s="1185"/>
      <c r="GZP85" s="1185"/>
      <c r="GZQ85" s="1185"/>
      <c r="GZR85" s="1185"/>
      <c r="GZS85" s="1185"/>
      <c r="GZT85" s="1185"/>
      <c r="GZU85" s="1185"/>
      <c r="GZV85" s="1185"/>
      <c r="GZW85" s="1185"/>
      <c r="GZX85" s="1185"/>
      <c r="GZY85" s="1185"/>
      <c r="GZZ85" s="1185"/>
      <c r="HAA85" s="1185"/>
      <c r="HAB85" s="1185"/>
      <c r="HAC85" s="1185"/>
      <c r="HAD85" s="1185"/>
      <c r="HAE85" s="1185"/>
      <c r="HAF85" s="1185"/>
      <c r="HAG85" s="1185"/>
      <c r="HAH85" s="1185"/>
      <c r="HAI85" s="1185"/>
      <c r="HAJ85" s="1185"/>
      <c r="HAK85" s="1185"/>
      <c r="HAL85" s="1185"/>
      <c r="HAM85" s="1185"/>
      <c r="HAN85" s="1185"/>
      <c r="HAO85" s="1185"/>
      <c r="HAP85" s="1185"/>
      <c r="HAQ85" s="1185"/>
      <c r="HAR85" s="1185"/>
      <c r="HAS85" s="1185"/>
      <c r="HAT85" s="1185"/>
      <c r="HAU85" s="1185"/>
      <c r="HAV85" s="1185"/>
      <c r="HAW85" s="1185"/>
      <c r="HAX85" s="1185"/>
      <c r="HAY85" s="1185"/>
      <c r="HAZ85" s="1185"/>
      <c r="HBA85" s="1185"/>
      <c r="HBB85" s="1185"/>
      <c r="HBC85" s="1185"/>
      <c r="HBD85" s="1185"/>
      <c r="HBE85" s="1185"/>
      <c r="HBF85" s="1185"/>
      <c r="HBG85" s="1185"/>
      <c r="HBH85" s="1185"/>
      <c r="HBI85" s="1185"/>
      <c r="HBJ85" s="1185"/>
      <c r="HBK85" s="1185"/>
      <c r="HBL85" s="1185"/>
      <c r="HBM85" s="1185"/>
      <c r="HBN85" s="1185"/>
      <c r="HBO85" s="1185"/>
      <c r="HBP85" s="1185"/>
      <c r="HBQ85" s="1185"/>
      <c r="HBR85" s="1185"/>
      <c r="HBS85" s="1185"/>
      <c r="HBT85" s="1185"/>
      <c r="HBU85" s="1185"/>
      <c r="HBV85" s="1185"/>
      <c r="HBW85" s="1185"/>
      <c r="HBX85" s="1185"/>
      <c r="HBY85" s="1185"/>
      <c r="HBZ85" s="1185"/>
      <c r="HCA85" s="1185"/>
      <c r="HCB85" s="1185"/>
      <c r="HCC85" s="1185"/>
      <c r="HCD85" s="1185"/>
      <c r="HCE85" s="1185"/>
      <c r="HCF85" s="1185"/>
      <c r="HCG85" s="1185"/>
      <c r="HCH85" s="1185"/>
      <c r="HCI85" s="1185"/>
      <c r="HCJ85" s="1185"/>
      <c r="HCK85" s="1185"/>
      <c r="HCL85" s="1185"/>
      <c r="HCM85" s="1185"/>
      <c r="HCN85" s="1185"/>
      <c r="HCO85" s="1185"/>
      <c r="HCP85" s="1185"/>
      <c r="HCQ85" s="1185"/>
      <c r="HCR85" s="1185"/>
      <c r="HCS85" s="1185"/>
      <c r="HCT85" s="1185"/>
      <c r="HCU85" s="1185"/>
      <c r="HCV85" s="1185"/>
      <c r="HCW85" s="1185"/>
      <c r="HCX85" s="1185"/>
      <c r="HCY85" s="1185"/>
      <c r="HCZ85" s="1185"/>
      <c r="HDA85" s="1185"/>
      <c r="HDB85" s="1185"/>
      <c r="HDC85" s="1185"/>
      <c r="HDD85" s="1185"/>
      <c r="HDE85" s="1185"/>
      <c r="HDF85" s="1185"/>
      <c r="HDG85" s="1185"/>
      <c r="HDH85" s="1185"/>
      <c r="HDI85" s="1185"/>
      <c r="HDJ85" s="1185"/>
      <c r="HDK85" s="1185"/>
      <c r="HDL85" s="1185"/>
      <c r="HDM85" s="1185"/>
      <c r="HDN85" s="1185"/>
      <c r="HDO85" s="1185"/>
      <c r="HDP85" s="1185"/>
      <c r="HDQ85" s="1185"/>
      <c r="HDR85" s="1185"/>
      <c r="HDS85" s="1185"/>
      <c r="HDT85" s="1185"/>
      <c r="HDU85" s="1185"/>
      <c r="HDV85" s="1185"/>
      <c r="HDW85" s="1185"/>
      <c r="HDX85" s="1185"/>
      <c r="HDY85" s="1185"/>
      <c r="HDZ85" s="1185"/>
      <c r="HEA85" s="1185"/>
      <c r="HEB85" s="1185"/>
      <c r="HEC85" s="1185"/>
      <c r="HED85" s="1185"/>
      <c r="HEE85" s="1185"/>
      <c r="HEF85" s="1185"/>
      <c r="HEG85" s="1185"/>
      <c r="HEH85" s="1185"/>
      <c r="HEI85" s="1185"/>
      <c r="HEJ85" s="1185"/>
      <c r="HEK85" s="1185"/>
      <c r="HEL85" s="1185"/>
      <c r="HEM85" s="1185"/>
      <c r="HEN85" s="1185"/>
      <c r="HEO85" s="1185"/>
      <c r="HEP85" s="1185"/>
      <c r="HEQ85" s="1185"/>
      <c r="HER85" s="1185"/>
      <c r="HES85" s="1185"/>
      <c r="HET85" s="1185"/>
      <c r="HEU85" s="1185"/>
      <c r="HEV85" s="1185"/>
      <c r="HEW85" s="1185"/>
      <c r="HEX85" s="1185"/>
      <c r="HEY85" s="1185"/>
      <c r="HEZ85" s="1185"/>
      <c r="HFA85" s="1185"/>
      <c r="HFB85" s="1185"/>
      <c r="HFC85" s="1185"/>
      <c r="HFD85" s="1185"/>
      <c r="HFE85" s="1185"/>
      <c r="HFF85" s="1185"/>
      <c r="HFG85" s="1185"/>
      <c r="HFH85" s="1185"/>
      <c r="HFI85" s="1185"/>
      <c r="HFJ85" s="1185"/>
      <c r="HFK85" s="1185"/>
      <c r="HFL85" s="1185"/>
      <c r="HFM85" s="1185"/>
      <c r="HFN85" s="1185"/>
      <c r="HFO85" s="1185"/>
      <c r="HFP85" s="1185"/>
      <c r="HFQ85" s="1185"/>
      <c r="HFR85" s="1185"/>
      <c r="HFS85" s="1185"/>
      <c r="HFT85" s="1185"/>
      <c r="HFU85" s="1185"/>
      <c r="HFV85" s="1185"/>
      <c r="HFW85" s="1185"/>
      <c r="HFX85" s="1185"/>
      <c r="HFY85" s="1185"/>
      <c r="HFZ85" s="1185"/>
      <c r="HGA85" s="1185"/>
      <c r="HGB85" s="1185"/>
      <c r="HGC85" s="1185"/>
      <c r="HGD85" s="1185"/>
      <c r="HGE85" s="1185"/>
      <c r="HGF85" s="1185"/>
      <c r="HGG85" s="1185"/>
      <c r="HGH85" s="1185"/>
      <c r="HGI85" s="1185"/>
      <c r="HGJ85" s="1185"/>
      <c r="HGK85" s="1185"/>
      <c r="HGL85" s="1185"/>
      <c r="HGM85" s="1185"/>
      <c r="HGN85" s="1185"/>
      <c r="HGO85" s="1185"/>
      <c r="HGP85" s="1185"/>
      <c r="HGQ85" s="1185"/>
      <c r="HGR85" s="1185"/>
      <c r="HGS85" s="1185"/>
      <c r="HGT85" s="1185"/>
      <c r="HGU85" s="1185"/>
      <c r="HGV85" s="1185"/>
      <c r="HGW85" s="1185"/>
      <c r="HGX85" s="1185"/>
      <c r="HGY85" s="1185"/>
      <c r="HGZ85" s="1185"/>
      <c r="HHA85" s="1185"/>
      <c r="HHB85" s="1185"/>
      <c r="HHC85" s="1185"/>
      <c r="HHD85" s="1185"/>
      <c r="HHE85" s="1185"/>
      <c r="HHF85" s="1185"/>
      <c r="HHG85" s="1185"/>
      <c r="HHH85" s="1185"/>
      <c r="HHI85" s="1185"/>
      <c r="HHJ85" s="1185"/>
      <c r="HHK85" s="1185"/>
      <c r="HHL85" s="1185"/>
      <c r="HHM85" s="1185"/>
      <c r="HHN85" s="1185"/>
      <c r="HHO85" s="1185"/>
      <c r="HHP85" s="1185"/>
      <c r="HHQ85" s="1185"/>
      <c r="HHR85" s="1185"/>
      <c r="HHS85" s="1185"/>
      <c r="HHT85" s="1185"/>
      <c r="HHU85" s="1185"/>
      <c r="HHV85" s="1185"/>
      <c r="HHW85" s="1185"/>
      <c r="HHX85" s="1185"/>
      <c r="HHY85" s="1185"/>
      <c r="HHZ85" s="1185"/>
      <c r="HIA85" s="1185"/>
      <c r="HIB85" s="1185"/>
      <c r="HIC85" s="1185"/>
      <c r="HID85" s="1185"/>
      <c r="HIE85" s="1185"/>
      <c r="HIF85" s="1185"/>
      <c r="HIG85" s="1185"/>
      <c r="HIH85" s="1185"/>
      <c r="HII85" s="1185"/>
      <c r="HIJ85" s="1185"/>
      <c r="HIK85" s="1185"/>
      <c r="HIL85" s="1185"/>
      <c r="HIM85" s="1185"/>
      <c r="HIN85" s="1185"/>
      <c r="HIO85" s="1185"/>
      <c r="HIP85" s="1185"/>
      <c r="HIQ85" s="1185"/>
      <c r="HIR85" s="1185"/>
      <c r="HIS85" s="1185"/>
      <c r="HIT85" s="1185"/>
      <c r="HIU85" s="1185"/>
      <c r="HIV85" s="1185"/>
      <c r="HIW85" s="1185"/>
      <c r="HIX85" s="1185"/>
      <c r="HIY85" s="1185"/>
      <c r="HIZ85" s="1185"/>
      <c r="HJA85" s="1185"/>
      <c r="HJB85" s="1185"/>
      <c r="HJC85" s="1185"/>
      <c r="HJD85" s="1185"/>
      <c r="HJE85" s="1185"/>
      <c r="HJF85" s="1185"/>
      <c r="HJG85" s="1185"/>
      <c r="HJH85" s="1185"/>
      <c r="HJI85" s="1185"/>
      <c r="HJJ85" s="1185"/>
      <c r="HJK85" s="1185"/>
      <c r="HJL85" s="1185"/>
      <c r="HJM85" s="1185"/>
      <c r="HJN85" s="1185"/>
      <c r="HJO85" s="1185"/>
      <c r="HJP85" s="1185"/>
      <c r="HJQ85" s="1185"/>
      <c r="HJR85" s="1185"/>
      <c r="HJS85" s="1185"/>
      <c r="HJT85" s="1185"/>
      <c r="HJU85" s="1185"/>
      <c r="HJV85" s="1185"/>
      <c r="HJW85" s="1185"/>
      <c r="HJX85" s="1185"/>
      <c r="HJY85" s="1185"/>
      <c r="HJZ85" s="1185"/>
      <c r="HKA85" s="1185"/>
      <c r="HKB85" s="1185"/>
      <c r="HKC85" s="1185"/>
      <c r="HKD85" s="1185"/>
      <c r="HKE85" s="1185"/>
      <c r="HKF85" s="1185"/>
      <c r="HKG85" s="1185"/>
      <c r="HKH85" s="1185"/>
      <c r="HKI85" s="1185"/>
      <c r="HKJ85" s="1185"/>
      <c r="HKK85" s="1185"/>
      <c r="HKL85" s="1185"/>
      <c r="HKM85" s="1185"/>
      <c r="HKN85" s="1185"/>
      <c r="HKO85" s="1185"/>
      <c r="HKP85" s="1185"/>
      <c r="HKQ85" s="1185"/>
      <c r="HKR85" s="1185"/>
      <c r="HKS85" s="1185"/>
      <c r="HKT85" s="1185"/>
      <c r="HKU85" s="1185"/>
      <c r="HKV85" s="1185"/>
      <c r="HKW85" s="1185"/>
      <c r="HKX85" s="1185"/>
      <c r="HKY85" s="1185"/>
      <c r="HKZ85" s="1185"/>
      <c r="HLA85" s="1185"/>
      <c r="HLB85" s="1185"/>
      <c r="HLC85" s="1185"/>
      <c r="HLD85" s="1185"/>
      <c r="HLE85" s="1185"/>
      <c r="HLF85" s="1185"/>
      <c r="HLG85" s="1185"/>
      <c r="HLH85" s="1185"/>
      <c r="HLI85" s="1185"/>
      <c r="HLJ85" s="1185"/>
      <c r="HLK85" s="1185"/>
      <c r="HLL85" s="1185"/>
      <c r="HLM85" s="1185"/>
      <c r="HLN85" s="1185"/>
      <c r="HLO85" s="1185"/>
      <c r="HLP85" s="1185"/>
      <c r="HLQ85" s="1185"/>
      <c r="HLR85" s="1185"/>
      <c r="HLS85" s="1185"/>
      <c r="HLT85" s="1185"/>
      <c r="HLU85" s="1185"/>
      <c r="HLV85" s="1185"/>
      <c r="HLW85" s="1185"/>
      <c r="HLX85" s="1185"/>
      <c r="HLY85" s="1185"/>
      <c r="HLZ85" s="1185"/>
      <c r="HMA85" s="1185"/>
      <c r="HMB85" s="1185"/>
      <c r="HMC85" s="1185"/>
      <c r="HMD85" s="1185"/>
      <c r="HME85" s="1185"/>
      <c r="HMF85" s="1185"/>
      <c r="HMG85" s="1185"/>
      <c r="HMH85" s="1185"/>
      <c r="HMI85" s="1185"/>
      <c r="HMJ85" s="1185"/>
      <c r="HMK85" s="1185"/>
      <c r="HML85" s="1185"/>
      <c r="HMM85" s="1185"/>
      <c r="HMN85" s="1185"/>
      <c r="HMO85" s="1185"/>
      <c r="HMP85" s="1185"/>
      <c r="HMQ85" s="1185"/>
      <c r="HMR85" s="1185"/>
      <c r="HMS85" s="1185"/>
      <c r="HMT85" s="1185"/>
      <c r="HMU85" s="1185"/>
      <c r="HMV85" s="1185"/>
      <c r="HMW85" s="1185"/>
      <c r="HMX85" s="1185"/>
      <c r="HMY85" s="1185"/>
      <c r="HMZ85" s="1185"/>
      <c r="HNA85" s="1185"/>
      <c r="HNB85" s="1185"/>
      <c r="HNC85" s="1185"/>
      <c r="HND85" s="1185"/>
      <c r="HNE85" s="1185"/>
      <c r="HNF85" s="1185"/>
      <c r="HNG85" s="1185"/>
      <c r="HNH85" s="1185"/>
      <c r="HNI85" s="1185"/>
      <c r="HNJ85" s="1185"/>
      <c r="HNK85" s="1185"/>
      <c r="HNL85" s="1185"/>
      <c r="HNM85" s="1185"/>
      <c r="HNN85" s="1185"/>
      <c r="HNO85" s="1185"/>
      <c r="HNP85" s="1185"/>
      <c r="HNQ85" s="1185"/>
      <c r="HNR85" s="1185"/>
      <c r="HNS85" s="1185"/>
      <c r="HNT85" s="1185"/>
      <c r="HNU85" s="1185"/>
      <c r="HNV85" s="1185"/>
      <c r="HNW85" s="1185"/>
      <c r="HNX85" s="1185"/>
      <c r="HNY85" s="1185"/>
      <c r="HNZ85" s="1185"/>
      <c r="HOA85" s="1185"/>
      <c r="HOB85" s="1185"/>
      <c r="HOC85" s="1185"/>
      <c r="HOD85" s="1185"/>
      <c r="HOE85" s="1185"/>
      <c r="HOF85" s="1185"/>
      <c r="HOG85" s="1185"/>
      <c r="HOH85" s="1185"/>
      <c r="HOI85" s="1185"/>
      <c r="HOJ85" s="1185"/>
      <c r="HOK85" s="1185"/>
      <c r="HOL85" s="1185"/>
      <c r="HOM85" s="1185"/>
      <c r="HON85" s="1185"/>
      <c r="HOO85" s="1185"/>
      <c r="HOP85" s="1185"/>
      <c r="HOQ85" s="1185"/>
      <c r="HOR85" s="1185"/>
      <c r="HOS85" s="1185"/>
      <c r="HOT85" s="1185"/>
      <c r="HOU85" s="1185"/>
      <c r="HOV85" s="1185"/>
      <c r="HOW85" s="1185"/>
      <c r="HOX85" s="1185"/>
      <c r="HOY85" s="1185"/>
      <c r="HOZ85" s="1185"/>
      <c r="HPA85" s="1185"/>
      <c r="HPB85" s="1185"/>
      <c r="HPC85" s="1185"/>
      <c r="HPD85" s="1185"/>
      <c r="HPE85" s="1185"/>
      <c r="HPF85" s="1185"/>
      <c r="HPG85" s="1185"/>
      <c r="HPH85" s="1185"/>
      <c r="HPI85" s="1185"/>
      <c r="HPJ85" s="1185"/>
      <c r="HPK85" s="1185"/>
      <c r="HPL85" s="1185"/>
      <c r="HPM85" s="1185"/>
      <c r="HPN85" s="1185"/>
      <c r="HPO85" s="1185"/>
      <c r="HPP85" s="1185"/>
      <c r="HPQ85" s="1185"/>
      <c r="HPR85" s="1185"/>
      <c r="HPS85" s="1185"/>
      <c r="HPT85" s="1185"/>
      <c r="HPU85" s="1185"/>
      <c r="HPV85" s="1185"/>
      <c r="HPW85" s="1185"/>
      <c r="HPX85" s="1185"/>
      <c r="HPY85" s="1185"/>
      <c r="HPZ85" s="1185"/>
      <c r="HQA85" s="1185"/>
      <c r="HQB85" s="1185"/>
      <c r="HQC85" s="1185"/>
      <c r="HQD85" s="1185"/>
      <c r="HQE85" s="1185"/>
      <c r="HQF85" s="1185"/>
      <c r="HQG85" s="1185"/>
      <c r="HQH85" s="1185"/>
      <c r="HQI85" s="1185"/>
      <c r="HQJ85" s="1185"/>
      <c r="HQK85" s="1185"/>
      <c r="HQL85" s="1185"/>
      <c r="HQM85" s="1185"/>
      <c r="HQN85" s="1185"/>
      <c r="HQO85" s="1185"/>
      <c r="HQP85" s="1185"/>
      <c r="HQQ85" s="1185"/>
      <c r="HQR85" s="1185"/>
      <c r="HQS85" s="1185"/>
      <c r="HQT85" s="1185"/>
      <c r="HQU85" s="1185"/>
      <c r="HQV85" s="1185"/>
      <c r="HQW85" s="1185"/>
      <c r="HQX85" s="1185"/>
      <c r="HQY85" s="1185"/>
      <c r="HQZ85" s="1185"/>
      <c r="HRA85" s="1185"/>
      <c r="HRB85" s="1185"/>
      <c r="HRC85" s="1185"/>
      <c r="HRD85" s="1185"/>
      <c r="HRE85" s="1185"/>
      <c r="HRF85" s="1185"/>
      <c r="HRG85" s="1185"/>
      <c r="HRH85" s="1185"/>
      <c r="HRI85" s="1185"/>
      <c r="HRJ85" s="1185"/>
      <c r="HRK85" s="1185"/>
      <c r="HRL85" s="1185"/>
      <c r="HRM85" s="1185"/>
      <c r="HRN85" s="1185"/>
      <c r="HRO85" s="1185"/>
      <c r="HRP85" s="1185"/>
      <c r="HRQ85" s="1185"/>
      <c r="HRR85" s="1185"/>
      <c r="HRS85" s="1185"/>
      <c r="HRT85" s="1185"/>
      <c r="HRU85" s="1185"/>
      <c r="HRV85" s="1185"/>
      <c r="HRW85" s="1185"/>
      <c r="HRX85" s="1185"/>
      <c r="HRY85" s="1185"/>
      <c r="HRZ85" s="1185"/>
      <c r="HSA85" s="1185"/>
      <c r="HSB85" s="1185"/>
      <c r="HSC85" s="1185"/>
      <c r="HSD85" s="1185"/>
      <c r="HSE85" s="1185"/>
      <c r="HSF85" s="1185"/>
      <c r="HSG85" s="1185"/>
      <c r="HSH85" s="1185"/>
      <c r="HSI85" s="1185"/>
      <c r="HSJ85" s="1185"/>
      <c r="HSK85" s="1185"/>
      <c r="HSL85" s="1185"/>
      <c r="HSM85" s="1185"/>
      <c r="HSN85" s="1185"/>
      <c r="HSO85" s="1185"/>
      <c r="HSP85" s="1185"/>
      <c r="HSQ85" s="1185"/>
      <c r="HSR85" s="1185"/>
      <c r="HSS85" s="1185"/>
      <c r="HST85" s="1185"/>
      <c r="HSU85" s="1185"/>
      <c r="HSV85" s="1185"/>
      <c r="HSW85" s="1185"/>
      <c r="HSX85" s="1185"/>
      <c r="HSY85" s="1185"/>
      <c r="HSZ85" s="1185"/>
      <c r="HTA85" s="1185"/>
      <c r="HTB85" s="1185"/>
      <c r="HTC85" s="1185"/>
      <c r="HTD85" s="1185"/>
      <c r="HTE85" s="1185"/>
      <c r="HTF85" s="1185"/>
      <c r="HTG85" s="1185"/>
      <c r="HTH85" s="1185"/>
      <c r="HTI85" s="1185"/>
      <c r="HTJ85" s="1185"/>
      <c r="HTK85" s="1185"/>
      <c r="HTL85" s="1185"/>
      <c r="HTM85" s="1185"/>
      <c r="HTN85" s="1185"/>
      <c r="HTO85" s="1185"/>
      <c r="HTP85" s="1185"/>
      <c r="HTQ85" s="1185"/>
      <c r="HTR85" s="1185"/>
      <c r="HTS85" s="1185"/>
      <c r="HTT85" s="1185"/>
      <c r="HTU85" s="1185"/>
      <c r="HTV85" s="1185"/>
      <c r="HTW85" s="1185"/>
      <c r="HTX85" s="1185"/>
      <c r="HTY85" s="1185"/>
      <c r="HTZ85" s="1185"/>
      <c r="HUA85" s="1185"/>
      <c r="HUB85" s="1185"/>
      <c r="HUC85" s="1185"/>
      <c r="HUD85" s="1185"/>
      <c r="HUE85" s="1185"/>
      <c r="HUF85" s="1185"/>
      <c r="HUG85" s="1185"/>
      <c r="HUH85" s="1185"/>
      <c r="HUI85" s="1185"/>
      <c r="HUJ85" s="1185"/>
      <c r="HUK85" s="1185"/>
      <c r="HUL85" s="1185"/>
      <c r="HUM85" s="1185"/>
      <c r="HUN85" s="1185"/>
      <c r="HUO85" s="1185"/>
      <c r="HUP85" s="1185"/>
      <c r="HUQ85" s="1185"/>
      <c r="HUR85" s="1185"/>
      <c r="HUS85" s="1185"/>
      <c r="HUT85" s="1185"/>
      <c r="HUU85" s="1185"/>
      <c r="HUV85" s="1185"/>
      <c r="HUW85" s="1185"/>
      <c r="HUX85" s="1185"/>
      <c r="HUY85" s="1185"/>
      <c r="HUZ85" s="1185"/>
      <c r="HVA85" s="1185"/>
      <c r="HVB85" s="1185"/>
      <c r="HVC85" s="1185"/>
      <c r="HVD85" s="1185"/>
      <c r="HVE85" s="1185"/>
      <c r="HVF85" s="1185"/>
      <c r="HVG85" s="1185"/>
      <c r="HVH85" s="1185"/>
      <c r="HVI85" s="1185"/>
      <c r="HVJ85" s="1185"/>
      <c r="HVK85" s="1185"/>
      <c r="HVL85" s="1185"/>
      <c r="HVM85" s="1185"/>
      <c r="HVN85" s="1185"/>
      <c r="HVO85" s="1185"/>
      <c r="HVP85" s="1185"/>
      <c r="HVQ85" s="1185"/>
      <c r="HVR85" s="1185"/>
      <c r="HVS85" s="1185"/>
      <c r="HVT85" s="1185"/>
      <c r="HVU85" s="1185"/>
      <c r="HVV85" s="1185"/>
      <c r="HVW85" s="1185"/>
      <c r="HVX85" s="1185"/>
      <c r="HVY85" s="1185"/>
      <c r="HVZ85" s="1185"/>
      <c r="HWA85" s="1185"/>
      <c r="HWB85" s="1185"/>
      <c r="HWC85" s="1185"/>
      <c r="HWD85" s="1185"/>
      <c r="HWE85" s="1185"/>
      <c r="HWF85" s="1185"/>
      <c r="HWG85" s="1185"/>
      <c r="HWH85" s="1185"/>
      <c r="HWI85" s="1185"/>
      <c r="HWJ85" s="1185"/>
      <c r="HWK85" s="1185"/>
      <c r="HWL85" s="1185"/>
      <c r="HWM85" s="1185"/>
      <c r="HWN85" s="1185"/>
      <c r="HWO85" s="1185"/>
      <c r="HWP85" s="1185"/>
      <c r="HWQ85" s="1185"/>
      <c r="HWR85" s="1185"/>
      <c r="HWS85" s="1185"/>
      <c r="HWT85" s="1185"/>
      <c r="HWU85" s="1185"/>
      <c r="HWV85" s="1185"/>
      <c r="HWW85" s="1185"/>
      <c r="HWX85" s="1185"/>
      <c r="HWY85" s="1185"/>
      <c r="HWZ85" s="1185"/>
      <c r="HXA85" s="1185"/>
      <c r="HXB85" s="1185"/>
      <c r="HXC85" s="1185"/>
      <c r="HXD85" s="1185"/>
      <c r="HXE85" s="1185"/>
      <c r="HXF85" s="1185"/>
      <c r="HXG85" s="1185"/>
      <c r="HXH85" s="1185"/>
      <c r="HXI85" s="1185"/>
      <c r="HXJ85" s="1185"/>
      <c r="HXK85" s="1185"/>
      <c r="HXL85" s="1185"/>
      <c r="HXM85" s="1185"/>
      <c r="HXN85" s="1185"/>
      <c r="HXO85" s="1185"/>
      <c r="HXP85" s="1185"/>
      <c r="HXQ85" s="1185"/>
      <c r="HXR85" s="1185"/>
      <c r="HXS85" s="1185"/>
      <c r="HXT85" s="1185"/>
      <c r="HXU85" s="1185"/>
      <c r="HXV85" s="1185"/>
      <c r="HXW85" s="1185"/>
      <c r="HXX85" s="1185"/>
      <c r="HXY85" s="1185"/>
      <c r="HXZ85" s="1185"/>
      <c r="HYA85" s="1185"/>
      <c r="HYB85" s="1185"/>
      <c r="HYC85" s="1185"/>
      <c r="HYD85" s="1185"/>
      <c r="HYE85" s="1185"/>
      <c r="HYF85" s="1185"/>
      <c r="HYG85" s="1185"/>
      <c r="HYH85" s="1185"/>
      <c r="HYI85" s="1185"/>
      <c r="HYJ85" s="1185"/>
      <c r="HYK85" s="1185"/>
      <c r="HYL85" s="1185"/>
      <c r="HYM85" s="1185"/>
      <c r="HYN85" s="1185"/>
      <c r="HYO85" s="1185"/>
      <c r="HYP85" s="1185"/>
      <c r="HYQ85" s="1185"/>
      <c r="HYR85" s="1185"/>
      <c r="HYS85" s="1185"/>
      <c r="HYT85" s="1185"/>
      <c r="HYU85" s="1185"/>
      <c r="HYV85" s="1185"/>
      <c r="HYW85" s="1185"/>
      <c r="HYX85" s="1185"/>
      <c r="HYY85" s="1185"/>
      <c r="HYZ85" s="1185"/>
      <c r="HZA85" s="1185"/>
      <c r="HZB85" s="1185"/>
      <c r="HZC85" s="1185"/>
      <c r="HZD85" s="1185"/>
      <c r="HZE85" s="1185"/>
      <c r="HZF85" s="1185"/>
      <c r="HZG85" s="1185"/>
      <c r="HZH85" s="1185"/>
      <c r="HZI85" s="1185"/>
      <c r="HZJ85" s="1185"/>
      <c r="HZK85" s="1185"/>
      <c r="HZL85" s="1185"/>
      <c r="HZM85" s="1185"/>
      <c r="HZN85" s="1185"/>
      <c r="HZO85" s="1185"/>
      <c r="HZP85" s="1185"/>
      <c r="HZQ85" s="1185"/>
      <c r="HZR85" s="1185"/>
      <c r="HZS85" s="1185"/>
      <c r="HZT85" s="1185"/>
      <c r="HZU85" s="1185"/>
      <c r="HZV85" s="1185"/>
      <c r="HZW85" s="1185"/>
      <c r="HZX85" s="1185"/>
      <c r="HZY85" s="1185"/>
      <c r="HZZ85" s="1185"/>
      <c r="IAA85" s="1185"/>
      <c r="IAB85" s="1185"/>
      <c r="IAC85" s="1185"/>
      <c r="IAD85" s="1185"/>
      <c r="IAE85" s="1185"/>
      <c r="IAF85" s="1185"/>
      <c r="IAG85" s="1185"/>
      <c r="IAH85" s="1185"/>
      <c r="IAI85" s="1185"/>
      <c r="IAJ85" s="1185"/>
      <c r="IAK85" s="1185"/>
      <c r="IAL85" s="1185"/>
      <c r="IAM85" s="1185"/>
      <c r="IAN85" s="1185"/>
      <c r="IAO85" s="1185"/>
      <c r="IAP85" s="1185"/>
      <c r="IAQ85" s="1185"/>
      <c r="IAR85" s="1185"/>
      <c r="IAS85" s="1185"/>
      <c r="IAT85" s="1185"/>
      <c r="IAU85" s="1185"/>
      <c r="IAV85" s="1185"/>
      <c r="IAW85" s="1185"/>
      <c r="IAX85" s="1185"/>
      <c r="IAY85" s="1185"/>
      <c r="IAZ85" s="1185"/>
      <c r="IBA85" s="1185"/>
      <c r="IBB85" s="1185"/>
      <c r="IBC85" s="1185"/>
      <c r="IBD85" s="1185"/>
      <c r="IBE85" s="1185"/>
      <c r="IBF85" s="1185"/>
      <c r="IBG85" s="1185"/>
      <c r="IBH85" s="1185"/>
      <c r="IBI85" s="1185"/>
      <c r="IBJ85" s="1185"/>
      <c r="IBK85" s="1185"/>
      <c r="IBL85" s="1185"/>
      <c r="IBM85" s="1185"/>
      <c r="IBN85" s="1185"/>
      <c r="IBO85" s="1185"/>
      <c r="IBP85" s="1185"/>
      <c r="IBQ85" s="1185"/>
      <c r="IBR85" s="1185"/>
      <c r="IBS85" s="1185"/>
      <c r="IBT85" s="1185"/>
      <c r="IBU85" s="1185"/>
      <c r="IBV85" s="1185"/>
      <c r="IBW85" s="1185"/>
      <c r="IBX85" s="1185"/>
      <c r="IBY85" s="1185"/>
      <c r="IBZ85" s="1185"/>
      <c r="ICA85" s="1185"/>
      <c r="ICB85" s="1185"/>
      <c r="ICC85" s="1185"/>
      <c r="ICD85" s="1185"/>
      <c r="ICE85" s="1185"/>
      <c r="ICF85" s="1185"/>
      <c r="ICG85" s="1185"/>
      <c r="ICH85" s="1185"/>
      <c r="ICI85" s="1185"/>
      <c r="ICJ85" s="1185"/>
      <c r="ICK85" s="1185"/>
      <c r="ICL85" s="1185"/>
      <c r="ICM85" s="1185"/>
      <c r="ICN85" s="1185"/>
      <c r="ICO85" s="1185"/>
      <c r="ICP85" s="1185"/>
      <c r="ICQ85" s="1185"/>
      <c r="ICR85" s="1185"/>
      <c r="ICS85" s="1185"/>
      <c r="ICT85" s="1185"/>
      <c r="ICU85" s="1185"/>
      <c r="ICV85" s="1185"/>
      <c r="ICW85" s="1185"/>
      <c r="ICX85" s="1185"/>
      <c r="ICY85" s="1185"/>
      <c r="ICZ85" s="1185"/>
      <c r="IDA85" s="1185"/>
      <c r="IDB85" s="1185"/>
      <c r="IDC85" s="1185"/>
      <c r="IDD85" s="1185"/>
      <c r="IDE85" s="1185"/>
      <c r="IDF85" s="1185"/>
      <c r="IDG85" s="1185"/>
      <c r="IDH85" s="1185"/>
      <c r="IDI85" s="1185"/>
      <c r="IDJ85" s="1185"/>
      <c r="IDK85" s="1185"/>
      <c r="IDL85" s="1185"/>
      <c r="IDM85" s="1185"/>
      <c r="IDN85" s="1185"/>
      <c r="IDO85" s="1185"/>
      <c r="IDP85" s="1185"/>
      <c r="IDQ85" s="1185"/>
      <c r="IDR85" s="1185"/>
      <c r="IDS85" s="1185"/>
      <c r="IDT85" s="1185"/>
      <c r="IDU85" s="1185"/>
      <c r="IDV85" s="1185"/>
      <c r="IDW85" s="1185"/>
      <c r="IDX85" s="1185"/>
      <c r="IDY85" s="1185"/>
      <c r="IDZ85" s="1185"/>
      <c r="IEA85" s="1185"/>
      <c r="IEB85" s="1185"/>
      <c r="IEC85" s="1185"/>
      <c r="IED85" s="1185"/>
      <c r="IEE85" s="1185"/>
      <c r="IEF85" s="1185"/>
      <c r="IEG85" s="1185"/>
      <c r="IEH85" s="1185"/>
      <c r="IEI85" s="1185"/>
      <c r="IEJ85" s="1185"/>
      <c r="IEK85" s="1185"/>
      <c r="IEL85" s="1185"/>
      <c r="IEM85" s="1185"/>
      <c r="IEN85" s="1185"/>
      <c r="IEO85" s="1185"/>
      <c r="IEP85" s="1185"/>
      <c r="IEQ85" s="1185"/>
      <c r="IER85" s="1185"/>
      <c r="IES85" s="1185"/>
      <c r="IET85" s="1185"/>
      <c r="IEU85" s="1185"/>
      <c r="IEV85" s="1185"/>
      <c r="IEW85" s="1185"/>
      <c r="IEX85" s="1185"/>
      <c r="IEY85" s="1185"/>
      <c r="IEZ85" s="1185"/>
      <c r="IFA85" s="1185"/>
      <c r="IFB85" s="1185"/>
      <c r="IFC85" s="1185"/>
      <c r="IFD85" s="1185"/>
      <c r="IFE85" s="1185"/>
      <c r="IFF85" s="1185"/>
      <c r="IFG85" s="1185"/>
      <c r="IFH85" s="1185"/>
      <c r="IFI85" s="1185"/>
      <c r="IFJ85" s="1185"/>
      <c r="IFK85" s="1185"/>
      <c r="IFL85" s="1185"/>
      <c r="IFM85" s="1185"/>
      <c r="IFN85" s="1185"/>
      <c r="IFO85" s="1185"/>
      <c r="IFP85" s="1185"/>
      <c r="IFQ85" s="1185"/>
      <c r="IFR85" s="1185"/>
      <c r="IFS85" s="1185"/>
      <c r="IFT85" s="1185"/>
      <c r="IFU85" s="1185"/>
      <c r="IFV85" s="1185"/>
      <c r="IFW85" s="1185"/>
      <c r="IFX85" s="1185"/>
      <c r="IFY85" s="1185"/>
      <c r="IFZ85" s="1185"/>
      <c r="IGA85" s="1185"/>
      <c r="IGB85" s="1185"/>
      <c r="IGC85" s="1185"/>
      <c r="IGD85" s="1185"/>
      <c r="IGE85" s="1185"/>
      <c r="IGF85" s="1185"/>
      <c r="IGG85" s="1185"/>
      <c r="IGH85" s="1185"/>
      <c r="IGI85" s="1185"/>
      <c r="IGJ85" s="1185"/>
      <c r="IGK85" s="1185"/>
      <c r="IGL85" s="1185"/>
      <c r="IGM85" s="1185"/>
      <c r="IGN85" s="1185"/>
      <c r="IGO85" s="1185"/>
      <c r="IGP85" s="1185"/>
      <c r="IGQ85" s="1185"/>
      <c r="IGR85" s="1185"/>
      <c r="IGS85" s="1185"/>
      <c r="IGT85" s="1185"/>
      <c r="IGU85" s="1185"/>
      <c r="IGV85" s="1185"/>
      <c r="IGW85" s="1185"/>
      <c r="IGX85" s="1185"/>
      <c r="IGY85" s="1185"/>
      <c r="IGZ85" s="1185"/>
      <c r="IHA85" s="1185"/>
      <c r="IHB85" s="1185"/>
      <c r="IHC85" s="1185"/>
      <c r="IHD85" s="1185"/>
      <c r="IHE85" s="1185"/>
      <c r="IHF85" s="1185"/>
      <c r="IHG85" s="1185"/>
      <c r="IHH85" s="1185"/>
      <c r="IHI85" s="1185"/>
      <c r="IHJ85" s="1185"/>
      <c r="IHK85" s="1185"/>
      <c r="IHL85" s="1185"/>
      <c r="IHM85" s="1185"/>
      <c r="IHN85" s="1185"/>
      <c r="IHO85" s="1185"/>
      <c r="IHP85" s="1185"/>
      <c r="IHQ85" s="1185"/>
      <c r="IHR85" s="1185"/>
      <c r="IHS85" s="1185"/>
      <c r="IHT85" s="1185"/>
      <c r="IHU85" s="1185"/>
      <c r="IHV85" s="1185"/>
      <c r="IHW85" s="1185"/>
      <c r="IHX85" s="1185"/>
      <c r="IHY85" s="1185"/>
      <c r="IHZ85" s="1185"/>
      <c r="IIA85" s="1185"/>
      <c r="IIB85" s="1185"/>
      <c r="IIC85" s="1185"/>
      <c r="IID85" s="1185"/>
      <c r="IIE85" s="1185"/>
      <c r="IIF85" s="1185"/>
      <c r="IIG85" s="1185"/>
      <c r="IIH85" s="1185"/>
      <c r="III85" s="1185"/>
      <c r="IIJ85" s="1185"/>
      <c r="IIK85" s="1185"/>
      <c r="IIL85" s="1185"/>
      <c r="IIM85" s="1185"/>
      <c r="IIN85" s="1185"/>
      <c r="IIO85" s="1185"/>
      <c r="IIP85" s="1185"/>
      <c r="IIQ85" s="1185"/>
      <c r="IIR85" s="1185"/>
      <c r="IIS85" s="1185"/>
      <c r="IIT85" s="1185"/>
      <c r="IIU85" s="1185"/>
      <c r="IIV85" s="1185"/>
      <c r="IIW85" s="1185"/>
      <c r="IIX85" s="1185"/>
      <c r="IIY85" s="1185"/>
      <c r="IIZ85" s="1185"/>
      <c r="IJA85" s="1185"/>
      <c r="IJB85" s="1185"/>
      <c r="IJC85" s="1185"/>
      <c r="IJD85" s="1185"/>
      <c r="IJE85" s="1185"/>
      <c r="IJF85" s="1185"/>
      <c r="IJG85" s="1185"/>
      <c r="IJH85" s="1185"/>
      <c r="IJI85" s="1185"/>
      <c r="IJJ85" s="1185"/>
      <c r="IJK85" s="1185"/>
      <c r="IJL85" s="1185"/>
      <c r="IJM85" s="1185"/>
      <c r="IJN85" s="1185"/>
      <c r="IJO85" s="1185"/>
      <c r="IJP85" s="1185"/>
      <c r="IJQ85" s="1185"/>
      <c r="IJR85" s="1185"/>
      <c r="IJS85" s="1185"/>
      <c r="IJT85" s="1185"/>
      <c r="IJU85" s="1185"/>
      <c r="IJV85" s="1185"/>
      <c r="IJW85" s="1185"/>
      <c r="IJX85" s="1185"/>
      <c r="IJY85" s="1185"/>
      <c r="IJZ85" s="1185"/>
      <c r="IKA85" s="1185"/>
      <c r="IKB85" s="1185"/>
      <c r="IKC85" s="1185"/>
      <c r="IKD85" s="1185"/>
      <c r="IKE85" s="1185"/>
      <c r="IKF85" s="1185"/>
      <c r="IKG85" s="1185"/>
      <c r="IKH85" s="1185"/>
      <c r="IKI85" s="1185"/>
      <c r="IKJ85" s="1185"/>
      <c r="IKK85" s="1185"/>
      <c r="IKL85" s="1185"/>
      <c r="IKM85" s="1185"/>
      <c r="IKN85" s="1185"/>
      <c r="IKO85" s="1185"/>
      <c r="IKP85" s="1185"/>
      <c r="IKQ85" s="1185"/>
      <c r="IKR85" s="1185"/>
      <c r="IKS85" s="1185"/>
      <c r="IKT85" s="1185"/>
      <c r="IKU85" s="1185"/>
      <c r="IKV85" s="1185"/>
      <c r="IKW85" s="1185"/>
      <c r="IKX85" s="1185"/>
      <c r="IKY85" s="1185"/>
      <c r="IKZ85" s="1185"/>
      <c r="ILA85" s="1185"/>
      <c r="ILB85" s="1185"/>
      <c r="ILC85" s="1185"/>
      <c r="ILD85" s="1185"/>
      <c r="ILE85" s="1185"/>
      <c r="ILF85" s="1185"/>
      <c r="ILG85" s="1185"/>
      <c r="ILH85" s="1185"/>
      <c r="ILI85" s="1185"/>
      <c r="ILJ85" s="1185"/>
      <c r="ILK85" s="1185"/>
      <c r="ILL85" s="1185"/>
      <c r="ILM85" s="1185"/>
      <c r="ILN85" s="1185"/>
      <c r="ILO85" s="1185"/>
      <c r="ILP85" s="1185"/>
      <c r="ILQ85" s="1185"/>
      <c r="ILR85" s="1185"/>
      <c r="ILS85" s="1185"/>
      <c r="ILT85" s="1185"/>
      <c r="ILU85" s="1185"/>
      <c r="ILV85" s="1185"/>
      <c r="ILW85" s="1185"/>
      <c r="ILX85" s="1185"/>
      <c r="ILY85" s="1185"/>
      <c r="ILZ85" s="1185"/>
      <c r="IMA85" s="1185"/>
      <c r="IMB85" s="1185"/>
      <c r="IMC85" s="1185"/>
      <c r="IMD85" s="1185"/>
      <c r="IME85" s="1185"/>
      <c r="IMF85" s="1185"/>
      <c r="IMG85" s="1185"/>
      <c r="IMH85" s="1185"/>
      <c r="IMI85" s="1185"/>
      <c r="IMJ85" s="1185"/>
      <c r="IMK85" s="1185"/>
      <c r="IML85" s="1185"/>
      <c r="IMM85" s="1185"/>
      <c r="IMN85" s="1185"/>
      <c r="IMO85" s="1185"/>
      <c r="IMP85" s="1185"/>
      <c r="IMQ85" s="1185"/>
      <c r="IMR85" s="1185"/>
      <c r="IMS85" s="1185"/>
      <c r="IMT85" s="1185"/>
      <c r="IMU85" s="1185"/>
      <c r="IMV85" s="1185"/>
      <c r="IMW85" s="1185"/>
      <c r="IMX85" s="1185"/>
      <c r="IMY85" s="1185"/>
      <c r="IMZ85" s="1185"/>
      <c r="INA85" s="1185"/>
      <c r="INB85" s="1185"/>
      <c r="INC85" s="1185"/>
      <c r="IND85" s="1185"/>
      <c r="INE85" s="1185"/>
      <c r="INF85" s="1185"/>
      <c r="ING85" s="1185"/>
      <c r="INH85" s="1185"/>
      <c r="INI85" s="1185"/>
      <c r="INJ85" s="1185"/>
      <c r="INK85" s="1185"/>
      <c r="INL85" s="1185"/>
      <c r="INM85" s="1185"/>
      <c r="INN85" s="1185"/>
      <c r="INO85" s="1185"/>
      <c r="INP85" s="1185"/>
      <c r="INQ85" s="1185"/>
      <c r="INR85" s="1185"/>
      <c r="INS85" s="1185"/>
      <c r="INT85" s="1185"/>
      <c r="INU85" s="1185"/>
      <c r="INV85" s="1185"/>
      <c r="INW85" s="1185"/>
      <c r="INX85" s="1185"/>
      <c r="INY85" s="1185"/>
      <c r="INZ85" s="1185"/>
      <c r="IOA85" s="1185"/>
      <c r="IOB85" s="1185"/>
      <c r="IOC85" s="1185"/>
      <c r="IOD85" s="1185"/>
      <c r="IOE85" s="1185"/>
      <c r="IOF85" s="1185"/>
      <c r="IOG85" s="1185"/>
      <c r="IOH85" s="1185"/>
      <c r="IOI85" s="1185"/>
      <c r="IOJ85" s="1185"/>
      <c r="IOK85" s="1185"/>
      <c r="IOL85" s="1185"/>
      <c r="IOM85" s="1185"/>
      <c r="ION85" s="1185"/>
      <c r="IOO85" s="1185"/>
      <c r="IOP85" s="1185"/>
      <c r="IOQ85" s="1185"/>
      <c r="IOR85" s="1185"/>
      <c r="IOS85" s="1185"/>
      <c r="IOT85" s="1185"/>
      <c r="IOU85" s="1185"/>
      <c r="IOV85" s="1185"/>
      <c r="IOW85" s="1185"/>
      <c r="IOX85" s="1185"/>
      <c r="IOY85" s="1185"/>
      <c r="IOZ85" s="1185"/>
      <c r="IPA85" s="1185"/>
      <c r="IPB85" s="1185"/>
      <c r="IPC85" s="1185"/>
      <c r="IPD85" s="1185"/>
      <c r="IPE85" s="1185"/>
      <c r="IPF85" s="1185"/>
      <c r="IPG85" s="1185"/>
      <c r="IPH85" s="1185"/>
      <c r="IPI85" s="1185"/>
      <c r="IPJ85" s="1185"/>
      <c r="IPK85" s="1185"/>
      <c r="IPL85" s="1185"/>
      <c r="IPM85" s="1185"/>
      <c r="IPN85" s="1185"/>
      <c r="IPO85" s="1185"/>
      <c r="IPP85" s="1185"/>
      <c r="IPQ85" s="1185"/>
      <c r="IPR85" s="1185"/>
      <c r="IPS85" s="1185"/>
      <c r="IPT85" s="1185"/>
      <c r="IPU85" s="1185"/>
      <c r="IPV85" s="1185"/>
      <c r="IPW85" s="1185"/>
      <c r="IPX85" s="1185"/>
      <c r="IPY85" s="1185"/>
      <c r="IPZ85" s="1185"/>
      <c r="IQA85" s="1185"/>
      <c r="IQB85" s="1185"/>
      <c r="IQC85" s="1185"/>
      <c r="IQD85" s="1185"/>
      <c r="IQE85" s="1185"/>
      <c r="IQF85" s="1185"/>
      <c r="IQG85" s="1185"/>
      <c r="IQH85" s="1185"/>
      <c r="IQI85" s="1185"/>
      <c r="IQJ85" s="1185"/>
      <c r="IQK85" s="1185"/>
      <c r="IQL85" s="1185"/>
      <c r="IQM85" s="1185"/>
      <c r="IQN85" s="1185"/>
      <c r="IQO85" s="1185"/>
      <c r="IQP85" s="1185"/>
      <c r="IQQ85" s="1185"/>
      <c r="IQR85" s="1185"/>
      <c r="IQS85" s="1185"/>
      <c r="IQT85" s="1185"/>
      <c r="IQU85" s="1185"/>
      <c r="IQV85" s="1185"/>
      <c r="IQW85" s="1185"/>
      <c r="IQX85" s="1185"/>
      <c r="IQY85" s="1185"/>
      <c r="IQZ85" s="1185"/>
      <c r="IRA85" s="1185"/>
      <c r="IRB85" s="1185"/>
      <c r="IRC85" s="1185"/>
      <c r="IRD85" s="1185"/>
      <c r="IRE85" s="1185"/>
      <c r="IRF85" s="1185"/>
      <c r="IRG85" s="1185"/>
      <c r="IRH85" s="1185"/>
      <c r="IRI85" s="1185"/>
      <c r="IRJ85" s="1185"/>
      <c r="IRK85" s="1185"/>
      <c r="IRL85" s="1185"/>
      <c r="IRM85" s="1185"/>
      <c r="IRN85" s="1185"/>
      <c r="IRO85" s="1185"/>
      <c r="IRP85" s="1185"/>
      <c r="IRQ85" s="1185"/>
      <c r="IRR85" s="1185"/>
      <c r="IRS85" s="1185"/>
      <c r="IRT85" s="1185"/>
      <c r="IRU85" s="1185"/>
      <c r="IRV85" s="1185"/>
      <c r="IRW85" s="1185"/>
      <c r="IRX85" s="1185"/>
      <c r="IRY85" s="1185"/>
      <c r="IRZ85" s="1185"/>
      <c r="ISA85" s="1185"/>
      <c r="ISB85" s="1185"/>
      <c r="ISC85" s="1185"/>
      <c r="ISD85" s="1185"/>
      <c r="ISE85" s="1185"/>
      <c r="ISF85" s="1185"/>
      <c r="ISG85" s="1185"/>
      <c r="ISH85" s="1185"/>
      <c r="ISI85" s="1185"/>
      <c r="ISJ85" s="1185"/>
      <c r="ISK85" s="1185"/>
      <c r="ISL85" s="1185"/>
      <c r="ISM85" s="1185"/>
      <c r="ISN85" s="1185"/>
      <c r="ISO85" s="1185"/>
      <c r="ISP85" s="1185"/>
      <c r="ISQ85" s="1185"/>
      <c r="ISR85" s="1185"/>
      <c r="ISS85" s="1185"/>
      <c r="IST85" s="1185"/>
      <c r="ISU85" s="1185"/>
      <c r="ISV85" s="1185"/>
      <c r="ISW85" s="1185"/>
      <c r="ISX85" s="1185"/>
      <c r="ISY85" s="1185"/>
      <c r="ISZ85" s="1185"/>
      <c r="ITA85" s="1185"/>
      <c r="ITB85" s="1185"/>
      <c r="ITC85" s="1185"/>
      <c r="ITD85" s="1185"/>
      <c r="ITE85" s="1185"/>
      <c r="ITF85" s="1185"/>
      <c r="ITG85" s="1185"/>
      <c r="ITH85" s="1185"/>
      <c r="ITI85" s="1185"/>
      <c r="ITJ85" s="1185"/>
      <c r="ITK85" s="1185"/>
      <c r="ITL85" s="1185"/>
      <c r="ITM85" s="1185"/>
      <c r="ITN85" s="1185"/>
      <c r="ITO85" s="1185"/>
      <c r="ITP85" s="1185"/>
      <c r="ITQ85" s="1185"/>
      <c r="ITR85" s="1185"/>
      <c r="ITS85" s="1185"/>
      <c r="ITT85" s="1185"/>
      <c r="ITU85" s="1185"/>
      <c r="ITV85" s="1185"/>
      <c r="ITW85" s="1185"/>
      <c r="ITX85" s="1185"/>
      <c r="ITY85" s="1185"/>
      <c r="ITZ85" s="1185"/>
      <c r="IUA85" s="1185"/>
      <c r="IUB85" s="1185"/>
      <c r="IUC85" s="1185"/>
      <c r="IUD85" s="1185"/>
      <c r="IUE85" s="1185"/>
      <c r="IUF85" s="1185"/>
      <c r="IUG85" s="1185"/>
      <c r="IUH85" s="1185"/>
      <c r="IUI85" s="1185"/>
      <c r="IUJ85" s="1185"/>
      <c r="IUK85" s="1185"/>
      <c r="IUL85" s="1185"/>
      <c r="IUM85" s="1185"/>
      <c r="IUN85" s="1185"/>
      <c r="IUO85" s="1185"/>
      <c r="IUP85" s="1185"/>
      <c r="IUQ85" s="1185"/>
      <c r="IUR85" s="1185"/>
      <c r="IUS85" s="1185"/>
      <c r="IUT85" s="1185"/>
      <c r="IUU85" s="1185"/>
      <c r="IUV85" s="1185"/>
      <c r="IUW85" s="1185"/>
      <c r="IUX85" s="1185"/>
      <c r="IUY85" s="1185"/>
      <c r="IUZ85" s="1185"/>
      <c r="IVA85" s="1185"/>
      <c r="IVB85" s="1185"/>
      <c r="IVC85" s="1185"/>
      <c r="IVD85" s="1185"/>
      <c r="IVE85" s="1185"/>
      <c r="IVF85" s="1185"/>
      <c r="IVG85" s="1185"/>
      <c r="IVH85" s="1185"/>
      <c r="IVI85" s="1185"/>
      <c r="IVJ85" s="1185"/>
      <c r="IVK85" s="1185"/>
      <c r="IVL85" s="1185"/>
      <c r="IVM85" s="1185"/>
      <c r="IVN85" s="1185"/>
      <c r="IVO85" s="1185"/>
      <c r="IVP85" s="1185"/>
      <c r="IVQ85" s="1185"/>
      <c r="IVR85" s="1185"/>
      <c r="IVS85" s="1185"/>
      <c r="IVT85" s="1185"/>
      <c r="IVU85" s="1185"/>
      <c r="IVV85" s="1185"/>
      <c r="IVW85" s="1185"/>
      <c r="IVX85" s="1185"/>
      <c r="IVY85" s="1185"/>
      <c r="IVZ85" s="1185"/>
      <c r="IWA85" s="1185"/>
      <c r="IWB85" s="1185"/>
      <c r="IWC85" s="1185"/>
      <c r="IWD85" s="1185"/>
      <c r="IWE85" s="1185"/>
      <c r="IWF85" s="1185"/>
      <c r="IWG85" s="1185"/>
      <c r="IWH85" s="1185"/>
      <c r="IWI85" s="1185"/>
      <c r="IWJ85" s="1185"/>
      <c r="IWK85" s="1185"/>
      <c r="IWL85" s="1185"/>
      <c r="IWM85" s="1185"/>
      <c r="IWN85" s="1185"/>
      <c r="IWO85" s="1185"/>
      <c r="IWP85" s="1185"/>
      <c r="IWQ85" s="1185"/>
      <c r="IWR85" s="1185"/>
      <c r="IWS85" s="1185"/>
      <c r="IWT85" s="1185"/>
      <c r="IWU85" s="1185"/>
      <c r="IWV85" s="1185"/>
      <c r="IWW85" s="1185"/>
      <c r="IWX85" s="1185"/>
      <c r="IWY85" s="1185"/>
      <c r="IWZ85" s="1185"/>
      <c r="IXA85" s="1185"/>
      <c r="IXB85" s="1185"/>
      <c r="IXC85" s="1185"/>
      <c r="IXD85" s="1185"/>
      <c r="IXE85" s="1185"/>
      <c r="IXF85" s="1185"/>
      <c r="IXG85" s="1185"/>
      <c r="IXH85" s="1185"/>
      <c r="IXI85" s="1185"/>
      <c r="IXJ85" s="1185"/>
      <c r="IXK85" s="1185"/>
      <c r="IXL85" s="1185"/>
      <c r="IXM85" s="1185"/>
      <c r="IXN85" s="1185"/>
      <c r="IXO85" s="1185"/>
      <c r="IXP85" s="1185"/>
      <c r="IXQ85" s="1185"/>
      <c r="IXR85" s="1185"/>
      <c r="IXS85" s="1185"/>
      <c r="IXT85" s="1185"/>
      <c r="IXU85" s="1185"/>
      <c r="IXV85" s="1185"/>
      <c r="IXW85" s="1185"/>
      <c r="IXX85" s="1185"/>
      <c r="IXY85" s="1185"/>
      <c r="IXZ85" s="1185"/>
      <c r="IYA85" s="1185"/>
      <c r="IYB85" s="1185"/>
      <c r="IYC85" s="1185"/>
      <c r="IYD85" s="1185"/>
      <c r="IYE85" s="1185"/>
      <c r="IYF85" s="1185"/>
      <c r="IYG85" s="1185"/>
      <c r="IYH85" s="1185"/>
      <c r="IYI85" s="1185"/>
      <c r="IYJ85" s="1185"/>
      <c r="IYK85" s="1185"/>
      <c r="IYL85" s="1185"/>
      <c r="IYM85" s="1185"/>
      <c r="IYN85" s="1185"/>
      <c r="IYO85" s="1185"/>
      <c r="IYP85" s="1185"/>
      <c r="IYQ85" s="1185"/>
      <c r="IYR85" s="1185"/>
      <c r="IYS85" s="1185"/>
      <c r="IYT85" s="1185"/>
      <c r="IYU85" s="1185"/>
      <c r="IYV85" s="1185"/>
      <c r="IYW85" s="1185"/>
      <c r="IYX85" s="1185"/>
      <c r="IYY85" s="1185"/>
      <c r="IYZ85" s="1185"/>
      <c r="IZA85" s="1185"/>
      <c r="IZB85" s="1185"/>
      <c r="IZC85" s="1185"/>
      <c r="IZD85" s="1185"/>
      <c r="IZE85" s="1185"/>
      <c r="IZF85" s="1185"/>
      <c r="IZG85" s="1185"/>
      <c r="IZH85" s="1185"/>
      <c r="IZI85" s="1185"/>
      <c r="IZJ85" s="1185"/>
      <c r="IZK85" s="1185"/>
      <c r="IZL85" s="1185"/>
      <c r="IZM85" s="1185"/>
      <c r="IZN85" s="1185"/>
      <c r="IZO85" s="1185"/>
      <c r="IZP85" s="1185"/>
      <c r="IZQ85" s="1185"/>
      <c r="IZR85" s="1185"/>
      <c r="IZS85" s="1185"/>
      <c r="IZT85" s="1185"/>
      <c r="IZU85" s="1185"/>
      <c r="IZV85" s="1185"/>
      <c r="IZW85" s="1185"/>
      <c r="IZX85" s="1185"/>
      <c r="IZY85" s="1185"/>
      <c r="IZZ85" s="1185"/>
      <c r="JAA85" s="1185"/>
      <c r="JAB85" s="1185"/>
      <c r="JAC85" s="1185"/>
      <c r="JAD85" s="1185"/>
      <c r="JAE85" s="1185"/>
      <c r="JAF85" s="1185"/>
      <c r="JAG85" s="1185"/>
      <c r="JAH85" s="1185"/>
      <c r="JAI85" s="1185"/>
      <c r="JAJ85" s="1185"/>
      <c r="JAK85" s="1185"/>
      <c r="JAL85" s="1185"/>
      <c r="JAM85" s="1185"/>
      <c r="JAN85" s="1185"/>
      <c r="JAO85" s="1185"/>
      <c r="JAP85" s="1185"/>
      <c r="JAQ85" s="1185"/>
      <c r="JAR85" s="1185"/>
      <c r="JAS85" s="1185"/>
      <c r="JAT85" s="1185"/>
      <c r="JAU85" s="1185"/>
      <c r="JAV85" s="1185"/>
      <c r="JAW85" s="1185"/>
      <c r="JAX85" s="1185"/>
      <c r="JAY85" s="1185"/>
      <c r="JAZ85" s="1185"/>
      <c r="JBA85" s="1185"/>
      <c r="JBB85" s="1185"/>
      <c r="JBC85" s="1185"/>
      <c r="JBD85" s="1185"/>
      <c r="JBE85" s="1185"/>
      <c r="JBF85" s="1185"/>
      <c r="JBG85" s="1185"/>
      <c r="JBH85" s="1185"/>
      <c r="JBI85" s="1185"/>
      <c r="JBJ85" s="1185"/>
      <c r="JBK85" s="1185"/>
      <c r="JBL85" s="1185"/>
      <c r="JBM85" s="1185"/>
      <c r="JBN85" s="1185"/>
      <c r="JBO85" s="1185"/>
      <c r="JBP85" s="1185"/>
      <c r="JBQ85" s="1185"/>
      <c r="JBR85" s="1185"/>
      <c r="JBS85" s="1185"/>
      <c r="JBT85" s="1185"/>
      <c r="JBU85" s="1185"/>
      <c r="JBV85" s="1185"/>
      <c r="JBW85" s="1185"/>
      <c r="JBX85" s="1185"/>
      <c r="JBY85" s="1185"/>
      <c r="JBZ85" s="1185"/>
      <c r="JCA85" s="1185"/>
      <c r="JCB85" s="1185"/>
      <c r="JCC85" s="1185"/>
      <c r="JCD85" s="1185"/>
      <c r="JCE85" s="1185"/>
      <c r="JCF85" s="1185"/>
      <c r="JCG85" s="1185"/>
      <c r="JCH85" s="1185"/>
      <c r="JCI85" s="1185"/>
      <c r="JCJ85" s="1185"/>
      <c r="JCK85" s="1185"/>
      <c r="JCL85" s="1185"/>
      <c r="JCM85" s="1185"/>
      <c r="JCN85" s="1185"/>
      <c r="JCO85" s="1185"/>
      <c r="JCP85" s="1185"/>
      <c r="JCQ85" s="1185"/>
      <c r="JCR85" s="1185"/>
      <c r="JCS85" s="1185"/>
      <c r="JCT85" s="1185"/>
      <c r="JCU85" s="1185"/>
      <c r="JCV85" s="1185"/>
      <c r="JCW85" s="1185"/>
      <c r="JCX85" s="1185"/>
      <c r="JCY85" s="1185"/>
      <c r="JCZ85" s="1185"/>
      <c r="JDA85" s="1185"/>
      <c r="JDB85" s="1185"/>
      <c r="JDC85" s="1185"/>
      <c r="JDD85" s="1185"/>
      <c r="JDE85" s="1185"/>
      <c r="JDF85" s="1185"/>
      <c r="JDG85" s="1185"/>
      <c r="JDH85" s="1185"/>
      <c r="JDI85" s="1185"/>
      <c r="JDJ85" s="1185"/>
      <c r="JDK85" s="1185"/>
      <c r="JDL85" s="1185"/>
      <c r="JDM85" s="1185"/>
      <c r="JDN85" s="1185"/>
      <c r="JDO85" s="1185"/>
      <c r="JDP85" s="1185"/>
      <c r="JDQ85" s="1185"/>
      <c r="JDR85" s="1185"/>
      <c r="JDS85" s="1185"/>
      <c r="JDT85" s="1185"/>
      <c r="JDU85" s="1185"/>
      <c r="JDV85" s="1185"/>
      <c r="JDW85" s="1185"/>
      <c r="JDX85" s="1185"/>
      <c r="JDY85" s="1185"/>
      <c r="JDZ85" s="1185"/>
      <c r="JEA85" s="1185"/>
      <c r="JEB85" s="1185"/>
      <c r="JEC85" s="1185"/>
      <c r="JED85" s="1185"/>
      <c r="JEE85" s="1185"/>
      <c r="JEF85" s="1185"/>
      <c r="JEG85" s="1185"/>
      <c r="JEH85" s="1185"/>
      <c r="JEI85" s="1185"/>
      <c r="JEJ85" s="1185"/>
      <c r="JEK85" s="1185"/>
      <c r="JEL85" s="1185"/>
      <c r="JEM85" s="1185"/>
      <c r="JEN85" s="1185"/>
      <c r="JEO85" s="1185"/>
      <c r="JEP85" s="1185"/>
      <c r="JEQ85" s="1185"/>
      <c r="JER85" s="1185"/>
      <c r="JES85" s="1185"/>
      <c r="JET85" s="1185"/>
      <c r="JEU85" s="1185"/>
      <c r="JEV85" s="1185"/>
      <c r="JEW85" s="1185"/>
      <c r="JEX85" s="1185"/>
      <c r="JEY85" s="1185"/>
      <c r="JEZ85" s="1185"/>
      <c r="JFA85" s="1185"/>
      <c r="JFB85" s="1185"/>
      <c r="JFC85" s="1185"/>
      <c r="JFD85" s="1185"/>
      <c r="JFE85" s="1185"/>
      <c r="JFF85" s="1185"/>
      <c r="JFG85" s="1185"/>
      <c r="JFH85" s="1185"/>
      <c r="JFI85" s="1185"/>
      <c r="JFJ85" s="1185"/>
      <c r="JFK85" s="1185"/>
      <c r="JFL85" s="1185"/>
      <c r="JFM85" s="1185"/>
      <c r="JFN85" s="1185"/>
      <c r="JFO85" s="1185"/>
      <c r="JFP85" s="1185"/>
      <c r="JFQ85" s="1185"/>
      <c r="JFR85" s="1185"/>
      <c r="JFS85" s="1185"/>
      <c r="JFT85" s="1185"/>
      <c r="JFU85" s="1185"/>
      <c r="JFV85" s="1185"/>
      <c r="JFW85" s="1185"/>
      <c r="JFX85" s="1185"/>
      <c r="JFY85" s="1185"/>
      <c r="JFZ85" s="1185"/>
      <c r="JGA85" s="1185"/>
      <c r="JGB85" s="1185"/>
      <c r="JGC85" s="1185"/>
      <c r="JGD85" s="1185"/>
      <c r="JGE85" s="1185"/>
      <c r="JGF85" s="1185"/>
      <c r="JGG85" s="1185"/>
      <c r="JGH85" s="1185"/>
      <c r="JGI85" s="1185"/>
      <c r="JGJ85" s="1185"/>
      <c r="JGK85" s="1185"/>
      <c r="JGL85" s="1185"/>
      <c r="JGM85" s="1185"/>
      <c r="JGN85" s="1185"/>
      <c r="JGO85" s="1185"/>
      <c r="JGP85" s="1185"/>
      <c r="JGQ85" s="1185"/>
      <c r="JGR85" s="1185"/>
      <c r="JGS85" s="1185"/>
      <c r="JGT85" s="1185"/>
      <c r="JGU85" s="1185"/>
      <c r="JGV85" s="1185"/>
      <c r="JGW85" s="1185"/>
      <c r="JGX85" s="1185"/>
      <c r="JGY85" s="1185"/>
      <c r="JGZ85" s="1185"/>
      <c r="JHA85" s="1185"/>
      <c r="JHB85" s="1185"/>
      <c r="JHC85" s="1185"/>
      <c r="JHD85" s="1185"/>
      <c r="JHE85" s="1185"/>
      <c r="JHF85" s="1185"/>
      <c r="JHG85" s="1185"/>
      <c r="JHH85" s="1185"/>
      <c r="JHI85" s="1185"/>
      <c r="JHJ85" s="1185"/>
      <c r="JHK85" s="1185"/>
      <c r="JHL85" s="1185"/>
      <c r="JHM85" s="1185"/>
      <c r="JHN85" s="1185"/>
      <c r="JHO85" s="1185"/>
      <c r="JHP85" s="1185"/>
      <c r="JHQ85" s="1185"/>
      <c r="JHR85" s="1185"/>
      <c r="JHS85" s="1185"/>
      <c r="JHT85" s="1185"/>
      <c r="JHU85" s="1185"/>
      <c r="JHV85" s="1185"/>
      <c r="JHW85" s="1185"/>
      <c r="JHX85" s="1185"/>
      <c r="JHY85" s="1185"/>
      <c r="JHZ85" s="1185"/>
      <c r="JIA85" s="1185"/>
      <c r="JIB85" s="1185"/>
      <c r="JIC85" s="1185"/>
      <c r="JID85" s="1185"/>
      <c r="JIE85" s="1185"/>
      <c r="JIF85" s="1185"/>
      <c r="JIG85" s="1185"/>
      <c r="JIH85" s="1185"/>
      <c r="JII85" s="1185"/>
      <c r="JIJ85" s="1185"/>
      <c r="JIK85" s="1185"/>
      <c r="JIL85" s="1185"/>
      <c r="JIM85" s="1185"/>
      <c r="JIN85" s="1185"/>
      <c r="JIO85" s="1185"/>
      <c r="JIP85" s="1185"/>
      <c r="JIQ85" s="1185"/>
      <c r="JIR85" s="1185"/>
      <c r="JIS85" s="1185"/>
      <c r="JIT85" s="1185"/>
      <c r="JIU85" s="1185"/>
      <c r="JIV85" s="1185"/>
      <c r="JIW85" s="1185"/>
      <c r="JIX85" s="1185"/>
      <c r="JIY85" s="1185"/>
      <c r="JIZ85" s="1185"/>
      <c r="JJA85" s="1185"/>
      <c r="JJB85" s="1185"/>
      <c r="JJC85" s="1185"/>
      <c r="JJD85" s="1185"/>
      <c r="JJE85" s="1185"/>
      <c r="JJF85" s="1185"/>
      <c r="JJG85" s="1185"/>
      <c r="JJH85" s="1185"/>
      <c r="JJI85" s="1185"/>
      <c r="JJJ85" s="1185"/>
      <c r="JJK85" s="1185"/>
      <c r="JJL85" s="1185"/>
      <c r="JJM85" s="1185"/>
      <c r="JJN85" s="1185"/>
      <c r="JJO85" s="1185"/>
      <c r="JJP85" s="1185"/>
      <c r="JJQ85" s="1185"/>
      <c r="JJR85" s="1185"/>
      <c r="JJS85" s="1185"/>
      <c r="JJT85" s="1185"/>
      <c r="JJU85" s="1185"/>
      <c r="JJV85" s="1185"/>
      <c r="JJW85" s="1185"/>
      <c r="JJX85" s="1185"/>
      <c r="JJY85" s="1185"/>
      <c r="JJZ85" s="1185"/>
      <c r="JKA85" s="1185"/>
      <c r="JKB85" s="1185"/>
      <c r="JKC85" s="1185"/>
      <c r="JKD85" s="1185"/>
      <c r="JKE85" s="1185"/>
      <c r="JKF85" s="1185"/>
      <c r="JKG85" s="1185"/>
      <c r="JKH85" s="1185"/>
      <c r="JKI85" s="1185"/>
      <c r="JKJ85" s="1185"/>
      <c r="JKK85" s="1185"/>
      <c r="JKL85" s="1185"/>
      <c r="JKM85" s="1185"/>
      <c r="JKN85" s="1185"/>
      <c r="JKO85" s="1185"/>
      <c r="JKP85" s="1185"/>
      <c r="JKQ85" s="1185"/>
      <c r="JKR85" s="1185"/>
      <c r="JKS85" s="1185"/>
      <c r="JKT85" s="1185"/>
      <c r="JKU85" s="1185"/>
      <c r="JKV85" s="1185"/>
      <c r="JKW85" s="1185"/>
      <c r="JKX85" s="1185"/>
      <c r="JKY85" s="1185"/>
      <c r="JKZ85" s="1185"/>
      <c r="JLA85" s="1185"/>
      <c r="JLB85" s="1185"/>
      <c r="JLC85" s="1185"/>
      <c r="JLD85" s="1185"/>
      <c r="JLE85" s="1185"/>
      <c r="JLF85" s="1185"/>
      <c r="JLG85" s="1185"/>
      <c r="JLH85" s="1185"/>
      <c r="JLI85" s="1185"/>
      <c r="JLJ85" s="1185"/>
      <c r="JLK85" s="1185"/>
      <c r="JLL85" s="1185"/>
      <c r="JLM85" s="1185"/>
      <c r="JLN85" s="1185"/>
      <c r="JLO85" s="1185"/>
      <c r="JLP85" s="1185"/>
      <c r="JLQ85" s="1185"/>
      <c r="JLR85" s="1185"/>
      <c r="JLS85" s="1185"/>
      <c r="JLT85" s="1185"/>
      <c r="JLU85" s="1185"/>
      <c r="JLV85" s="1185"/>
      <c r="JLW85" s="1185"/>
      <c r="JLX85" s="1185"/>
      <c r="JLY85" s="1185"/>
      <c r="JLZ85" s="1185"/>
      <c r="JMA85" s="1185"/>
      <c r="JMB85" s="1185"/>
      <c r="JMC85" s="1185"/>
      <c r="JMD85" s="1185"/>
      <c r="JME85" s="1185"/>
      <c r="JMF85" s="1185"/>
      <c r="JMG85" s="1185"/>
      <c r="JMH85" s="1185"/>
      <c r="JMI85" s="1185"/>
      <c r="JMJ85" s="1185"/>
      <c r="JMK85" s="1185"/>
      <c r="JML85" s="1185"/>
      <c r="JMM85" s="1185"/>
      <c r="JMN85" s="1185"/>
      <c r="JMO85" s="1185"/>
      <c r="JMP85" s="1185"/>
      <c r="JMQ85" s="1185"/>
      <c r="JMR85" s="1185"/>
      <c r="JMS85" s="1185"/>
      <c r="JMT85" s="1185"/>
      <c r="JMU85" s="1185"/>
      <c r="JMV85" s="1185"/>
      <c r="JMW85" s="1185"/>
      <c r="JMX85" s="1185"/>
      <c r="JMY85" s="1185"/>
      <c r="JMZ85" s="1185"/>
      <c r="JNA85" s="1185"/>
      <c r="JNB85" s="1185"/>
      <c r="JNC85" s="1185"/>
      <c r="JND85" s="1185"/>
      <c r="JNE85" s="1185"/>
      <c r="JNF85" s="1185"/>
      <c r="JNG85" s="1185"/>
      <c r="JNH85" s="1185"/>
      <c r="JNI85" s="1185"/>
      <c r="JNJ85" s="1185"/>
      <c r="JNK85" s="1185"/>
      <c r="JNL85" s="1185"/>
      <c r="JNM85" s="1185"/>
      <c r="JNN85" s="1185"/>
      <c r="JNO85" s="1185"/>
      <c r="JNP85" s="1185"/>
      <c r="JNQ85" s="1185"/>
      <c r="JNR85" s="1185"/>
      <c r="JNS85" s="1185"/>
      <c r="JNT85" s="1185"/>
      <c r="JNU85" s="1185"/>
      <c r="JNV85" s="1185"/>
      <c r="JNW85" s="1185"/>
      <c r="JNX85" s="1185"/>
      <c r="JNY85" s="1185"/>
      <c r="JNZ85" s="1185"/>
      <c r="JOA85" s="1185"/>
      <c r="JOB85" s="1185"/>
      <c r="JOC85" s="1185"/>
      <c r="JOD85" s="1185"/>
      <c r="JOE85" s="1185"/>
      <c r="JOF85" s="1185"/>
      <c r="JOG85" s="1185"/>
      <c r="JOH85" s="1185"/>
      <c r="JOI85" s="1185"/>
      <c r="JOJ85" s="1185"/>
      <c r="JOK85" s="1185"/>
      <c r="JOL85" s="1185"/>
      <c r="JOM85" s="1185"/>
      <c r="JON85" s="1185"/>
      <c r="JOO85" s="1185"/>
      <c r="JOP85" s="1185"/>
      <c r="JOQ85" s="1185"/>
      <c r="JOR85" s="1185"/>
      <c r="JOS85" s="1185"/>
      <c r="JOT85" s="1185"/>
      <c r="JOU85" s="1185"/>
      <c r="JOV85" s="1185"/>
      <c r="JOW85" s="1185"/>
      <c r="JOX85" s="1185"/>
      <c r="JOY85" s="1185"/>
      <c r="JOZ85" s="1185"/>
      <c r="JPA85" s="1185"/>
      <c r="JPB85" s="1185"/>
      <c r="JPC85" s="1185"/>
      <c r="JPD85" s="1185"/>
      <c r="JPE85" s="1185"/>
      <c r="JPF85" s="1185"/>
      <c r="JPG85" s="1185"/>
      <c r="JPH85" s="1185"/>
      <c r="JPI85" s="1185"/>
      <c r="JPJ85" s="1185"/>
      <c r="JPK85" s="1185"/>
      <c r="JPL85" s="1185"/>
      <c r="JPM85" s="1185"/>
      <c r="JPN85" s="1185"/>
      <c r="JPO85" s="1185"/>
      <c r="JPP85" s="1185"/>
      <c r="JPQ85" s="1185"/>
      <c r="JPR85" s="1185"/>
      <c r="JPS85" s="1185"/>
      <c r="JPT85" s="1185"/>
      <c r="JPU85" s="1185"/>
      <c r="JPV85" s="1185"/>
      <c r="JPW85" s="1185"/>
      <c r="JPX85" s="1185"/>
      <c r="JPY85" s="1185"/>
      <c r="JPZ85" s="1185"/>
      <c r="JQA85" s="1185"/>
      <c r="JQB85" s="1185"/>
      <c r="JQC85" s="1185"/>
      <c r="JQD85" s="1185"/>
      <c r="JQE85" s="1185"/>
      <c r="JQF85" s="1185"/>
      <c r="JQG85" s="1185"/>
      <c r="JQH85" s="1185"/>
      <c r="JQI85" s="1185"/>
      <c r="JQJ85" s="1185"/>
      <c r="JQK85" s="1185"/>
      <c r="JQL85" s="1185"/>
      <c r="JQM85" s="1185"/>
      <c r="JQN85" s="1185"/>
      <c r="JQO85" s="1185"/>
      <c r="JQP85" s="1185"/>
      <c r="JQQ85" s="1185"/>
      <c r="JQR85" s="1185"/>
      <c r="JQS85" s="1185"/>
      <c r="JQT85" s="1185"/>
      <c r="JQU85" s="1185"/>
      <c r="JQV85" s="1185"/>
      <c r="JQW85" s="1185"/>
      <c r="JQX85" s="1185"/>
      <c r="JQY85" s="1185"/>
      <c r="JQZ85" s="1185"/>
      <c r="JRA85" s="1185"/>
      <c r="JRB85" s="1185"/>
      <c r="JRC85" s="1185"/>
      <c r="JRD85" s="1185"/>
      <c r="JRE85" s="1185"/>
      <c r="JRF85" s="1185"/>
      <c r="JRG85" s="1185"/>
      <c r="JRH85" s="1185"/>
      <c r="JRI85" s="1185"/>
      <c r="JRJ85" s="1185"/>
      <c r="JRK85" s="1185"/>
      <c r="JRL85" s="1185"/>
      <c r="JRM85" s="1185"/>
      <c r="JRN85" s="1185"/>
      <c r="JRO85" s="1185"/>
      <c r="JRP85" s="1185"/>
      <c r="JRQ85" s="1185"/>
      <c r="JRR85" s="1185"/>
      <c r="JRS85" s="1185"/>
      <c r="JRT85" s="1185"/>
      <c r="JRU85" s="1185"/>
      <c r="JRV85" s="1185"/>
      <c r="JRW85" s="1185"/>
      <c r="JRX85" s="1185"/>
      <c r="JRY85" s="1185"/>
      <c r="JRZ85" s="1185"/>
      <c r="JSA85" s="1185"/>
      <c r="JSB85" s="1185"/>
      <c r="JSC85" s="1185"/>
      <c r="JSD85" s="1185"/>
      <c r="JSE85" s="1185"/>
      <c r="JSF85" s="1185"/>
      <c r="JSG85" s="1185"/>
      <c r="JSH85" s="1185"/>
      <c r="JSI85" s="1185"/>
      <c r="JSJ85" s="1185"/>
      <c r="JSK85" s="1185"/>
      <c r="JSL85" s="1185"/>
      <c r="JSM85" s="1185"/>
      <c r="JSN85" s="1185"/>
      <c r="JSO85" s="1185"/>
      <c r="JSP85" s="1185"/>
      <c r="JSQ85" s="1185"/>
      <c r="JSR85" s="1185"/>
      <c r="JSS85" s="1185"/>
      <c r="JST85" s="1185"/>
      <c r="JSU85" s="1185"/>
      <c r="JSV85" s="1185"/>
      <c r="JSW85" s="1185"/>
      <c r="JSX85" s="1185"/>
      <c r="JSY85" s="1185"/>
      <c r="JSZ85" s="1185"/>
      <c r="JTA85" s="1185"/>
      <c r="JTB85" s="1185"/>
      <c r="JTC85" s="1185"/>
      <c r="JTD85" s="1185"/>
      <c r="JTE85" s="1185"/>
      <c r="JTF85" s="1185"/>
      <c r="JTG85" s="1185"/>
      <c r="JTH85" s="1185"/>
      <c r="JTI85" s="1185"/>
      <c r="JTJ85" s="1185"/>
      <c r="JTK85" s="1185"/>
      <c r="JTL85" s="1185"/>
      <c r="JTM85" s="1185"/>
      <c r="JTN85" s="1185"/>
      <c r="JTO85" s="1185"/>
      <c r="JTP85" s="1185"/>
      <c r="JTQ85" s="1185"/>
      <c r="JTR85" s="1185"/>
      <c r="JTS85" s="1185"/>
      <c r="JTT85" s="1185"/>
      <c r="JTU85" s="1185"/>
      <c r="JTV85" s="1185"/>
      <c r="JTW85" s="1185"/>
      <c r="JTX85" s="1185"/>
      <c r="JTY85" s="1185"/>
      <c r="JTZ85" s="1185"/>
      <c r="JUA85" s="1185"/>
      <c r="JUB85" s="1185"/>
      <c r="JUC85" s="1185"/>
      <c r="JUD85" s="1185"/>
      <c r="JUE85" s="1185"/>
      <c r="JUF85" s="1185"/>
      <c r="JUG85" s="1185"/>
      <c r="JUH85" s="1185"/>
      <c r="JUI85" s="1185"/>
      <c r="JUJ85" s="1185"/>
      <c r="JUK85" s="1185"/>
      <c r="JUL85" s="1185"/>
      <c r="JUM85" s="1185"/>
      <c r="JUN85" s="1185"/>
      <c r="JUO85" s="1185"/>
      <c r="JUP85" s="1185"/>
      <c r="JUQ85" s="1185"/>
      <c r="JUR85" s="1185"/>
      <c r="JUS85" s="1185"/>
      <c r="JUT85" s="1185"/>
      <c r="JUU85" s="1185"/>
      <c r="JUV85" s="1185"/>
      <c r="JUW85" s="1185"/>
      <c r="JUX85" s="1185"/>
      <c r="JUY85" s="1185"/>
      <c r="JUZ85" s="1185"/>
      <c r="JVA85" s="1185"/>
      <c r="JVB85" s="1185"/>
      <c r="JVC85" s="1185"/>
      <c r="JVD85" s="1185"/>
      <c r="JVE85" s="1185"/>
      <c r="JVF85" s="1185"/>
      <c r="JVG85" s="1185"/>
      <c r="JVH85" s="1185"/>
      <c r="JVI85" s="1185"/>
      <c r="JVJ85" s="1185"/>
      <c r="JVK85" s="1185"/>
      <c r="JVL85" s="1185"/>
      <c r="JVM85" s="1185"/>
      <c r="JVN85" s="1185"/>
      <c r="JVO85" s="1185"/>
      <c r="JVP85" s="1185"/>
      <c r="JVQ85" s="1185"/>
      <c r="JVR85" s="1185"/>
      <c r="JVS85" s="1185"/>
      <c r="JVT85" s="1185"/>
      <c r="JVU85" s="1185"/>
      <c r="JVV85" s="1185"/>
      <c r="JVW85" s="1185"/>
      <c r="JVX85" s="1185"/>
      <c r="JVY85" s="1185"/>
      <c r="JVZ85" s="1185"/>
      <c r="JWA85" s="1185"/>
      <c r="JWB85" s="1185"/>
      <c r="JWC85" s="1185"/>
      <c r="JWD85" s="1185"/>
      <c r="JWE85" s="1185"/>
      <c r="JWF85" s="1185"/>
      <c r="JWG85" s="1185"/>
      <c r="JWH85" s="1185"/>
      <c r="JWI85" s="1185"/>
      <c r="JWJ85" s="1185"/>
      <c r="JWK85" s="1185"/>
      <c r="JWL85" s="1185"/>
      <c r="JWM85" s="1185"/>
      <c r="JWN85" s="1185"/>
      <c r="JWO85" s="1185"/>
      <c r="JWP85" s="1185"/>
      <c r="JWQ85" s="1185"/>
      <c r="JWR85" s="1185"/>
      <c r="JWS85" s="1185"/>
      <c r="JWT85" s="1185"/>
      <c r="JWU85" s="1185"/>
      <c r="JWV85" s="1185"/>
      <c r="JWW85" s="1185"/>
      <c r="JWX85" s="1185"/>
      <c r="JWY85" s="1185"/>
      <c r="JWZ85" s="1185"/>
      <c r="JXA85" s="1185"/>
      <c r="JXB85" s="1185"/>
      <c r="JXC85" s="1185"/>
      <c r="JXD85" s="1185"/>
      <c r="JXE85" s="1185"/>
      <c r="JXF85" s="1185"/>
      <c r="JXG85" s="1185"/>
      <c r="JXH85" s="1185"/>
      <c r="JXI85" s="1185"/>
      <c r="JXJ85" s="1185"/>
      <c r="JXK85" s="1185"/>
      <c r="JXL85" s="1185"/>
      <c r="JXM85" s="1185"/>
      <c r="JXN85" s="1185"/>
      <c r="JXO85" s="1185"/>
      <c r="JXP85" s="1185"/>
      <c r="JXQ85" s="1185"/>
      <c r="JXR85" s="1185"/>
      <c r="JXS85" s="1185"/>
      <c r="JXT85" s="1185"/>
      <c r="JXU85" s="1185"/>
      <c r="JXV85" s="1185"/>
      <c r="JXW85" s="1185"/>
      <c r="JXX85" s="1185"/>
      <c r="JXY85" s="1185"/>
      <c r="JXZ85" s="1185"/>
      <c r="JYA85" s="1185"/>
      <c r="JYB85" s="1185"/>
      <c r="JYC85" s="1185"/>
      <c r="JYD85" s="1185"/>
      <c r="JYE85" s="1185"/>
      <c r="JYF85" s="1185"/>
      <c r="JYG85" s="1185"/>
      <c r="JYH85" s="1185"/>
      <c r="JYI85" s="1185"/>
      <c r="JYJ85" s="1185"/>
      <c r="JYK85" s="1185"/>
      <c r="JYL85" s="1185"/>
      <c r="JYM85" s="1185"/>
      <c r="JYN85" s="1185"/>
      <c r="JYO85" s="1185"/>
      <c r="JYP85" s="1185"/>
      <c r="JYQ85" s="1185"/>
      <c r="JYR85" s="1185"/>
      <c r="JYS85" s="1185"/>
      <c r="JYT85" s="1185"/>
      <c r="JYU85" s="1185"/>
      <c r="JYV85" s="1185"/>
      <c r="JYW85" s="1185"/>
      <c r="JYX85" s="1185"/>
      <c r="JYY85" s="1185"/>
      <c r="JYZ85" s="1185"/>
      <c r="JZA85" s="1185"/>
      <c r="JZB85" s="1185"/>
      <c r="JZC85" s="1185"/>
      <c r="JZD85" s="1185"/>
      <c r="JZE85" s="1185"/>
      <c r="JZF85" s="1185"/>
      <c r="JZG85" s="1185"/>
      <c r="JZH85" s="1185"/>
      <c r="JZI85" s="1185"/>
      <c r="JZJ85" s="1185"/>
      <c r="JZK85" s="1185"/>
      <c r="JZL85" s="1185"/>
      <c r="JZM85" s="1185"/>
      <c r="JZN85" s="1185"/>
      <c r="JZO85" s="1185"/>
      <c r="JZP85" s="1185"/>
      <c r="JZQ85" s="1185"/>
      <c r="JZR85" s="1185"/>
      <c r="JZS85" s="1185"/>
      <c r="JZT85" s="1185"/>
      <c r="JZU85" s="1185"/>
      <c r="JZV85" s="1185"/>
      <c r="JZW85" s="1185"/>
      <c r="JZX85" s="1185"/>
      <c r="JZY85" s="1185"/>
      <c r="JZZ85" s="1185"/>
      <c r="KAA85" s="1185"/>
      <c r="KAB85" s="1185"/>
      <c r="KAC85" s="1185"/>
      <c r="KAD85" s="1185"/>
      <c r="KAE85" s="1185"/>
      <c r="KAF85" s="1185"/>
      <c r="KAG85" s="1185"/>
      <c r="KAH85" s="1185"/>
      <c r="KAI85" s="1185"/>
      <c r="KAJ85" s="1185"/>
      <c r="KAK85" s="1185"/>
      <c r="KAL85" s="1185"/>
      <c r="KAM85" s="1185"/>
      <c r="KAN85" s="1185"/>
      <c r="KAO85" s="1185"/>
      <c r="KAP85" s="1185"/>
      <c r="KAQ85" s="1185"/>
      <c r="KAR85" s="1185"/>
      <c r="KAS85" s="1185"/>
      <c r="KAT85" s="1185"/>
      <c r="KAU85" s="1185"/>
      <c r="KAV85" s="1185"/>
      <c r="KAW85" s="1185"/>
      <c r="KAX85" s="1185"/>
      <c r="KAY85" s="1185"/>
      <c r="KAZ85" s="1185"/>
      <c r="KBA85" s="1185"/>
      <c r="KBB85" s="1185"/>
      <c r="KBC85" s="1185"/>
      <c r="KBD85" s="1185"/>
      <c r="KBE85" s="1185"/>
      <c r="KBF85" s="1185"/>
      <c r="KBG85" s="1185"/>
      <c r="KBH85" s="1185"/>
      <c r="KBI85" s="1185"/>
      <c r="KBJ85" s="1185"/>
      <c r="KBK85" s="1185"/>
      <c r="KBL85" s="1185"/>
      <c r="KBM85" s="1185"/>
      <c r="KBN85" s="1185"/>
      <c r="KBO85" s="1185"/>
      <c r="KBP85" s="1185"/>
      <c r="KBQ85" s="1185"/>
      <c r="KBR85" s="1185"/>
      <c r="KBS85" s="1185"/>
      <c r="KBT85" s="1185"/>
      <c r="KBU85" s="1185"/>
      <c r="KBV85" s="1185"/>
      <c r="KBW85" s="1185"/>
      <c r="KBX85" s="1185"/>
      <c r="KBY85" s="1185"/>
      <c r="KBZ85" s="1185"/>
      <c r="KCA85" s="1185"/>
      <c r="KCB85" s="1185"/>
      <c r="KCC85" s="1185"/>
      <c r="KCD85" s="1185"/>
      <c r="KCE85" s="1185"/>
      <c r="KCF85" s="1185"/>
      <c r="KCG85" s="1185"/>
      <c r="KCH85" s="1185"/>
      <c r="KCI85" s="1185"/>
      <c r="KCJ85" s="1185"/>
      <c r="KCK85" s="1185"/>
      <c r="KCL85" s="1185"/>
      <c r="KCM85" s="1185"/>
      <c r="KCN85" s="1185"/>
      <c r="KCO85" s="1185"/>
      <c r="KCP85" s="1185"/>
      <c r="KCQ85" s="1185"/>
      <c r="KCR85" s="1185"/>
      <c r="KCS85" s="1185"/>
      <c r="KCT85" s="1185"/>
      <c r="KCU85" s="1185"/>
      <c r="KCV85" s="1185"/>
      <c r="KCW85" s="1185"/>
      <c r="KCX85" s="1185"/>
      <c r="KCY85" s="1185"/>
      <c r="KCZ85" s="1185"/>
      <c r="KDA85" s="1185"/>
      <c r="KDB85" s="1185"/>
      <c r="KDC85" s="1185"/>
      <c r="KDD85" s="1185"/>
      <c r="KDE85" s="1185"/>
      <c r="KDF85" s="1185"/>
      <c r="KDG85" s="1185"/>
      <c r="KDH85" s="1185"/>
      <c r="KDI85" s="1185"/>
      <c r="KDJ85" s="1185"/>
      <c r="KDK85" s="1185"/>
      <c r="KDL85" s="1185"/>
      <c r="KDM85" s="1185"/>
      <c r="KDN85" s="1185"/>
      <c r="KDO85" s="1185"/>
      <c r="KDP85" s="1185"/>
      <c r="KDQ85" s="1185"/>
      <c r="KDR85" s="1185"/>
      <c r="KDS85" s="1185"/>
      <c r="KDT85" s="1185"/>
      <c r="KDU85" s="1185"/>
      <c r="KDV85" s="1185"/>
      <c r="KDW85" s="1185"/>
      <c r="KDX85" s="1185"/>
      <c r="KDY85" s="1185"/>
      <c r="KDZ85" s="1185"/>
      <c r="KEA85" s="1185"/>
      <c r="KEB85" s="1185"/>
      <c r="KEC85" s="1185"/>
      <c r="KED85" s="1185"/>
      <c r="KEE85" s="1185"/>
      <c r="KEF85" s="1185"/>
      <c r="KEG85" s="1185"/>
      <c r="KEH85" s="1185"/>
      <c r="KEI85" s="1185"/>
      <c r="KEJ85" s="1185"/>
      <c r="KEK85" s="1185"/>
      <c r="KEL85" s="1185"/>
      <c r="KEM85" s="1185"/>
      <c r="KEN85" s="1185"/>
      <c r="KEO85" s="1185"/>
      <c r="KEP85" s="1185"/>
      <c r="KEQ85" s="1185"/>
      <c r="KER85" s="1185"/>
      <c r="KES85" s="1185"/>
      <c r="KET85" s="1185"/>
      <c r="KEU85" s="1185"/>
      <c r="KEV85" s="1185"/>
      <c r="KEW85" s="1185"/>
      <c r="KEX85" s="1185"/>
      <c r="KEY85" s="1185"/>
      <c r="KEZ85" s="1185"/>
      <c r="KFA85" s="1185"/>
      <c r="KFB85" s="1185"/>
      <c r="KFC85" s="1185"/>
      <c r="KFD85" s="1185"/>
      <c r="KFE85" s="1185"/>
      <c r="KFF85" s="1185"/>
      <c r="KFG85" s="1185"/>
      <c r="KFH85" s="1185"/>
      <c r="KFI85" s="1185"/>
      <c r="KFJ85" s="1185"/>
      <c r="KFK85" s="1185"/>
      <c r="KFL85" s="1185"/>
      <c r="KFM85" s="1185"/>
      <c r="KFN85" s="1185"/>
      <c r="KFO85" s="1185"/>
      <c r="KFP85" s="1185"/>
      <c r="KFQ85" s="1185"/>
      <c r="KFR85" s="1185"/>
      <c r="KFS85" s="1185"/>
      <c r="KFT85" s="1185"/>
      <c r="KFU85" s="1185"/>
      <c r="KFV85" s="1185"/>
      <c r="KFW85" s="1185"/>
      <c r="KFX85" s="1185"/>
      <c r="KFY85" s="1185"/>
      <c r="KFZ85" s="1185"/>
      <c r="KGA85" s="1185"/>
      <c r="KGB85" s="1185"/>
      <c r="KGC85" s="1185"/>
      <c r="KGD85" s="1185"/>
      <c r="KGE85" s="1185"/>
      <c r="KGF85" s="1185"/>
      <c r="KGG85" s="1185"/>
      <c r="KGH85" s="1185"/>
      <c r="KGI85" s="1185"/>
      <c r="KGJ85" s="1185"/>
      <c r="KGK85" s="1185"/>
      <c r="KGL85" s="1185"/>
      <c r="KGM85" s="1185"/>
      <c r="KGN85" s="1185"/>
      <c r="KGO85" s="1185"/>
      <c r="KGP85" s="1185"/>
      <c r="KGQ85" s="1185"/>
      <c r="KGR85" s="1185"/>
      <c r="KGS85" s="1185"/>
      <c r="KGT85" s="1185"/>
      <c r="KGU85" s="1185"/>
      <c r="KGV85" s="1185"/>
      <c r="KGW85" s="1185"/>
      <c r="KGX85" s="1185"/>
      <c r="KGY85" s="1185"/>
      <c r="KGZ85" s="1185"/>
      <c r="KHA85" s="1185"/>
      <c r="KHB85" s="1185"/>
      <c r="KHC85" s="1185"/>
      <c r="KHD85" s="1185"/>
      <c r="KHE85" s="1185"/>
      <c r="KHF85" s="1185"/>
      <c r="KHG85" s="1185"/>
      <c r="KHH85" s="1185"/>
      <c r="KHI85" s="1185"/>
      <c r="KHJ85" s="1185"/>
      <c r="KHK85" s="1185"/>
      <c r="KHL85" s="1185"/>
      <c r="KHM85" s="1185"/>
      <c r="KHN85" s="1185"/>
      <c r="KHO85" s="1185"/>
      <c r="KHP85" s="1185"/>
      <c r="KHQ85" s="1185"/>
      <c r="KHR85" s="1185"/>
      <c r="KHS85" s="1185"/>
      <c r="KHT85" s="1185"/>
      <c r="KHU85" s="1185"/>
      <c r="KHV85" s="1185"/>
      <c r="KHW85" s="1185"/>
      <c r="KHX85" s="1185"/>
      <c r="KHY85" s="1185"/>
      <c r="KHZ85" s="1185"/>
      <c r="KIA85" s="1185"/>
      <c r="KIB85" s="1185"/>
      <c r="KIC85" s="1185"/>
      <c r="KID85" s="1185"/>
      <c r="KIE85" s="1185"/>
      <c r="KIF85" s="1185"/>
      <c r="KIG85" s="1185"/>
      <c r="KIH85" s="1185"/>
      <c r="KII85" s="1185"/>
      <c r="KIJ85" s="1185"/>
      <c r="KIK85" s="1185"/>
      <c r="KIL85" s="1185"/>
      <c r="KIM85" s="1185"/>
      <c r="KIN85" s="1185"/>
      <c r="KIO85" s="1185"/>
      <c r="KIP85" s="1185"/>
      <c r="KIQ85" s="1185"/>
      <c r="KIR85" s="1185"/>
      <c r="KIS85" s="1185"/>
      <c r="KIT85" s="1185"/>
      <c r="KIU85" s="1185"/>
      <c r="KIV85" s="1185"/>
      <c r="KIW85" s="1185"/>
      <c r="KIX85" s="1185"/>
      <c r="KIY85" s="1185"/>
      <c r="KIZ85" s="1185"/>
      <c r="KJA85" s="1185"/>
      <c r="KJB85" s="1185"/>
      <c r="KJC85" s="1185"/>
      <c r="KJD85" s="1185"/>
      <c r="KJE85" s="1185"/>
      <c r="KJF85" s="1185"/>
      <c r="KJG85" s="1185"/>
      <c r="KJH85" s="1185"/>
      <c r="KJI85" s="1185"/>
      <c r="KJJ85" s="1185"/>
      <c r="KJK85" s="1185"/>
      <c r="KJL85" s="1185"/>
      <c r="KJM85" s="1185"/>
      <c r="KJN85" s="1185"/>
      <c r="KJO85" s="1185"/>
      <c r="KJP85" s="1185"/>
      <c r="KJQ85" s="1185"/>
      <c r="KJR85" s="1185"/>
      <c r="KJS85" s="1185"/>
      <c r="KJT85" s="1185"/>
      <c r="KJU85" s="1185"/>
      <c r="KJV85" s="1185"/>
      <c r="KJW85" s="1185"/>
      <c r="KJX85" s="1185"/>
      <c r="KJY85" s="1185"/>
      <c r="KJZ85" s="1185"/>
      <c r="KKA85" s="1185"/>
      <c r="KKB85" s="1185"/>
      <c r="KKC85" s="1185"/>
      <c r="KKD85" s="1185"/>
      <c r="KKE85" s="1185"/>
      <c r="KKF85" s="1185"/>
      <c r="KKG85" s="1185"/>
      <c r="KKH85" s="1185"/>
      <c r="KKI85" s="1185"/>
      <c r="KKJ85" s="1185"/>
      <c r="KKK85" s="1185"/>
      <c r="KKL85" s="1185"/>
      <c r="KKM85" s="1185"/>
      <c r="KKN85" s="1185"/>
      <c r="KKO85" s="1185"/>
      <c r="KKP85" s="1185"/>
      <c r="KKQ85" s="1185"/>
      <c r="KKR85" s="1185"/>
      <c r="KKS85" s="1185"/>
      <c r="KKT85" s="1185"/>
      <c r="KKU85" s="1185"/>
      <c r="KKV85" s="1185"/>
      <c r="KKW85" s="1185"/>
      <c r="KKX85" s="1185"/>
      <c r="KKY85" s="1185"/>
      <c r="KKZ85" s="1185"/>
      <c r="KLA85" s="1185"/>
      <c r="KLB85" s="1185"/>
      <c r="KLC85" s="1185"/>
      <c r="KLD85" s="1185"/>
      <c r="KLE85" s="1185"/>
      <c r="KLF85" s="1185"/>
      <c r="KLG85" s="1185"/>
      <c r="KLH85" s="1185"/>
      <c r="KLI85" s="1185"/>
      <c r="KLJ85" s="1185"/>
      <c r="KLK85" s="1185"/>
      <c r="KLL85" s="1185"/>
      <c r="KLM85" s="1185"/>
      <c r="KLN85" s="1185"/>
      <c r="KLO85" s="1185"/>
      <c r="KLP85" s="1185"/>
      <c r="KLQ85" s="1185"/>
      <c r="KLR85" s="1185"/>
      <c r="KLS85" s="1185"/>
      <c r="KLT85" s="1185"/>
      <c r="KLU85" s="1185"/>
      <c r="KLV85" s="1185"/>
      <c r="KLW85" s="1185"/>
      <c r="KLX85" s="1185"/>
      <c r="KLY85" s="1185"/>
      <c r="KLZ85" s="1185"/>
      <c r="KMA85" s="1185"/>
      <c r="KMB85" s="1185"/>
      <c r="KMC85" s="1185"/>
      <c r="KMD85" s="1185"/>
      <c r="KME85" s="1185"/>
      <c r="KMF85" s="1185"/>
      <c r="KMG85" s="1185"/>
      <c r="KMH85" s="1185"/>
      <c r="KMI85" s="1185"/>
      <c r="KMJ85" s="1185"/>
      <c r="KMK85" s="1185"/>
      <c r="KML85" s="1185"/>
      <c r="KMM85" s="1185"/>
      <c r="KMN85" s="1185"/>
      <c r="KMO85" s="1185"/>
      <c r="KMP85" s="1185"/>
      <c r="KMQ85" s="1185"/>
      <c r="KMR85" s="1185"/>
      <c r="KMS85" s="1185"/>
      <c r="KMT85" s="1185"/>
      <c r="KMU85" s="1185"/>
      <c r="KMV85" s="1185"/>
      <c r="KMW85" s="1185"/>
      <c r="KMX85" s="1185"/>
      <c r="KMY85" s="1185"/>
      <c r="KMZ85" s="1185"/>
      <c r="KNA85" s="1185"/>
      <c r="KNB85" s="1185"/>
      <c r="KNC85" s="1185"/>
      <c r="KND85" s="1185"/>
      <c r="KNE85" s="1185"/>
      <c r="KNF85" s="1185"/>
      <c r="KNG85" s="1185"/>
      <c r="KNH85" s="1185"/>
      <c r="KNI85" s="1185"/>
      <c r="KNJ85" s="1185"/>
      <c r="KNK85" s="1185"/>
      <c r="KNL85" s="1185"/>
      <c r="KNM85" s="1185"/>
      <c r="KNN85" s="1185"/>
      <c r="KNO85" s="1185"/>
      <c r="KNP85" s="1185"/>
      <c r="KNQ85" s="1185"/>
      <c r="KNR85" s="1185"/>
      <c r="KNS85" s="1185"/>
      <c r="KNT85" s="1185"/>
      <c r="KNU85" s="1185"/>
      <c r="KNV85" s="1185"/>
      <c r="KNW85" s="1185"/>
      <c r="KNX85" s="1185"/>
      <c r="KNY85" s="1185"/>
      <c r="KNZ85" s="1185"/>
      <c r="KOA85" s="1185"/>
      <c r="KOB85" s="1185"/>
      <c r="KOC85" s="1185"/>
      <c r="KOD85" s="1185"/>
      <c r="KOE85" s="1185"/>
      <c r="KOF85" s="1185"/>
      <c r="KOG85" s="1185"/>
      <c r="KOH85" s="1185"/>
      <c r="KOI85" s="1185"/>
      <c r="KOJ85" s="1185"/>
      <c r="KOK85" s="1185"/>
      <c r="KOL85" s="1185"/>
      <c r="KOM85" s="1185"/>
      <c r="KON85" s="1185"/>
      <c r="KOO85" s="1185"/>
      <c r="KOP85" s="1185"/>
      <c r="KOQ85" s="1185"/>
      <c r="KOR85" s="1185"/>
      <c r="KOS85" s="1185"/>
      <c r="KOT85" s="1185"/>
      <c r="KOU85" s="1185"/>
      <c r="KOV85" s="1185"/>
      <c r="KOW85" s="1185"/>
      <c r="KOX85" s="1185"/>
      <c r="KOY85" s="1185"/>
      <c r="KOZ85" s="1185"/>
      <c r="KPA85" s="1185"/>
      <c r="KPB85" s="1185"/>
      <c r="KPC85" s="1185"/>
      <c r="KPD85" s="1185"/>
      <c r="KPE85" s="1185"/>
      <c r="KPF85" s="1185"/>
      <c r="KPG85" s="1185"/>
      <c r="KPH85" s="1185"/>
      <c r="KPI85" s="1185"/>
      <c r="KPJ85" s="1185"/>
      <c r="KPK85" s="1185"/>
      <c r="KPL85" s="1185"/>
      <c r="KPM85" s="1185"/>
      <c r="KPN85" s="1185"/>
      <c r="KPO85" s="1185"/>
      <c r="KPP85" s="1185"/>
      <c r="KPQ85" s="1185"/>
      <c r="KPR85" s="1185"/>
      <c r="KPS85" s="1185"/>
      <c r="KPT85" s="1185"/>
      <c r="KPU85" s="1185"/>
      <c r="KPV85" s="1185"/>
      <c r="KPW85" s="1185"/>
      <c r="KPX85" s="1185"/>
      <c r="KPY85" s="1185"/>
      <c r="KPZ85" s="1185"/>
      <c r="KQA85" s="1185"/>
      <c r="KQB85" s="1185"/>
      <c r="KQC85" s="1185"/>
      <c r="KQD85" s="1185"/>
      <c r="KQE85" s="1185"/>
      <c r="KQF85" s="1185"/>
      <c r="KQG85" s="1185"/>
      <c r="KQH85" s="1185"/>
      <c r="KQI85" s="1185"/>
      <c r="KQJ85" s="1185"/>
      <c r="KQK85" s="1185"/>
      <c r="KQL85" s="1185"/>
      <c r="KQM85" s="1185"/>
      <c r="KQN85" s="1185"/>
      <c r="KQO85" s="1185"/>
      <c r="KQP85" s="1185"/>
      <c r="KQQ85" s="1185"/>
      <c r="KQR85" s="1185"/>
      <c r="KQS85" s="1185"/>
      <c r="KQT85" s="1185"/>
      <c r="KQU85" s="1185"/>
      <c r="KQV85" s="1185"/>
      <c r="KQW85" s="1185"/>
      <c r="KQX85" s="1185"/>
      <c r="KQY85" s="1185"/>
      <c r="KQZ85" s="1185"/>
      <c r="KRA85" s="1185"/>
      <c r="KRB85" s="1185"/>
      <c r="KRC85" s="1185"/>
      <c r="KRD85" s="1185"/>
      <c r="KRE85" s="1185"/>
      <c r="KRF85" s="1185"/>
      <c r="KRG85" s="1185"/>
      <c r="KRH85" s="1185"/>
      <c r="KRI85" s="1185"/>
      <c r="KRJ85" s="1185"/>
      <c r="KRK85" s="1185"/>
      <c r="KRL85" s="1185"/>
      <c r="KRM85" s="1185"/>
      <c r="KRN85" s="1185"/>
      <c r="KRO85" s="1185"/>
      <c r="KRP85" s="1185"/>
      <c r="KRQ85" s="1185"/>
      <c r="KRR85" s="1185"/>
      <c r="KRS85" s="1185"/>
      <c r="KRT85" s="1185"/>
      <c r="KRU85" s="1185"/>
      <c r="KRV85" s="1185"/>
      <c r="KRW85" s="1185"/>
      <c r="KRX85" s="1185"/>
      <c r="KRY85" s="1185"/>
      <c r="KRZ85" s="1185"/>
      <c r="KSA85" s="1185"/>
      <c r="KSB85" s="1185"/>
      <c r="KSC85" s="1185"/>
      <c r="KSD85" s="1185"/>
      <c r="KSE85" s="1185"/>
      <c r="KSF85" s="1185"/>
      <c r="KSG85" s="1185"/>
      <c r="KSH85" s="1185"/>
      <c r="KSI85" s="1185"/>
      <c r="KSJ85" s="1185"/>
      <c r="KSK85" s="1185"/>
      <c r="KSL85" s="1185"/>
      <c r="KSM85" s="1185"/>
      <c r="KSN85" s="1185"/>
      <c r="KSO85" s="1185"/>
      <c r="KSP85" s="1185"/>
      <c r="KSQ85" s="1185"/>
      <c r="KSR85" s="1185"/>
      <c r="KSS85" s="1185"/>
      <c r="KST85" s="1185"/>
      <c r="KSU85" s="1185"/>
      <c r="KSV85" s="1185"/>
      <c r="KSW85" s="1185"/>
      <c r="KSX85" s="1185"/>
      <c r="KSY85" s="1185"/>
      <c r="KSZ85" s="1185"/>
      <c r="KTA85" s="1185"/>
      <c r="KTB85" s="1185"/>
      <c r="KTC85" s="1185"/>
      <c r="KTD85" s="1185"/>
      <c r="KTE85" s="1185"/>
      <c r="KTF85" s="1185"/>
      <c r="KTG85" s="1185"/>
      <c r="KTH85" s="1185"/>
      <c r="KTI85" s="1185"/>
      <c r="KTJ85" s="1185"/>
      <c r="KTK85" s="1185"/>
      <c r="KTL85" s="1185"/>
      <c r="KTM85" s="1185"/>
      <c r="KTN85" s="1185"/>
      <c r="KTO85" s="1185"/>
      <c r="KTP85" s="1185"/>
      <c r="KTQ85" s="1185"/>
      <c r="KTR85" s="1185"/>
      <c r="KTS85" s="1185"/>
      <c r="KTT85" s="1185"/>
      <c r="KTU85" s="1185"/>
      <c r="KTV85" s="1185"/>
      <c r="KTW85" s="1185"/>
      <c r="KTX85" s="1185"/>
      <c r="KTY85" s="1185"/>
      <c r="KTZ85" s="1185"/>
      <c r="KUA85" s="1185"/>
      <c r="KUB85" s="1185"/>
      <c r="KUC85" s="1185"/>
      <c r="KUD85" s="1185"/>
      <c r="KUE85" s="1185"/>
      <c r="KUF85" s="1185"/>
      <c r="KUG85" s="1185"/>
      <c r="KUH85" s="1185"/>
      <c r="KUI85" s="1185"/>
      <c r="KUJ85" s="1185"/>
      <c r="KUK85" s="1185"/>
      <c r="KUL85" s="1185"/>
      <c r="KUM85" s="1185"/>
      <c r="KUN85" s="1185"/>
      <c r="KUO85" s="1185"/>
      <c r="KUP85" s="1185"/>
      <c r="KUQ85" s="1185"/>
      <c r="KUR85" s="1185"/>
      <c r="KUS85" s="1185"/>
      <c r="KUT85" s="1185"/>
      <c r="KUU85" s="1185"/>
      <c r="KUV85" s="1185"/>
      <c r="KUW85" s="1185"/>
      <c r="KUX85" s="1185"/>
      <c r="KUY85" s="1185"/>
      <c r="KUZ85" s="1185"/>
      <c r="KVA85" s="1185"/>
      <c r="KVB85" s="1185"/>
      <c r="KVC85" s="1185"/>
      <c r="KVD85" s="1185"/>
      <c r="KVE85" s="1185"/>
      <c r="KVF85" s="1185"/>
      <c r="KVG85" s="1185"/>
      <c r="KVH85" s="1185"/>
      <c r="KVI85" s="1185"/>
      <c r="KVJ85" s="1185"/>
      <c r="KVK85" s="1185"/>
      <c r="KVL85" s="1185"/>
      <c r="KVM85" s="1185"/>
      <c r="KVN85" s="1185"/>
      <c r="KVO85" s="1185"/>
      <c r="KVP85" s="1185"/>
      <c r="KVQ85" s="1185"/>
      <c r="KVR85" s="1185"/>
      <c r="KVS85" s="1185"/>
      <c r="KVT85" s="1185"/>
      <c r="KVU85" s="1185"/>
      <c r="KVV85" s="1185"/>
      <c r="KVW85" s="1185"/>
      <c r="KVX85" s="1185"/>
      <c r="KVY85" s="1185"/>
      <c r="KVZ85" s="1185"/>
      <c r="KWA85" s="1185"/>
      <c r="KWB85" s="1185"/>
      <c r="KWC85" s="1185"/>
      <c r="KWD85" s="1185"/>
      <c r="KWE85" s="1185"/>
      <c r="KWF85" s="1185"/>
      <c r="KWG85" s="1185"/>
      <c r="KWH85" s="1185"/>
      <c r="KWI85" s="1185"/>
      <c r="KWJ85" s="1185"/>
      <c r="KWK85" s="1185"/>
      <c r="KWL85" s="1185"/>
      <c r="KWM85" s="1185"/>
      <c r="KWN85" s="1185"/>
      <c r="KWO85" s="1185"/>
      <c r="KWP85" s="1185"/>
      <c r="KWQ85" s="1185"/>
      <c r="KWR85" s="1185"/>
      <c r="KWS85" s="1185"/>
      <c r="KWT85" s="1185"/>
      <c r="KWU85" s="1185"/>
      <c r="KWV85" s="1185"/>
      <c r="KWW85" s="1185"/>
      <c r="KWX85" s="1185"/>
      <c r="KWY85" s="1185"/>
      <c r="KWZ85" s="1185"/>
      <c r="KXA85" s="1185"/>
      <c r="KXB85" s="1185"/>
      <c r="KXC85" s="1185"/>
      <c r="KXD85" s="1185"/>
      <c r="KXE85" s="1185"/>
      <c r="KXF85" s="1185"/>
      <c r="KXG85" s="1185"/>
      <c r="KXH85" s="1185"/>
      <c r="KXI85" s="1185"/>
      <c r="KXJ85" s="1185"/>
      <c r="KXK85" s="1185"/>
      <c r="KXL85" s="1185"/>
      <c r="KXM85" s="1185"/>
      <c r="KXN85" s="1185"/>
      <c r="KXO85" s="1185"/>
      <c r="KXP85" s="1185"/>
      <c r="KXQ85" s="1185"/>
      <c r="KXR85" s="1185"/>
      <c r="KXS85" s="1185"/>
      <c r="KXT85" s="1185"/>
      <c r="KXU85" s="1185"/>
      <c r="KXV85" s="1185"/>
      <c r="KXW85" s="1185"/>
      <c r="KXX85" s="1185"/>
      <c r="KXY85" s="1185"/>
      <c r="KXZ85" s="1185"/>
      <c r="KYA85" s="1185"/>
      <c r="KYB85" s="1185"/>
      <c r="KYC85" s="1185"/>
      <c r="KYD85" s="1185"/>
      <c r="KYE85" s="1185"/>
      <c r="KYF85" s="1185"/>
      <c r="KYG85" s="1185"/>
      <c r="KYH85" s="1185"/>
      <c r="KYI85" s="1185"/>
      <c r="KYJ85" s="1185"/>
      <c r="KYK85" s="1185"/>
      <c r="KYL85" s="1185"/>
      <c r="KYM85" s="1185"/>
      <c r="KYN85" s="1185"/>
      <c r="KYO85" s="1185"/>
      <c r="KYP85" s="1185"/>
      <c r="KYQ85" s="1185"/>
      <c r="KYR85" s="1185"/>
      <c r="KYS85" s="1185"/>
      <c r="KYT85" s="1185"/>
      <c r="KYU85" s="1185"/>
      <c r="KYV85" s="1185"/>
      <c r="KYW85" s="1185"/>
      <c r="KYX85" s="1185"/>
      <c r="KYY85" s="1185"/>
      <c r="KYZ85" s="1185"/>
      <c r="KZA85" s="1185"/>
      <c r="KZB85" s="1185"/>
      <c r="KZC85" s="1185"/>
      <c r="KZD85" s="1185"/>
      <c r="KZE85" s="1185"/>
      <c r="KZF85" s="1185"/>
      <c r="KZG85" s="1185"/>
      <c r="KZH85" s="1185"/>
      <c r="KZI85" s="1185"/>
      <c r="KZJ85" s="1185"/>
      <c r="KZK85" s="1185"/>
      <c r="KZL85" s="1185"/>
      <c r="KZM85" s="1185"/>
      <c r="KZN85" s="1185"/>
      <c r="KZO85" s="1185"/>
      <c r="KZP85" s="1185"/>
      <c r="KZQ85" s="1185"/>
      <c r="KZR85" s="1185"/>
      <c r="KZS85" s="1185"/>
      <c r="KZT85" s="1185"/>
      <c r="KZU85" s="1185"/>
      <c r="KZV85" s="1185"/>
      <c r="KZW85" s="1185"/>
      <c r="KZX85" s="1185"/>
      <c r="KZY85" s="1185"/>
      <c r="KZZ85" s="1185"/>
      <c r="LAA85" s="1185"/>
      <c r="LAB85" s="1185"/>
      <c r="LAC85" s="1185"/>
      <c r="LAD85" s="1185"/>
      <c r="LAE85" s="1185"/>
      <c r="LAF85" s="1185"/>
      <c r="LAG85" s="1185"/>
      <c r="LAH85" s="1185"/>
      <c r="LAI85" s="1185"/>
      <c r="LAJ85" s="1185"/>
      <c r="LAK85" s="1185"/>
      <c r="LAL85" s="1185"/>
      <c r="LAM85" s="1185"/>
      <c r="LAN85" s="1185"/>
      <c r="LAO85" s="1185"/>
      <c r="LAP85" s="1185"/>
      <c r="LAQ85" s="1185"/>
      <c r="LAR85" s="1185"/>
      <c r="LAS85" s="1185"/>
      <c r="LAT85" s="1185"/>
      <c r="LAU85" s="1185"/>
      <c r="LAV85" s="1185"/>
      <c r="LAW85" s="1185"/>
      <c r="LAX85" s="1185"/>
      <c r="LAY85" s="1185"/>
      <c r="LAZ85" s="1185"/>
      <c r="LBA85" s="1185"/>
      <c r="LBB85" s="1185"/>
      <c r="LBC85" s="1185"/>
      <c r="LBD85" s="1185"/>
      <c r="LBE85" s="1185"/>
      <c r="LBF85" s="1185"/>
      <c r="LBG85" s="1185"/>
      <c r="LBH85" s="1185"/>
      <c r="LBI85" s="1185"/>
      <c r="LBJ85" s="1185"/>
      <c r="LBK85" s="1185"/>
      <c r="LBL85" s="1185"/>
      <c r="LBM85" s="1185"/>
      <c r="LBN85" s="1185"/>
      <c r="LBO85" s="1185"/>
      <c r="LBP85" s="1185"/>
      <c r="LBQ85" s="1185"/>
      <c r="LBR85" s="1185"/>
      <c r="LBS85" s="1185"/>
      <c r="LBT85" s="1185"/>
      <c r="LBU85" s="1185"/>
      <c r="LBV85" s="1185"/>
      <c r="LBW85" s="1185"/>
      <c r="LBX85" s="1185"/>
      <c r="LBY85" s="1185"/>
      <c r="LBZ85" s="1185"/>
      <c r="LCA85" s="1185"/>
      <c r="LCB85" s="1185"/>
      <c r="LCC85" s="1185"/>
      <c r="LCD85" s="1185"/>
      <c r="LCE85" s="1185"/>
      <c r="LCF85" s="1185"/>
      <c r="LCG85" s="1185"/>
      <c r="LCH85" s="1185"/>
      <c r="LCI85" s="1185"/>
      <c r="LCJ85" s="1185"/>
      <c r="LCK85" s="1185"/>
      <c r="LCL85" s="1185"/>
      <c r="LCM85" s="1185"/>
      <c r="LCN85" s="1185"/>
      <c r="LCO85" s="1185"/>
      <c r="LCP85" s="1185"/>
      <c r="LCQ85" s="1185"/>
      <c r="LCR85" s="1185"/>
      <c r="LCS85" s="1185"/>
      <c r="LCT85" s="1185"/>
      <c r="LCU85" s="1185"/>
      <c r="LCV85" s="1185"/>
      <c r="LCW85" s="1185"/>
      <c r="LCX85" s="1185"/>
      <c r="LCY85" s="1185"/>
      <c r="LCZ85" s="1185"/>
      <c r="LDA85" s="1185"/>
      <c r="LDB85" s="1185"/>
      <c r="LDC85" s="1185"/>
      <c r="LDD85" s="1185"/>
      <c r="LDE85" s="1185"/>
      <c r="LDF85" s="1185"/>
      <c r="LDG85" s="1185"/>
      <c r="LDH85" s="1185"/>
      <c r="LDI85" s="1185"/>
      <c r="LDJ85" s="1185"/>
      <c r="LDK85" s="1185"/>
      <c r="LDL85" s="1185"/>
      <c r="LDM85" s="1185"/>
      <c r="LDN85" s="1185"/>
      <c r="LDO85" s="1185"/>
      <c r="LDP85" s="1185"/>
      <c r="LDQ85" s="1185"/>
      <c r="LDR85" s="1185"/>
      <c r="LDS85" s="1185"/>
      <c r="LDT85" s="1185"/>
      <c r="LDU85" s="1185"/>
      <c r="LDV85" s="1185"/>
      <c r="LDW85" s="1185"/>
      <c r="LDX85" s="1185"/>
      <c r="LDY85" s="1185"/>
      <c r="LDZ85" s="1185"/>
      <c r="LEA85" s="1185"/>
      <c r="LEB85" s="1185"/>
      <c r="LEC85" s="1185"/>
      <c r="LED85" s="1185"/>
      <c r="LEE85" s="1185"/>
      <c r="LEF85" s="1185"/>
      <c r="LEG85" s="1185"/>
      <c r="LEH85" s="1185"/>
      <c r="LEI85" s="1185"/>
      <c r="LEJ85" s="1185"/>
      <c r="LEK85" s="1185"/>
      <c r="LEL85" s="1185"/>
      <c r="LEM85" s="1185"/>
      <c r="LEN85" s="1185"/>
      <c r="LEO85" s="1185"/>
      <c r="LEP85" s="1185"/>
      <c r="LEQ85" s="1185"/>
      <c r="LER85" s="1185"/>
      <c r="LES85" s="1185"/>
      <c r="LET85" s="1185"/>
      <c r="LEU85" s="1185"/>
      <c r="LEV85" s="1185"/>
      <c r="LEW85" s="1185"/>
      <c r="LEX85" s="1185"/>
      <c r="LEY85" s="1185"/>
      <c r="LEZ85" s="1185"/>
      <c r="LFA85" s="1185"/>
      <c r="LFB85" s="1185"/>
      <c r="LFC85" s="1185"/>
      <c r="LFD85" s="1185"/>
      <c r="LFE85" s="1185"/>
      <c r="LFF85" s="1185"/>
      <c r="LFG85" s="1185"/>
      <c r="LFH85" s="1185"/>
      <c r="LFI85" s="1185"/>
      <c r="LFJ85" s="1185"/>
      <c r="LFK85" s="1185"/>
      <c r="LFL85" s="1185"/>
      <c r="LFM85" s="1185"/>
      <c r="LFN85" s="1185"/>
      <c r="LFO85" s="1185"/>
      <c r="LFP85" s="1185"/>
      <c r="LFQ85" s="1185"/>
      <c r="LFR85" s="1185"/>
      <c r="LFS85" s="1185"/>
      <c r="LFT85" s="1185"/>
      <c r="LFU85" s="1185"/>
      <c r="LFV85" s="1185"/>
      <c r="LFW85" s="1185"/>
      <c r="LFX85" s="1185"/>
      <c r="LFY85" s="1185"/>
      <c r="LFZ85" s="1185"/>
      <c r="LGA85" s="1185"/>
      <c r="LGB85" s="1185"/>
      <c r="LGC85" s="1185"/>
      <c r="LGD85" s="1185"/>
      <c r="LGE85" s="1185"/>
      <c r="LGF85" s="1185"/>
      <c r="LGG85" s="1185"/>
      <c r="LGH85" s="1185"/>
      <c r="LGI85" s="1185"/>
      <c r="LGJ85" s="1185"/>
      <c r="LGK85" s="1185"/>
      <c r="LGL85" s="1185"/>
      <c r="LGM85" s="1185"/>
      <c r="LGN85" s="1185"/>
      <c r="LGO85" s="1185"/>
      <c r="LGP85" s="1185"/>
      <c r="LGQ85" s="1185"/>
      <c r="LGR85" s="1185"/>
      <c r="LGS85" s="1185"/>
      <c r="LGT85" s="1185"/>
      <c r="LGU85" s="1185"/>
      <c r="LGV85" s="1185"/>
      <c r="LGW85" s="1185"/>
      <c r="LGX85" s="1185"/>
      <c r="LGY85" s="1185"/>
      <c r="LGZ85" s="1185"/>
      <c r="LHA85" s="1185"/>
      <c r="LHB85" s="1185"/>
      <c r="LHC85" s="1185"/>
      <c r="LHD85" s="1185"/>
      <c r="LHE85" s="1185"/>
      <c r="LHF85" s="1185"/>
      <c r="LHG85" s="1185"/>
      <c r="LHH85" s="1185"/>
      <c r="LHI85" s="1185"/>
      <c r="LHJ85" s="1185"/>
      <c r="LHK85" s="1185"/>
      <c r="LHL85" s="1185"/>
      <c r="LHM85" s="1185"/>
      <c r="LHN85" s="1185"/>
      <c r="LHO85" s="1185"/>
      <c r="LHP85" s="1185"/>
      <c r="LHQ85" s="1185"/>
      <c r="LHR85" s="1185"/>
      <c r="LHS85" s="1185"/>
      <c r="LHT85" s="1185"/>
      <c r="LHU85" s="1185"/>
      <c r="LHV85" s="1185"/>
      <c r="LHW85" s="1185"/>
      <c r="LHX85" s="1185"/>
      <c r="LHY85" s="1185"/>
      <c r="LHZ85" s="1185"/>
      <c r="LIA85" s="1185"/>
      <c r="LIB85" s="1185"/>
      <c r="LIC85" s="1185"/>
      <c r="LID85" s="1185"/>
      <c r="LIE85" s="1185"/>
      <c r="LIF85" s="1185"/>
      <c r="LIG85" s="1185"/>
      <c r="LIH85" s="1185"/>
      <c r="LII85" s="1185"/>
      <c r="LIJ85" s="1185"/>
      <c r="LIK85" s="1185"/>
      <c r="LIL85" s="1185"/>
      <c r="LIM85" s="1185"/>
      <c r="LIN85" s="1185"/>
      <c r="LIO85" s="1185"/>
      <c r="LIP85" s="1185"/>
      <c r="LIQ85" s="1185"/>
      <c r="LIR85" s="1185"/>
      <c r="LIS85" s="1185"/>
      <c r="LIT85" s="1185"/>
      <c r="LIU85" s="1185"/>
      <c r="LIV85" s="1185"/>
      <c r="LIW85" s="1185"/>
      <c r="LIX85" s="1185"/>
      <c r="LIY85" s="1185"/>
      <c r="LIZ85" s="1185"/>
      <c r="LJA85" s="1185"/>
      <c r="LJB85" s="1185"/>
      <c r="LJC85" s="1185"/>
      <c r="LJD85" s="1185"/>
      <c r="LJE85" s="1185"/>
      <c r="LJF85" s="1185"/>
      <c r="LJG85" s="1185"/>
      <c r="LJH85" s="1185"/>
      <c r="LJI85" s="1185"/>
      <c r="LJJ85" s="1185"/>
      <c r="LJK85" s="1185"/>
      <c r="LJL85" s="1185"/>
      <c r="LJM85" s="1185"/>
      <c r="LJN85" s="1185"/>
      <c r="LJO85" s="1185"/>
      <c r="LJP85" s="1185"/>
      <c r="LJQ85" s="1185"/>
      <c r="LJR85" s="1185"/>
      <c r="LJS85" s="1185"/>
      <c r="LJT85" s="1185"/>
      <c r="LJU85" s="1185"/>
      <c r="LJV85" s="1185"/>
      <c r="LJW85" s="1185"/>
      <c r="LJX85" s="1185"/>
      <c r="LJY85" s="1185"/>
      <c r="LJZ85" s="1185"/>
      <c r="LKA85" s="1185"/>
      <c r="LKB85" s="1185"/>
      <c r="LKC85" s="1185"/>
      <c r="LKD85" s="1185"/>
      <c r="LKE85" s="1185"/>
      <c r="LKF85" s="1185"/>
      <c r="LKG85" s="1185"/>
      <c r="LKH85" s="1185"/>
      <c r="LKI85" s="1185"/>
      <c r="LKJ85" s="1185"/>
      <c r="LKK85" s="1185"/>
      <c r="LKL85" s="1185"/>
      <c r="LKM85" s="1185"/>
      <c r="LKN85" s="1185"/>
      <c r="LKO85" s="1185"/>
      <c r="LKP85" s="1185"/>
      <c r="LKQ85" s="1185"/>
      <c r="LKR85" s="1185"/>
      <c r="LKS85" s="1185"/>
      <c r="LKT85" s="1185"/>
      <c r="LKU85" s="1185"/>
      <c r="LKV85" s="1185"/>
      <c r="LKW85" s="1185"/>
      <c r="LKX85" s="1185"/>
      <c r="LKY85" s="1185"/>
      <c r="LKZ85" s="1185"/>
      <c r="LLA85" s="1185"/>
      <c r="LLB85" s="1185"/>
      <c r="LLC85" s="1185"/>
      <c r="LLD85" s="1185"/>
      <c r="LLE85" s="1185"/>
      <c r="LLF85" s="1185"/>
      <c r="LLG85" s="1185"/>
      <c r="LLH85" s="1185"/>
      <c r="LLI85" s="1185"/>
      <c r="LLJ85" s="1185"/>
      <c r="LLK85" s="1185"/>
      <c r="LLL85" s="1185"/>
      <c r="LLM85" s="1185"/>
      <c r="LLN85" s="1185"/>
      <c r="LLO85" s="1185"/>
      <c r="LLP85" s="1185"/>
      <c r="LLQ85" s="1185"/>
      <c r="LLR85" s="1185"/>
      <c r="LLS85" s="1185"/>
      <c r="LLT85" s="1185"/>
      <c r="LLU85" s="1185"/>
      <c r="LLV85" s="1185"/>
      <c r="LLW85" s="1185"/>
      <c r="LLX85" s="1185"/>
      <c r="LLY85" s="1185"/>
      <c r="LLZ85" s="1185"/>
      <c r="LMA85" s="1185"/>
      <c r="LMB85" s="1185"/>
      <c r="LMC85" s="1185"/>
      <c r="LMD85" s="1185"/>
      <c r="LME85" s="1185"/>
      <c r="LMF85" s="1185"/>
      <c r="LMG85" s="1185"/>
      <c r="LMH85" s="1185"/>
      <c r="LMI85" s="1185"/>
      <c r="LMJ85" s="1185"/>
      <c r="LMK85" s="1185"/>
      <c r="LML85" s="1185"/>
      <c r="LMM85" s="1185"/>
      <c r="LMN85" s="1185"/>
      <c r="LMO85" s="1185"/>
      <c r="LMP85" s="1185"/>
      <c r="LMQ85" s="1185"/>
      <c r="LMR85" s="1185"/>
      <c r="LMS85" s="1185"/>
      <c r="LMT85" s="1185"/>
      <c r="LMU85" s="1185"/>
      <c r="LMV85" s="1185"/>
      <c r="LMW85" s="1185"/>
      <c r="LMX85" s="1185"/>
      <c r="LMY85" s="1185"/>
      <c r="LMZ85" s="1185"/>
      <c r="LNA85" s="1185"/>
      <c r="LNB85" s="1185"/>
      <c r="LNC85" s="1185"/>
      <c r="LND85" s="1185"/>
      <c r="LNE85" s="1185"/>
      <c r="LNF85" s="1185"/>
      <c r="LNG85" s="1185"/>
      <c r="LNH85" s="1185"/>
      <c r="LNI85" s="1185"/>
      <c r="LNJ85" s="1185"/>
      <c r="LNK85" s="1185"/>
      <c r="LNL85" s="1185"/>
      <c r="LNM85" s="1185"/>
      <c r="LNN85" s="1185"/>
      <c r="LNO85" s="1185"/>
      <c r="LNP85" s="1185"/>
      <c r="LNQ85" s="1185"/>
      <c r="LNR85" s="1185"/>
      <c r="LNS85" s="1185"/>
      <c r="LNT85" s="1185"/>
      <c r="LNU85" s="1185"/>
      <c r="LNV85" s="1185"/>
      <c r="LNW85" s="1185"/>
      <c r="LNX85" s="1185"/>
      <c r="LNY85" s="1185"/>
      <c r="LNZ85" s="1185"/>
      <c r="LOA85" s="1185"/>
      <c r="LOB85" s="1185"/>
      <c r="LOC85" s="1185"/>
      <c r="LOD85" s="1185"/>
      <c r="LOE85" s="1185"/>
      <c r="LOF85" s="1185"/>
      <c r="LOG85" s="1185"/>
      <c r="LOH85" s="1185"/>
      <c r="LOI85" s="1185"/>
      <c r="LOJ85" s="1185"/>
      <c r="LOK85" s="1185"/>
      <c r="LOL85" s="1185"/>
      <c r="LOM85" s="1185"/>
      <c r="LON85" s="1185"/>
      <c r="LOO85" s="1185"/>
      <c r="LOP85" s="1185"/>
      <c r="LOQ85" s="1185"/>
      <c r="LOR85" s="1185"/>
      <c r="LOS85" s="1185"/>
      <c r="LOT85" s="1185"/>
      <c r="LOU85" s="1185"/>
      <c r="LOV85" s="1185"/>
      <c r="LOW85" s="1185"/>
      <c r="LOX85" s="1185"/>
      <c r="LOY85" s="1185"/>
      <c r="LOZ85" s="1185"/>
      <c r="LPA85" s="1185"/>
      <c r="LPB85" s="1185"/>
      <c r="LPC85" s="1185"/>
      <c r="LPD85" s="1185"/>
      <c r="LPE85" s="1185"/>
      <c r="LPF85" s="1185"/>
      <c r="LPG85" s="1185"/>
      <c r="LPH85" s="1185"/>
      <c r="LPI85" s="1185"/>
      <c r="LPJ85" s="1185"/>
      <c r="LPK85" s="1185"/>
      <c r="LPL85" s="1185"/>
      <c r="LPM85" s="1185"/>
      <c r="LPN85" s="1185"/>
      <c r="LPO85" s="1185"/>
      <c r="LPP85" s="1185"/>
      <c r="LPQ85" s="1185"/>
      <c r="LPR85" s="1185"/>
      <c r="LPS85" s="1185"/>
      <c r="LPT85" s="1185"/>
      <c r="LPU85" s="1185"/>
      <c r="LPV85" s="1185"/>
      <c r="LPW85" s="1185"/>
      <c r="LPX85" s="1185"/>
      <c r="LPY85" s="1185"/>
      <c r="LPZ85" s="1185"/>
      <c r="LQA85" s="1185"/>
      <c r="LQB85" s="1185"/>
      <c r="LQC85" s="1185"/>
      <c r="LQD85" s="1185"/>
      <c r="LQE85" s="1185"/>
      <c r="LQF85" s="1185"/>
      <c r="LQG85" s="1185"/>
      <c r="LQH85" s="1185"/>
      <c r="LQI85" s="1185"/>
      <c r="LQJ85" s="1185"/>
      <c r="LQK85" s="1185"/>
      <c r="LQL85" s="1185"/>
      <c r="LQM85" s="1185"/>
      <c r="LQN85" s="1185"/>
      <c r="LQO85" s="1185"/>
      <c r="LQP85" s="1185"/>
      <c r="LQQ85" s="1185"/>
      <c r="LQR85" s="1185"/>
      <c r="LQS85" s="1185"/>
      <c r="LQT85" s="1185"/>
      <c r="LQU85" s="1185"/>
      <c r="LQV85" s="1185"/>
      <c r="LQW85" s="1185"/>
      <c r="LQX85" s="1185"/>
      <c r="LQY85" s="1185"/>
      <c r="LQZ85" s="1185"/>
      <c r="LRA85" s="1185"/>
      <c r="LRB85" s="1185"/>
      <c r="LRC85" s="1185"/>
      <c r="LRD85" s="1185"/>
      <c r="LRE85" s="1185"/>
      <c r="LRF85" s="1185"/>
      <c r="LRG85" s="1185"/>
      <c r="LRH85" s="1185"/>
      <c r="LRI85" s="1185"/>
      <c r="LRJ85" s="1185"/>
      <c r="LRK85" s="1185"/>
      <c r="LRL85" s="1185"/>
      <c r="LRM85" s="1185"/>
      <c r="LRN85" s="1185"/>
      <c r="LRO85" s="1185"/>
      <c r="LRP85" s="1185"/>
      <c r="LRQ85" s="1185"/>
      <c r="LRR85" s="1185"/>
      <c r="LRS85" s="1185"/>
      <c r="LRT85" s="1185"/>
      <c r="LRU85" s="1185"/>
      <c r="LRV85" s="1185"/>
      <c r="LRW85" s="1185"/>
      <c r="LRX85" s="1185"/>
      <c r="LRY85" s="1185"/>
      <c r="LRZ85" s="1185"/>
      <c r="LSA85" s="1185"/>
      <c r="LSB85" s="1185"/>
      <c r="LSC85" s="1185"/>
      <c r="LSD85" s="1185"/>
      <c r="LSE85" s="1185"/>
      <c r="LSF85" s="1185"/>
      <c r="LSG85" s="1185"/>
      <c r="LSH85" s="1185"/>
      <c r="LSI85" s="1185"/>
      <c r="LSJ85" s="1185"/>
      <c r="LSK85" s="1185"/>
      <c r="LSL85" s="1185"/>
      <c r="LSM85" s="1185"/>
      <c r="LSN85" s="1185"/>
      <c r="LSO85" s="1185"/>
      <c r="LSP85" s="1185"/>
      <c r="LSQ85" s="1185"/>
      <c r="LSR85" s="1185"/>
      <c r="LSS85" s="1185"/>
      <c r="LST85" s="1185"/>
      <c r="LSU85" s="1185"/>
      <c r="LSV85" s="1185"/>
      <c r="LSW85" s="1185"/>
      <c r="LSX85" s="1185"/>
      <c r="LSY85" s="1185"/>
      <c r="LSZ85" s="1185"/>
      <c r="LTA85" s="1185"/>
      <c r="LTB85" s="1185"/>
      <c r="LTC85" s="1185"/>
      <c r="LTD85" s="1185"/>
      <c r="LTE85" s="1185"/>
      <c r="LTF85" s="1185"/>
      <c r="LTG85" s="1185"/>
      <c r="LTH85" s="1185"/>
      <c r="LTI85" s="1185"/>
      <c r="LTJ85" s="1185"/>
      <c r="LTK85" s="1185"/>
      <c r="LTL85" s="1185"/>
      <c r="LTM85" s="1185"/>
      <c r="LTN85" s="1185"/>
      <c r="LTO85" s="1185"/>
      <c r="LTP85" s="1185"/>
      <c r="LTQ85" s="1185"/>
      <c r="LTR85" s="1185"/>
      <c r="LTS85" s="1185"/>
      <c r="LTT85" s="1185"/>
      <c r="LTU85" s="1185"/>
      <c r="LTV85" s="1185"/>
      <c r="LTW85" s="1185"/>
      <c r="LTX85" s="1185"/>
      <c r="LTY85" s="1185"/>
      <c r="LTZ85" s="1185"/>
      <c r="LUA85" s="1185"/>
      <c r="LUB85" s="1185"/>
      <c r="LUC85" s="1185"/>
      <c r="LUD85" s="1185"/>
      <c r="LUE85" s="1185"/>
      <c r="LUF85" s="1185"/>
      <c r="LUG85" s="1185"/>
      <c r="LUH85" s="1185"/>
      <c r="LUI85" s="1185"/>
      <c r="LUJ85" s="1185"/>
      <c r="LUK85" s="1185"/>
      <c r="LUL85" s="1185"/>
      <c r="LUM85" s="1185"/>
      <c r="LUN85" s="1185"/>
      <c r="LUO85" s="1185"/>
      <c r="LUP85" s="1185"/>
      <c r="LUQ85" s="1185"/>
      <c r="LUR85" s="1185"/>
      <c r="LUS85" s="1185"/>
      <c r="LUT85" s="1185"/>
      <c r="LUU85" s="1185"/>
      <c r="LUV85" s="1185"/>
      <c r="LUW85" s="1185"/>
      <c r="LUX85" s="1185"/>
      <c r="LUY85" s="1185"/>
      <c r="LUZ85" s="1185"/>
      <c r="LVA85" s="1185"/>
      <c r="LVB85" s="1185"/>
      <c r="LVC85" s="1185"/>
      <c r="LVD85" s="1185"/>
      <c r="LVE85" s="1185"/>
      <c r="LVF85" s="1185"/>
      <c r="LVG85" s="1185"/>
      <c r="LVH85" s="1185"/>
      <c r="LVI85" s="1185"/>
      <c r="LVJ85" s="1185"/>
      <c r="LVK85" s="1185"/>
      <c r="LVL85" s="1185"/>
      <c r="LVM85" s="1185"/>
      <c r="LVN85" s="1185"/>
      <c r="LVO85" s="1185"/>
      <c r="LVP85" s="1185"/>
      <c r="LVQ85" s="1185"/>
      <c r="LVR85" s="1185"/>
      <c r="LVS85" s="1185"/>
      <c r="LVT85" s="1185"/>
      <c r="LVU85" s="1185"/>
      <c r="LVV85" s="1185"/>
      <c r="LVW85" s="1185"/>
      <c r="LVX85" s="1185"/>
      <c r="LVY85" s="1185"/>
      <c r="LVZ85" s="1185"/>
      <c r="LWA85" s="1185"/>
      <c r="LWB85" s="1185"/>
      <c r="LWC85" s="1185"/>
      <c r="LWD85" s="1185"/>
      <c r="LWE85" s="1185"/>
      <c r="LWF85" s="1185"/>
      <c r="LWG85" s="1185"/>
      <c r="LWH85" s="1185"/>
      <c r="LWI85" s="1185"/>
      <c r="LWJ85" s="1185"/>
      <c r="LWK85" s="1185"/>
      <c r="LWL85" s="1185"/>
      <c r="LWM85" s="1185"/>
      <c r="LWN85" s="1185"/>
      <c r="LWO85" s="1185"/>
      <c r="LWP85" s="1185"/>
      <c r="LWQ85" s="1185"/>
      <c r="LWR85" s="1185"/>
      <c r="LWS85" s="1185"/>
      <c r="LWT85" s="1185"/>
      <c r="LWU85" s="1185"/>
      <c r="LWV85" s="1185"/>
      <c r="LWW85" s="1185"/>
      <c r="LWX85" s="1185"/>
      <c r="LWY85" s="1185"/>
      <c r="LWZ85" s="1185"/>
      <c r="LXA85" s="1185"/>
      <c r="LXB85" s="1185"/>
      <c r="LXC85" s="1185"/>
      <c r="LXD85" s="1185"/>
      <c r="LXE85" s="1185"/>
      <c r="LXF85" s="1185"/>
      <c r="LXG85" s="1185"/>
      <c r="LXH85" s="1185"/>
      <c r="LXI85" s="1185"/>
      <c r="LXJ85" s="1185"/>
      <c r="LXK85" s="1185"/>
      <c r="LXL85" s="1185"/>
      <c r="LXM85" s="1185"/>
      <c r="LXN85" s="1185"/>
      <c r="LXO85" s="1185"/>
      <c r="LXP85" s="1185"/>
      <c r="LXQ85" s="1185"/>
      <c r="LXR85" s="1185"/>
      <c r="LXS85" s="1185"/>
      <c r="LXT85" s="1185"/>
      <c r="LXU85" s="1185"/>
      <c r="LXV85" s="1185"/>
      <c r="LXW85" s="1185"/>
      <c r="LXX85" s="1185"/>
      <c r="LXY85" s="1185"/>
      <c r="LXZ85" s="1185"/>
      <c r="LYA85" s="1185"/>
      <c r="LYB85" s="1185"/>
      <c r="LYC85" s="1185"/>
      <c r="LYD85" s="1185"/>
      <c r="LYE85" s="1185"/>
      <c r="LYF85" s="1185"/>
      <c r="LYG85" s="1185"/>
      <c r="LYH85" s="1185"/>
      <c r="LYI85" s="1185"/>
      <c r="LYJ85" s="1185"/>
      <c r="LYK85" s="1185"/>
      <c r="LYL85" s="1185"/>
      <c r="LYM85" s="1185"/>
      <c r="LYN85" s="1185"/>
      <c r="LYO85" s="1185"/>
      <c r="LYP85" s="1185"/>
      <c r="LYQ85" s="1185"/>
      <c r="LYR85" s="1185"/>
      <c r="LYS85" s="1185"/>
      <c r="LYT85" s="1185"/>
      <c r="LYU85" s="1185"/>
      <c r="LYV85" s="1185"/>
      <c r="LYW85" s="1185"/>
      <c r="LYX85" s="1185"/>
      <c r="LYY85" s="1185"/>
      <c r="LYZ85" s="1185"/>
      <c r="LZA85" s="1185"/>
      <c r="LZB85" s="1185"/>
      <c r="LZC85" s="1185"/>
      <c r="LZD85" s="1185"/>
      <c r="LZE85" s="1185"/>
      <c r="LZF85" s="1185"/>
      <c r="LZG85" s="1185"/>
      <c r="LZH85" s="1185"/>
      <c r="LZI85" s="1185"/>
      <c r="LZJ85" s="1185"/>
      <c r="LZK85" s="1185"/>
      <c r="LZL85" s="1185"/>
      <c r="LZM85" s="1185"/>
      <c r="LZN85" s="1185"/>
      <c r="LZO85" s="1185"/>
      <c r="LZP85" s="1185"/>
      <c r="LZQ85" s="1185"/>
      <c r="LZR85" s="1185"/>
      <c r="LZS85" s="1185"/>
      <c r="LZT85" s="1185"/>
      <c r="LZU85" s="1185"/>
      <c r="LZV85" s="1185"/>
      <c r="LZW85" s="1185"/>
      <c r="LZX85" s="1185"/>
      <c r="LZY85" s="1185"/>
      <c r="LZZ85" s="1185"/>
      <c r="MAA85" s="1185"/>
      <c r="MAB85" s="1185"/>
      <c r="MAC85" s="1185"/>
      <c r="MAD85" s="1185"/>
      <c r="MAE85" s="1185"/>
      <c r="MAF85" s="1185"/>
      <c r="MAG85" s="1185"/>
      <c r="MAH85" s="1185"/>
      <c r="MAI85" s="1185"/>
      <c r="MAJ85" s="1185"/>
      <c r="MAK85" s="1185"/>
      <c r="MAL85" s="1185"/>
      <c r="MAM85" s="1185"/>
      <c r="MAN85" s="1185"/>
      <c r="MAO85" s="1185"/>
      <c r="MAP85" s="1185"/>
      <c r="MAQ85" s="1185"/>
      <c r="MAR85" s="1185"/>
      <c r="MAS85" s="1185"/>
      <c r="MAT85" s="1185"/>
      <c r="MAU85" s="1185"/>
      <c r="MAV85" s="1185"/>
      <c r="MAW85" s="1185"/>
      <c r="MAX85" s="1185"/>
      <c r="MAY85" s="1185"/>
      <c r="MAZ85" s="1185"/>
      <c r="MBA85" s="1185"/>
      <c r="MBB85" s="1185"/>
      <c r="MBC85" s="1185"/>
      <c r="MBD85" s="1185"/>
      <c r="MBE85" s="1185"/>
      <c r="MBF85" s="1185"/>
      <c r="MBG85" s="1185"/>
      <c r="MBH85" s="1185"/>
      <c r="MBI85" s="1185"/>
      <c r="MBJ85" s="1185"/>
      <c r="MBK85" s="1185"/>
      <c r="MBL85" s="1185"/>
      <c r="MBM85" s="1185"/>
      <c r="MBN85" s="1185"/>
      <c r="MBO85" s="1185"/>
      <c r="MBP85" s="1185"/>
      <c r="MBQ85" s="1185"/>
      <c r="MBR85" s="1185"/>
      <c r="MBS85" s="1185"/>
      <c r="MBT85" s="1185"/>
      <c r="MBU85" s="1185"/>
      <c r="MBV85" s="1185"/>
      <c r="MBW85" s="1185"/>
      <c r="MBX85" s="1185"/>
      <c r="MBY85" s="1185"/>
      <c r="MBZ85" s="1185"/>
      <c r="MCA85" s="1185"/>
      <c r="MCB85" s="1185"/>
      <c r="MCC85" s="1185"/>
      <c r="MCD85" s="1185"/>
      <c r="MCE85" s="1185"/>
      <c r="MCF85" s="1185"/>
      <c r="MCG85" s="1185"/>
      <c r="MCH85" s="1185"/>
      <c r="MCI85" s="1185"/>
      <c r="MCJ85" s="1185"/>
      <c r="MCK85" s="1185"/>
      <c r="MCL85" s="1185"/>
      <c r="MCM85" s="1185"/>
      <c r="MCN85" s="1185"/>
      <c r="MCO85" s="1185"/>
      <c r="MCP85" s="1185"/>
      <c r="MCQ85" s="1185"/>
      <c r="MCR85" s="1185"/>
      <c r="MCS85" s="1185"/>
      <c r="MCT85" s="1185"/>
      <c r="MCU85" s="1185"/>
      <c r="MCV85" s="1185"/>
      <c r="MCW85" s="1185"/>
      <c r="MCX85" s="1185"/>
      <c r="MCY85" s="1185"/>
      <c r="MCZ85" s="1185"/>
      <c r="MDA85" s="1185"/>
      <c r="MDB85" s="1185"/>
      <c r="MDC85" s="1185"/>
      <c r="MDD85" s="1185"/>
      <c r="MDE85" s="1185"/>
      <c r="MDF85" s="1185"/>
      <c r="MDG85" s="1185"/>
      <c r="MDH85" s="1185"/>
      <c r="MDI85" s="1185"/>
      <c r="MDJ85" s="1185"/>
      <c r="MDK85" s="1185"/>
      <c r="MDL85" s="1185"/>
      <c r="MDM85" s="1185"/>
      <c r="MDN85" s="1185"/>
      <c r="MDO85" s="1185"/>
      <c r="MDP85" s="1185"/>
      <c r="MDQ85" s="1185"/>
      <c r="MDR85" s="1185"/>
      <c r="MDS85" s="1185"/>
      <c r="MDT85" s="1185"/>
      <c r="MDU85" s="1185"/>
      <c r="MDV85" s="1185"/>
      <c r="MDW85" s="1185"/>
      <c r="MDX85" s="1185"/>
      <c r="MDY85" s="1185"/>
      <c r="MDZ85" s="1185"/>
      <c r="MEA85" s="1185"/>
      <c r="MEB85" s="1185"/>
      <c r="MEC85" s="1185"/>
      <c r="MED85" s="1185"/>
      <c r="MEE85" s="1185"/>
      <c r="MEF85" s="1185"/>
      <c r="MEG85" s="1185"/>
      <c r="MEH85" s="1185"/>
      <c r="MEI85" s="1185"/>
      <c r="MEJ85" s="1185"/>
      <c r="MEK85" s="1185"/>
      <c r="MEL85" s="1185"/>
      <c r="MEM85" s="1185"/>
      <c r="MEN85" s="1185"/>
      <c r="MEO85" s="1185"/>
      <c r="MEP85" s="1185"/>
      <c r="MEQ85" s="1185"/>
      <c r="MER85" s="1185"/>
      <c r="MES85" s="1185"/>
      <c r="MET85" s="1185"/>
      <c r="MEU85" s="1185"/>
      <c r="MEV85" s="1185"/>
      <c r="MEW85" s="1185"/>
      <c r="MEX85" s="1185"/>
      <c r="MEY85" s="1185"/>
      <c r="MEZ85" s="1185"/>
      <c r="MFA85" s="1185"/>
      <c r="MFB85" s="1185"/>
      <c r="MFC85" s="1185"/>
      <c r="MFD85" s="1185"/>
      <c r="MFE85" s="1185"/>
      <c r="MFF85" s="1185"/>
      <c r="MFG85" s="1185"/>
      <c r="MFH85" s="1185"/>
      <c r="MFI85" s="1185"/>
      <c r="MFJ85" s="1185"/>
      <c r="MFK85" s="1185"/>
      <c r="MFL85" s="1185"/>
      <c r="MFM85" s="1185"/>
      <c r="MFN85" s="1185"/>
      <c r="MFO85" s="1185"/>
      <c r="MFP85" s="1185"/>
      <c r="MFQ85" s="1185"/>
      <c r="MFR85" s="1185"/>
      <c r="MFS85" s="1185"/>
      <c r="MFT85" s="1185"/>
      <c r="MFU85" s="1185"/>
      <c r="MFV85" s="1185"/>
      <c r="MFW85" s="1185"/>
      <c r="MFX85" s="1185"/>
      <c r="MFY85" s="1185"/>
      <c r="MFZ85" s="1185"/>
      <c r="MGA85" s="1185"/>
      <c r="MGB85" s="1185"/>
      <c r="MGC85" s="1185"/>
      <c r="MGD85" s="1185"/>
      <c r="MGE85" s="1185"/>
      <c r="MGF85" s="1185"/>
      <c r="MGG85" s="1185"/>
      <c r="MGH85" s="1185"/>
      <c r="MGI85" s="1185"/>
      <c r="MGJ85" s="1185"/>
      <c r="MGK85" s="1185"/>
      <c r="MGL85" s="1185"/>
      <c r="MGM85" s="1185"/>
      <c r="MGN85" s="1185"/>
      <c r="MGO85" s="1185"/>
      <c r="MGP85" s="1185"/>
      <c r="MGQ85" s="1185"/>
      <c r="MGR85" s="1185"/>
      <c r="MGS85" s="1185"/>
      <c r="MGT85" s="1185"/>
      <c r="MGU85" s="1185"/>
      <c r="MGV85" s="1185"/>
      <c r="MGW85" s="1185"/>
      <c r="MGX85" s="1185"/>
      <c r="MGY85" s="1185"/>
      <c r="MGZ85" s="1185"/>
      <c r="MHA85" s="1185"/>
      <c r="MHB85" s="1185"/>
      <c r="MHC85" s="1185"/>
      <c r="MHD85" s="1185"/>
      <c r="MHE85" s="1185"/>
      <c r="MHF85" s="1185"/>
      <c r="MHG85" s="1185"/>
      <c r="MHH85" s="1185"/>
      <c r="MHI85" s="1185"/>
      <c r="MHJ85" s="1185"/>
      <c r="MHK85" s="1185"/>
      <c r="MHL85" s="1185"/>
      <c r="MHM85" s="1185"/>
      <c r="MHN85" s="1185"/>
      <c r="MHO85" s="1185"/>
      <c r="MHP85" s="1185"/>
      <c r="MHQ85" s="1185"/>
      <c r="MHR85" s="1185"/>
      <c r="MHS85" s="1185"/>
      <c r="MHT85" s="1185"/>
      <c r="MHU85" s="1185"/>
      <c r="MHV85" s="1185"/>
      <c r="MHW85" s="1185"/>
      <c r="MHX85" s="1185"/>
      <c r="MHY85" s="1185"/>
      <c r="MHZ85" s="1185"/>
      <c r="MIA85" s="1185"/>
      <c r="MIB85" s="1185"/>
      <c r="MIC85" s="1185"/>
      <c r="MID85" s="1185"/>
      <c r="MIE85" s="1185"/>
      <c r="MIF85" s="1185"/>
      <c r="MIG85" s="1185"/>
      <c r="MIH85" s="1185"/>
      <c r="MII85" s="1185"/>
      <c r="MIJ85" s="1185"/>
      <c r="MIK85" s="1185"/>
      <c r="MIL85" s="1185"/>
      <c r="MIM85" s="1185"/>
      <c r="MIN85" s="1185"/>
      <c r="MIO85" s="1185"/>
      <c r="MIP85" s="1185"/>
      <c r="MIQ85" s="1185"/>
      <c r="MIR85" s="1185"/>
      <c r="MIS85" s="1185"/>
      <c r="MIT85" s="1185"/>
      <c r="MIU85" s="1185"/>
      <c r="MIV85" s="1185"/>
      <c r="MIW85" s="1185"/>
      <c r="MIX85" s="1185"/>
      <c r="MIY85" s="1185"/>
      <c r="MIZ85" s="1185"/>
      <c r="MJA85" s="1185"/>
      <c r="MJB85" s="1185"/>
      <c r="MJC85" s="1185"/>
      <c r="MJD85" s="1185"/>
      <c r="MJE85" s="1185"/>
      <c r="MJF85" s="1185"/>
      <c r="MJG85" s="1185"/>
      <c r="MJH85" s="1185"/>
      <c r="MJI85" s="1185"/>
      <c r="MJJ85" s="1185"/>
      <c r="MJK85" s="1185"/>
      <c r="MJL85" s="1185"/>
      <c r="MJM85" s="1185"/>
      <c r="MJN85" s="1185"/>
      <c r="MJO85" s="1185"/>
      <c r="MJP85" s="1185"/>
      <c r="MJQ85" s="1185"/>
      <c r="MJR85" s="1185"/>
      <c r="MJS85" s="1185"/>
      <c r="MJT85" s="1185"/>
      <c r="MJU85" s="1185"/>
      <c r="MJV85" s="1185"/>
      <c r="MJW85" s="1185"/>
      <c r="MJX85" s="1185"/>
      <c r="MJY85" s="1185"/>
      <c r="MJZ85" s="1185"/>
      <c r="MKA85" s="1185"/>
      <c r="MKB85" s="1185"/>
      <c r="MKC85" s="1185"/>
      <c r="MKD85" s="1185"/>
      <c r="MKE85" s="1185"/>
      <c r="MKF85" s="1185"/>
      <c r="MKG85" s="1185"/>
      <c r="MKH85" s="1185"/>
      <c r="MKI85" s="1185"/>
      <c r="MKJ85" s="1185"/>
      <c r="MKK85" s="1185"/>
      <c r="MKL85" s="1185"/>
      <c r="MKM85" s="1185"/>
      <c r="MKN85" s="1185"/>
      <c r="MKO85" s="1185"/>
      <c r="MKP85" s="1185"/>
      <c r="MKQ85" s="1185"/>
      <c r="MKR85" s="1185"/>
      <c r="MKS85" s="1185"/>
      <c r="MKT85" s="1185"/>
      <c r="MKU85" s="1185"/>
      <c r="MKV85" s="1185"/>
      <c r="MKW85" s="1185"/>
      <c r="MKX85" s="1185"/>
      <c r="MKY85" s="1185"/>
      <c r="MKZ85" s="1185"/>
      <c r="MLA85" s="1185"/>
      <c r="MLB85" s="1185"/>
      <c r="MLC85" s="1185"/>
      <c r="MLD85" s="1185"/>
      <c r="MLE85" s="1185"/>
      <c r="MLF85" s="1185"/>
      <c r="MLG85" s="1185"/>
      <c r="MLH85" s="1185"/>
      <c r="MLI85" s="1185"/>
      <c r="MLJ85" s="1185"/>
      <c r="MLK85" s="1185"/>
      <c r="MLL85" s="1185"/>
      <c r="MLM85" s="1185"/>
      <c r="MLN85" s="1185"/>
      <c r="MLO85" s="1185"/>
      <c r="MLP85" s="1185"/>
      <c r="MLQ85" s="1185"/>
      <c r="MLR85" s="1185"/>
      <c r="MLS85" s="1185"/>
      <c r="MLT85" s="1185"/>
      <c r="MLU85" s="1185"/>
      <c r="MLV85" s="1185"/>
      <c r="MLW85" s="1185"/>
      <c r="MLX85" s="1185"/>
      <c r="MLY85" s="1185"/>
      <c r="MLZ85" s="1185"/>
      <c r="MMA85" s="1185"/>
      <c r="MMB85" s="1185"/>
      <c r="MMC85" s="1185"/>
      <c r="MMD85" s="1185"/>
      <c r="MME85" s="1185"/>
      <c r="MMF85" s="1185"/>
      <c r="MMG85" s="1185"/>
      <c r="MMH85" s="1185"/>
      <c r="MMI85" s="1185"/>
      <c r="MMJ85" s="1185"/>
      <c r="MMK85" s="1185"/>
      <c r="MML85" s="1185"/>
      <c r="MMM85" s="1185"/>
      <c r="MMN85" s="1185"/>
      <c r="MMO85" s="1185"/>
      <c r="MMP85" s="1185"/>
      <c r="MMQ85" s="1185"/>
      <c r="MMR85" s="1185"/>
      <c r="MMS85" s="1185"/>
      <c r="MMT85" s="1185"/>
      <c r="MMU85" s="1185"/>
      <c r="MMV85" s="1185"/>
      <c r="MMW85" s="1185"/>
      <c r="MMX85" s="1185"/>
      <c r="MMY85" s="1185"/>
      <c r="MMZ85" s="1185"/>
      <c r="MNA85" s="1185"/>
      <c r="MNB85" s="1185"/>
      <c r="MNC85" s="1185"/>
      <c r="MND85" s="1185"/>
      <c r="MNE85" s="1185"/>
      <c r="MNF85" s="1185"/>
      <c r="MNG85" s="1185"/>
      <c r="MNH85" s="1185"/>
      <c r="MNI85" s="1185"/>
      <c r="MNJ85" s="1185"/>
      <c r="MNK85" s="1185"/>
      <c r="MNL85" s="1185"/>
      <c r="MNM85" s="1185"/>
      <c r="MNN85" s="1185"/>
      <c r="MNO85" s="1185"/>
      <c r="MNP85" s="1185"/>
      <c r="MNQ85" s="1185"/>
      <c r="MNR85" s="1185"/>
      <c r="MNS85" s="1185"/>
      <c r="MNT85" s="1185"/>
      <c r="MNU85" s="1185"/>
      <c r="MNV85" s="1185"/>
      <c r="MNW85" s="1185"/>
      <c r="MNX85" s="1185"/>
      <c r="MNY85" s="1185"/>
      <c r="MNZ85" s="1185"/>
      <c r="MOA85" s="1185"/>
      <c r="MOB85" s="1185"/>
      <c r="MOC85" s="1185"/>
      <c r="MOD85" s="1185"/>
      <c r="MOE85" s="1185"/>
      <c r="MOF85" s="1185"/>
      <c r="MOG85" s="1185"/>
      <c r="MOH85" s="1185"/>
      <c r="MOI85" s="1185"/>
      <c r="MOJ85" s="1185"/>
      <c r="MOK85" s="1185"/>
      <c r="MOL85" s="1185"/>
      <c r="MOM85" s="1185"/>
      <c r="MON85" s="1185"/>
      <c r="MOO85" s="1185"/>
      <c r="MOP85" s="1185"/>
      <c r="MOQ85" s="1185"/>
      <c r="MOR85" s="1185"/>
      <c r="MOS85" s="1185"/>
      <c r="MOT85" s="1185"/>
      <c r="MOU85" s="1185"/>
      <c r="MOV85" s="1185"/>
      <c r="MOW85" s="1185"/>
      <c r="MOX85" s="1185"/>
      <c r="MOY85" s="1185"/>
      <c r="MOZ85" s="1185"/>
      <c r="MPA85" s="1185"/>
      <c r="MPB85" s="1185"/>
      <c r="MPC85" s="1185"/>
      <c r="MPD85" s="1185"/>
      <c r="MPE85" s="1185"/>
      <c r="MPF85" s="1185"/>
      <c r="MPG85" s="1185"/>
      <c r="MPH85" s="1185"/>
      <c r="MPI85" s="1185"/>
      <c r="MPJ85" s="1185"/>
      <c r="MPK85" s="1185"/>
      <c r="MPL85" s="1185"/>
      <c r="MPM85" s="1185"/>
      <c r="MPN85" s="1185"/>
      <c r="MPO85" s="1185"/>
      <c r="MPP85" s="1185"/>
      <c r="MPQ85" s="1185"/>
      <c r="MPR85" s="1185"/>
      <c r="MPS85" s="1185"/>
      <c r="MPT85" s="1185"/>
      <c r="MPU85" s="1185"/>
      <c r="MPV85" s="1185"/>
      <c r="MPW85" s="1185"/>
      <c r="MPX85" s="1185"/>
      <c r="MPY85" s="1185"/>
      <c r="MPZ85" s="1185"/>
      <c r="MQA85" s="1185"/>
      <c r="MQB85" s="1185"/>
      <c r="MQC85" s="1185"/>
      <c r="MQD85" s="1185"/>
      <c r="MQE85" s="1185"/>
      <c r="MQF85" s="1185"/>
      <c r="MQG85" s="1185"/>
      <c r="MQH85" s="1185"/>
      <c r="MQI85" s="1185"/>
      <c r="MQJ85" s="1185"/>
      <c r="MQK85" s="1185"/>
      <c r="MQL85" s="1185"/>
      <c r="MQM85" s="1185"/>
      <c r="MQN85" s="1185"/>
      <c r="MQO85" s="1185"/>
      <c r="MQP85" s="1185"/>
      <c r="MQQ85" s="1185"/>
      <c r="MQR85" s="1185"/>
      <c r="MQS85" s="1185"/>
      <c r="MQT85" s="1185"/>
      <c r="MQU85" s="1185"/>
      <c r="MQV85" s="1185"/>
      <c r="MQW85" s="1185"/>
      <c r="MQX85" s="1185"/>
      <c r="MQY85" s="1185"/>
      <c r="MQZ85" s="1185"/>
      <c r="MRA85" s="1185"/>
      <c r="MRB85" s="1185"/>
      <c r="MRC85" s="1185"/>
      <c r="MRD85" s="1185"/>
      <c r="MRE85" s="1185"/>
      <c r="MRF85" s="1185"/>
      <c r="MRG85" s="1185"/>
      <c r="MRH85" s="1185"/>
      <c r="MRI85" s="1185"/>
      <c r="MRJ85" s="1185"/>
      <c r="MRK85" s="1185"/>
      <c r="MRL85" s="1185"/>
      <c r="MRM85" s="1185"/>
      <c r="MRN85" s="1185"/>
      <c r="MRO85" s="1185"/>
      <c r="MRP85" s="1185"/>
      <c r="MRQ85" s="1185"/>
      <c r="MRR85" s="1185"/>
      <c r="MRS85" s="1185"/>
      <c r="MRT85" s="1185"/>
      <c r="MRU85" s="1185"/>
      <c r="MRV85" s="1185"/>
      <c r="MRW85" s="1185"/>
      <c r="MRX85" s="1185"/>
      <c r="MRY85" s="1185"/>
      <c r="MRZ85" s="1185"/>
      <c r="MSA85" s="1185"/>
      <c r="MSB85" s="1185"/>
      <c r="MSC85" s="1185"/>
      <c r="MSD85" s="1185"/>
      <c r="MSE85" s="1185"/>
      <c r="MSF85" s="1185"/>
      <c r="MSG85" s="1185"/>
      <c r="MSH85" s="1185"/>
      <c r="MSI85" s="1185"/>
      <c r="MSJ85" s="1185"/>
      <c r="MSK85" s="1185"/>
      <c r="MSL85" s="1185"/>
      <c r="MSM85" s="1185"/>
      <c r="MSN85" s="1185"/>
      <c r="MSO85" s="1185"/>
      <c r="MSP85" s="1185"/>
      <c r="MSQ85" s="1185"/>
      <c r="MSR85" s="1185"/>
      <c r="MSS85" s="1185"/>
      <c r="MST85" s="1185"/>
      <c r="MSU85" s="1185"/>
      <c r="MSV85" s="1185"/>
      <c r="MSW85" s="1185"/>
      <c r="MSX85" s="1185"/>
      <c r="MSY85" s="1185"/>
      <c r="MSZ85" s="1185"/>
      <c r="MTA85" s="1185"/>
      <c r="MTB85" s="1185"/>
      <c r="MTC85" s="1185"/>
      <c r="MTD85" s="1185"/>
      <c r="MTE85" s="1185"/>
      <c r="MTF85" s="1185"/>
      <c r="MTG85" s="1185"/>
      <c r="MTH85" s="1185"/>
      <c r="MTI85" s="1185"/>
      <c r="MTJ85" s="1185"/>
      <c r="MTK85" s="1185"/>
      <c r="MTL85" s="1185"/>
      <c r="MTM85" s="1185"/>
      <c r="MTN85" s="1185"/>
      <c r="MTO85" s="1185"/>
      <c r="MTP85" s="1185"/>
      <c r="MTQ85" s="1185"/>
      <c r="MTR85" s="1185"/>
      <c r="MTS85" s="1185"/>
      <c r="MTT85" s="1185"/>
      <c r="MTU85" s="1185"/>
      <c r="MTV85" s="1185"/>
      <c r="MTW85" s="1185"/>
      <c r="MTX85" s="1185"/>
      <c r="MTY85" s="1185"/>
      <c r="MTZ85" s="1185"/>
      <c r="MUA85" s="1185"/>
      <c r="MUB85" s="1185"/>
      <c r="MUC85" s="1185"/>
      <c r="MUD85" s="1185"/>
      <c r="MUE85" s="1185"/>
      <c r="MUF85" s="1185"/>
      <c r="MUG85" s="1185"/>
      <c r="MUH85" s="1185"/>
      <c r="MUI85" s="1185"/>
      <c r="MUJ85" s="1185"/>
      <c r="MUK85" s="1185"/>
      <c r="MUL85" s="1185"/>
      <c r="MUM85" s="1185"/>
      <c r="MUN85" s="1185"/>
      <c r="MUO85" s="1185"/>
      <c r="MUP85" s="1185"/>
      <c r="MUQ85" s="1185"/>
      <c r="MUR85" s="1185"/>
      <c r="MUS85" s="1185"/>
      <c r="MUT85" s="1185"/>
      <c r="MUU85" s="1185"/>
      <c r="MUV85" s="1185"/>
      <c r="MUW85" s="1185"/>
      <c r="MUX85" s="1185"/>
      <c r="MUY85" s="1185"/>
      <c r="MUZ85" s="1185"/>
      <c r="MVA85" s="1185"/>
      <c r="MVB85" s="1185"/>
      <c r="MVC85" s="1185"/>
      <c r="MVD85" s="1185"/>
      <c r="MVE85" s="1185"/>
      <c r="MVF85" s="1185"/>
      <c r="MVG85" s="1185"/>
      <c r="MVH85" s="1185"/>
      <c r="MVI85" s="1185"/>
      <c r="MVJ85" s="1185"/>
      <c r="MVK85" s="1185"/>
      <c r="MVL85" s="1185"/>
      <c r="MVM85" s="1185"/>
      <c r="MVN85" s="1185"/>
      <c r="MVO85" s="1185"/>
      <c r="MVP85" s="1185"/>
      <c r="MVQ85" s="1185"/>
      <c r="MVR85" s="1185"/>
      <c r="MVS85" s="1185"/>
      <c r="MVT85" s="1185"/>
      <c r="MVU85" s="1185"/>
      <c r="MVV85" s="1185"/>
      <c r="MVW85" s="1185"/>
      <c r="MVX85" s="1185"/>
      <c r="MVY85" s="1185"/>
      <c r="MVZ85" s="1185"/>
      <c r="MWA85" s="1185"/>
      <c r="MWB85" s="1185"/>
      <c r="MWC85" s="1185"/>
      <c r="MWD85" s="1185"/>
      <c r="MWE85" s="1185"/>
      <c r="MWF85" s="1185"/>
      <c r="MWG85" s="1185"/>
      <c r="MWH85" s="1185"/>
      <c r="MWI85" s="1185"/>
      <c r="MWJ85" s="1185"/>
      <c r="MWK85" s="1185"/>
      <c r="MWL85" s="1185"/>
      <c r="MWM85" s="1185"/>
      <c r="MWN85" s="1185"/>
      <c r="MWO85" s="1185"/>
      <c r="MWP85" s="1185"/>
      <c r="MWQ85" s="1185"/>
      <c r="MWR85" s="1185"/>
      <c r="MWS85" s="1185"/>
      <c r="MWT85" s="1185"/>
      <c r="MWU85" s="1185"/>
      <c r="MWV85" s="1185"/>
      <c r="MWW85" s="1185"/>
      <c r="MWX85" s="1185"/>
      <c r="MWY85" s="1185"/>
      <c r="MWZ85" s="1185"/>
      <c r="MXA85" s="1185"/>
      <c r="MXB85" s="1185"/>
      <c r="MXC85" s="1185"/>
      <c r="MXD85" s="1185"/>
      <c r="MXE85" s="1185"/>
      <c r="MXF85" s="1185"/>
      <c r="MXG85" s="1185"/>
      <c r="MXH85" s="1185"/>
      <c r="MXI85" s="1185"/>
      <c r="MXJ85" s="1185"/>
      <c r="MXK85" s="1185"/>
      <c r="MXL85" s="1185"/>
      <c r="MXM85" s="1185"/>
      <c r="MXN85" s="1185"/>
      <c r="MXO85" s="1185"/>
      <c r="MXP85" s="1185"/>
      <c r="MXQ85" s="1185"/>
      <c r="MXR85" s="1185"/>
      <c r="MXS85" s="1185"/>
      <c r="MXT85" s="1185"/>
      <c r="MXU85" s="1185"/>
      <c r="MXV85" s="1185"/>
      <c r="MXW85" s="1185"/>
      <c r="MXX85" s="1185"/>
      <c r="MXY85" s="1185"/>
      <c r="MXZ85" s="1185"/>
      <c r="MYA85" s="1185"/>
      <c r="MYB85" s="1185"/>
      <c r="MYC85" s="1185"/>
      <c r="MYD85" s="1185"/>
      <c r="MYE85" s="1185"/>
      <c r="MYF85" s="1185"/>
      <c r="MYG85" s="1185"/>
      <c r="MYH85" s="1185"/>
      <c r="MYI85" s="1185"/>
      <c r="MYJ85" s="1185"/>
      <c r="MYK85" s="1185"/>
      <c r="MYL85" s="1185"/>
      <c r="MYM85" s="1185"/>
      <c r="MYN85" s="1185"/>
      <c r="MYO85" s="1185"/>
      <c r="MYP85" s="1185"/>
      <c r="MYQ85" s="1185"/>
      <c r="MYR85" s="1185"/>
      <c r="MYS85" s="1185"/>
      <c r="MYT85" s="1185"/>
      <c r="MYU85" s="1185"/>
      <c r="MYV85" s="1185"/>
      <c r="MYW85" s="1185"/>
      <c r="MYX85" s="1185"/>
      <c r="MYY85" s="1185"/>
      <c r="MYZ85" s="1185"/>
      <c r="MZA85" s="1185"/>
      <c r="MZB85" s="1185"/>
      <c r="MZC85" s="1185"/>
      <c r="MZD85" s="1185"/>
      <c r="MZE85" s="1185"/>
      <c r="MZF85" s="1185"/>
      <c r="MZG85" s="1185"/>
      <c r="MZH85" s="1185"/>
      <c r="MZI85" s="1185"/>
      <c r="MZJ85" s="1185"/>
      <c r="MZK85" s="1185"/>
      <c r="MZL85" s="1185"/>
      <c r="MZM85" s="1185"/>
      <c r="MZN85" s="1185"/>
      <c r="MZO85" s="1185"/>
      <c r="MZP85" s="1185"/>
      <c r="MZQ85" s="1185"/>
      <c r="MZR85" s="1185"/>
      <c r="MZS85" s="1185"/>
      <c r="MZT85" s="1185"/>
      <c r="MZU85" s="1185"/>
      <c r="MZV85" s="1185"/>
      <c r="MZW85" s="1185"/>
      <c r="MZX85" s="1185"/>
      <c r="MZY85" s="1185"/>
      <c r="MZZ85" s="1185"/>
      <c r="NAA85" s="1185"/>
      <c r="NAB85" s="1185"/>
      <c r="NAC85" s="1185"/>
      <c r="NAD85" s="1185"/>
      <c r="NAE85" s="1185"/>
      <c r="NAF85" s="1185"/>
      <c r="NAG85" s="1185"/>
      <c r="NAH85" s="1185"/>
      <c r="NAI85" s="1185"/>
      <c r="NAJ85" s="1185"/>
      <c r="NAK85" s="1185"/>
      <c r="NAL85" s="1185"/>
      <c r="NAM85" s="1185"/>
      <c r="NAN85" s="1185"/>
      <c r="NAO85" s="1185"/>
      <c r="NAP85" s="1185"/>
      <c r="NAQ85" s="1185"/>
      <c r="NAR85" s="1185"/>
      <c r="NAS85" s="1185"/>
      <c r="NAT85" s="1185"/>
      <c r="NAU85" s="1185"/>
      <c r="NAV85" s="1185"/>
      <c r="NAW85" s="1185"/>
      <c r="NAX85" s="1185"/>
      <c r="NAY85" s="1185"/>
      <c r="NAZ85" s="1185"/>
      <c r="NBA85" s="1185"/>
      <c r="NBB85" s="1185"/>
      <c r="NBC85" s="1185"/>
      <c r="NBD85" s="1185"/>
      <c r="NBE85" s="1185"/>
      <c r="NBF85" s="1185"/>
      <c r="NBG85" s="1185"/>
      <c r="NBH85" s="1185"/>
      <c r="NBI85" s="1185"/>
      <c r="NBJ85" s="1185"/>
      <c r="NBK85" s="1185"/>
      <c r="NBL85" s="1185"/>
      <c r="NBM85" s="1185"/>
      <c r="NBN85" s="1185"/>
      <c r="NBO85" s="1185"/>
      <c r="NBP85" s="1185"/>
      <c r="NBQ85" s="1185"/>
      <c r="NBR85" s="1185"/>
      <c r="NBS85" s="1185"/>
      <c r="NBT85" s="1185"/>
      <c r="NBU85" s="1185"/>
      <c r="NBV85" s="1185"/>
      <c r="NBW85" s="1185"/>
      <c r="NBX85" s="1185"/>
      <c r="NBY85" s="1185"/>
      <c r="NBZ85" s="1185"/>
      <c r="NCA85" s="1185"/>
      <c r="NCB85" s="1185"/>
      <c r="NCC85" s="1185"/>
      <c r="NCD85" s="1185"/>
      <c r="NCE85" s="1185"/>
      <c r="NCF85" s="1185"/>
      <c r="NCG85" s="1185"/>
      <c r="NCH85" s="1185"/>
      <c r="NCI85" s="1185"/>
      <c r="NCJ85" s="1185"/>
      <c r="NCK85" s="1185"/>
      <c r="NCL85" s="1185"/>
      <c r="NCM85" s="1185"/>
      <c r="NCN85" s="1185"/>
      <c r="NCO85" s="1185"/>
      <c r="NCP85" s="1185"/>
      <c r="NCQ85" s="1185"/>
      <c r="NCR85" s="1185"/>
      <c r="NCS85" s="1185"/>
      <c r="NCT85" s="1185"/>
      <c r="NCU85" s="1185"/>
      <c r="NCV85" s="1185"/>
      <c r="NCW85" s="1185"/>
      <c r="NCX85" s="1185"/>
      <c r="NCY85" s="1185"/>
      <c r="NCZ85" s="1185"/>
      <c r="NDA85" s="1185"/>
      <c r="NDB85" s="1185"/>
      <c r="NDC85" s="1185"/>
      <c r="NDD85" s="1185"/>
      <c r="NDE85" s="1185"/>
      <c r="NDF85" s="1185"/>
      <c r="NDG85" s="1185"/>
      <c r="NDH85" s="1185"/>
      <c r="NDI85" s="1185"/>
      <c r="NDJ85" s="1185"/>
      <c r="NDK85" s="1185"/>
      <c r="NDL85" s="1185"/>
      <c r="NDM85" s="1185"/>
      <c r="NDN85" s="1185"/>
      <c r="NDO85" s="1185"/>
      <c r="NDP85" s="1185"/>
      <c r="NDQ85" s="1185"/>
      <c r="NDR85" s="1185"/>
      <c r="NDS85" s="1185"/>
      <c r="NDT85" s="1185"/>
      <c r="NDU85" s="1185"/>
      <c r="NDV85" s="1185"/>
      <c r="NDW85" s="1185"/>
      <c r="NDX85" s="1185"/>
      <c r="NDY85" s="1185"/>
      <c r="NDZ85" s="1185"/>
      <c r="NEA85" s="1185"/>
      <c r="NEB85" s="1185"/>
      <c r="NEC85" s="1185"/>
      <c r="NED85" s="1185"/>
      <c r="NEE85" s="1185"/>
      <c r="NEF85" s="1185"/>
      <c r="NEG85" s="1185"/>
      <c r="NEH85" s="1185"/>
      <c r="NEI85" s="1185"/>
      <c r="NEJ85" s="1185"/>
      <c r="NEK85" s="1185"/>
      <c r="NEL85" s="1185"/>
      <c r="NEM85" s="1185"/>
      <c r="NEN85" s="1185"/>
      <c r="NEO85" s="1185"/>
      <c r="NEP85" s="1185"/>
      <c r="NEQ85" s="1185"/>
      <c r="NER85" s="1185"/>
      <c r="NES85" s="1185"/>
      <c r="NET85" s="1185"/>
      <c r="NEU85" s="1185"/>
      <c r="NEV85" s="1185"/>
      <c r="NEW85" s="1185"/>
      <c r="NEX85" s="1185"/>
      <c r="NEY85" s="1185"/>
      <c r="NEZ85" s="1185"/>
      <c r="NFA85" s="1185"/>
      <c r="NFB85" s="1185"/>
      <c r="NFC85" s="1185"/>
      <c r="NFD85" s="1185"/>
      <c r="NFE85" s="1185"/>
      <c r="NFF85" s="1185"/>
      <c r="NFG85" s="1185"/>
      <c r="NFH85" s="1185"/>
      <c r="NFI85" s="1185"/>
      <c r="NFJ85" s="1185"/>
      <c r="NFK85" s="1185"/>
      <c r="NFL85" s="1185"/>
      <c r="NFM85" s="1185"/>
      <c r="NFN85" s="1185"/>
      <c r="NFO85" s="1185"/>
      <c r="NFP85" s="1185"/>
      <c r="NFQ85" s="1185"/>
      <c r="NFR85" s="1185"/>
      <c r="NFS85" s="1185"/>
      <c r="NFT85" s="1185"/>
      <c r="NFU85" s="1185"/>
      <c r="NFV85" s="1185"/>
      <c r="NFW85" s="1185"/>
      <c r="NFX85" s="1185"/>
      <c r="NFY85" s="1185"/>
      <c r="NFZ85" s="1185"/>
      <c r="NGA85" s="1185"/>
      <c r="NGB85" s="1185"/>
      <c r="NGC85" s="1185"/>
      <c r="NGD85" s="1185"/>
      <c r="NGE85" s="1185"/>
      <c r="NGF85" s="1185"/>
      <c r="NGG85" s="1185"/>
      <c r="NGH85" s="1185"/>
      <c r="NGI85" s="1185"/>
      <c r="NGJ85" s="1185"/>
      <c r="NGK85" s="1185"/>
      <c r="NGL85" s="1185"/>
      <c r="NGM85" s="1185"/>
      <c r="NGN85" s="1185"/>
      <c r="NGO85" s="1185"/>
      <c r="NGP85" s="1185"/>
      <c r="NGQ85" s="1185"/>
      <c r="NGR85" s="1185"/>
      <c r="NGS85" s="1185"/>
      <c r="NGT85" s="1185"/>
      <c r="NGU85" s="1185"/>
      <c r="NGV85" s="1185"/>
      <c r="NGW85" s="1185"/>
      <c r="NGX85" s="1185"/>
      <c r="NGY85" s="1185"/>
      <c r="NGZ85" s="1185"/>
      <c r="NHA85" s="1185"/>
      <c r="NHB85" s="1185"/>
      <c r="NHC85" s="1185"/>
      <c r="NHD85" s="1185"/>
      <c r="NHE85" s="1185"/>
      <c r="NHF85" s="1185"/>
      <c r="NHG85" s="1185"/>
      <c r="NHH85" s="1185"/>
      <c r="NHI85" s="1185"/>
      <c r="NHJ85" s="1185"/>
      <c r="NHK85" s="1185"/>
      <c r="NHL85" s="1185"/>
      <c r="NHM85" s="1185"/>
      <c r="NHN85" s="1185"/>
      <c r="NHO85" s="1185"/>
      <c r="NHP85" s="1185"/>
      <c r="NHQ85" s="1185"/>
      <c r="NHR85" s="1185"/>
      <c r="NHS85" s="1185"/>
      <c r="NHT85" s="1185"/>
      <c r="NHU85" s="1185"/>
      <c r="NHV85" s="1185"/>
      <c r="NHW85" s="1185"/>
      <c r="NHX85" s="1185"/>
      <c r="NHY85" s="1185"/>
      <c r="NHZ85" s="1185"/>
      <c r="NIA85" s="1185"/>
      <c r="NIB85" s="1185"/>
      <c r="NIC85" s="1185"/>
      <c r="NID85" s="1185"/>
      <c r="NIE85" s="1185"/>
      <c r="NIF85" s="1185"/>
      <c r="NIG85" s="1185"/>
      <c r="NIH85" s="1185"/>
      <c r="NII85" s="1185"/>
      <c r="NIJ85" s="1185"/>
      <c r="NIK85" s="1185"/>
      <c r="NIL85" s="1185"/>
      <c r="NIM85" s="1185"/>
      <c r="NIN85" s="1185"/>
      <c r="NIO85" s="1185"/>
      <c r="NIP85" s="1185"/>
      <c r="NIQ85" s="1185"/>
      <c r="NIR85" s="1185"/>
      <c r="NIS85" s="1185"/>
      <c r="NIT85" s="1185"/>
      <c r="NIU85" s="1185"/>
      <c r="NIV85" s="1185"/>
      <c r="NIW85" s="1185"/>
      <c r="NIX85" s="1185"/>
      <c r="NIY85" s="1185"/>
      <c r="NIZ85" s="1185"/>
      <c r="NJA85" s="1185"/>
      <c r="NJB85" s="1185"/>
      <c r="NJC85" s="1185"/>
      <c r="NJD85" s="1185"/>
      <c r="NJE85" s="1185"/>
      <c r="NJF85" s="1185"/>
      <c r="NJG85" s="1185"/>
      <c r="NJH85" s="1185"/>
      <c r="NJI85" s="1185"/>
      <c r="NJJ85" s="1185"/>
      <c r="NJK85" s="1185"/>
      <c r="NJL85" s="1185"/>
      <c r="NJM85" s="1185"/>
      <c r="NJN85" s="1185"/>
      <c r="NJO85" s="1185"/>
      <c r="NJP85" s="1185"/>
      <c r="NJQ85" s="1185"/>
      <c r="NJR85" s="1185"/>
      <c r="NJS85" s="1185"/>
      <c r="NJT85" s="1185"/>
      <c r="NJU85" s="1185"/>
      <c r="NJV85" s="1185"/>
      <c r="NJW85" s="1185"/>
      <c r="NJX85" s="1185"/>
      <c r="NJY85" s="1185"/>
      <c r="NJZ85" s="1185"/>
      <c r="NKA85" s="1185"/>
      <c r="NKB85" s="1185"/>
      <c r="NKC85" s="1185"/>
      <c r="NKD85" s="1185"/>
      <c r="NKE85" s="1185"/>
      <c r="NKF85" s="1185"/>
      <c r="NKG85" s="1185"/>
      <c r="NKH85" s="1185"/>
      <c r="NKI85" s="1185"/>
      <c r="NKJ85" s="1185"/>
      <c r="NKK85" s="1185"/>
      <c r="NKL85" s="1185"/>
      <c r="NKM85" s="1185"/>
      <c r="NKN85" s="1185"/>
      <c r="NKO85" s="1185"/>
      <c r="NKP85" s="1185"/>
      <c r="NKQ85" s="1185"/>
      <c r="NKR85" s="1185"/>
      <c r="NKS85" s="1185"/>
      <c r="NKT85" s="1185"/>
      <c r="NKU85" s="1185"/>
      <c r="NKV85" s="1185"/>
      <c r="NKW85" s="1185"/>
      <c r="NKX85" s="1185"/>
      <c r="NKY85" s="1185"/>
      <c r="NKZ85" s="1185"/>
      <c r="NLA85" s="1185"/>
      <c r="NLB85" s="1185"/>
      <c r="NLC85" s="1185"/>
      <c r="NLD85" s="1185"/>
      <c r="NLE85" s="1185"/>
      <c r="NLF85" s="1185"/>
      <c r="NLG85" s="1185"/>
      <c r="NLH85" s="1185"/>
      <c r="NLI85" s="1185"/>
      <c r="NLJ85" s="1185"/>
      <c r="NLK85" s="1185"/>
      <c r="NLL85" s="1185"/>
      <c r="NLM85" s="1185"/>
      <c r="NLN85" s="1185"/>
      <c r="NLO85" s="1185"/>
      <c r="NLP85" s="1185"/>
      <c r="NLQ85" s="1185"/>
      <c r="NLR85" s="1185"/>
      <c r="NLS85" s="1185"/>
      <c r="NLT85" s="1185"/>
      <c r="NLU85" s="1185"/>
      <c r="NLV85" s="1185"/>
      <c r="NLW85" s="1185"/>
      <c r="NLX85" s="1185"/>
      <c r="NLY85" s="1185"/>
      <c r="NLZ85" s="1185"/>
      <c r="NMA85" s="1185"/>
      <c r="NMB85" s="1185"/>
      <c r="NMC85" s="1185"/>
      <c r="NMD85" s="1185"/>
      <c r="NME85" s="1185"/>
      <c r="NMF85" s="1185"/>
      <c r="NMG85" s="1185"/>
      <c r="NMH85" s="1185"/>
      <c r="NMI85" s="1185"/>
      <c r="NMJ85" s="1185"/>
      <c r="NMK85" s="1185"/>
      <c r="NML85" s="1185"/>
      <c r="NMM85" s="1185"/>
      <c r="NMN85" s="1185"/>
      <c r="NMO85" s="1185"/>
      <c r="NMP85" s="1185"/>
      <c r="NMQ85" s="1185"/>
      <c r="NMR85" s="1185"/>
      <c r="NMS85" s="1185"/>
      <c r="NMT85" s="1185"/>
      <c r="NMU85" s="1185"/>
      <c r="NMV85" s="1185"/>
      <c r="NMW85" s="1185"/>
      <c r="NMX85" s="1185"/>
      <c r="NMY85" s="1185"/>
      <c r="NMZ85" s="1185"/>
      <c r="NNA85" s="1185"/>
      <c r="NNB85" s="1185"/>
      <c r="NNC85" s="1185"/>
      <c r="NND85" s="1185"/>
      <c r="NNE85" s="1185"/>
      <c r="NNF85" s="1185"/>
      <c r="NNG85" s="1185"/>
      <c r="NNH85" s="1185"/>
      <c r="NNI85" s="1185"/>
      <c r="NNJ85" s="1185"/>
      <c r="NNK85" s="1185"/>
      <c r="NNL85" s="1185"/>
      <c r="NNM85" s="1185"/>
      <c r="NNN85" s="1185"/>
      <c r="NNO85" s="1185"/>
      <c r="NNP85" s="1185"/>
      <c r="NNQ85" s="1185"/>
      <c r="NNR85" s="1185"/>
      <c r="NNS85" s="1185"/>
      <c r="NNT85" s="1185"/>
      <c r="NNU85" s="1185"/>
      <c r="NNV85" s="1185"/>
      <c r="NNW85" s="1185"/>
      <c r="NNX85" s="1185"/>
      <c r="NNY85" s="1185"/>
      <c r="NNZ85" s="1185"/>
      <c r="NOA85" s="1185"/>
      <c r="NOB85" s="1185"/>
      <c r="NOC85" s="1185"/>
      <c r="NOD85" s="1185"/>
      <c r="NOE85" s="1185"/>
      <c r="NOF85" s="1185"/>
      <c r="NOG85" s="1185"/>
      <c r="NOH85" s="1185"/>
      <c r="NOI85" s="1185"/>
      <c r="NOJ85" s="1185"/>
      <c r="NOK85" s="1185"/>
      <c r="NOL85" s="1185"/>
      <c r="NOM85" s="1185"/>
      <c r="NON85" s="1185"/>
      <c r="NOO85" s="1185"/>
      <c r="NOP85" s="1185"/>
      <c r="NOQ85" s="1185"/>
      <c r="NOR85" s="1185"/>
      <c r="NOS85" s="1185"/>
      <c r="NOT85" s="1185"/>
      <c r="NOU85" s="1185"/>
      <c r="NOV85" s="1185"/>
      <c r="NOW85" s="1185"/>
      <c r="NOX85" s="1185"/>
      <c r="NOY85" s="1185"/>
      <c r="NOZ85" s="1185"/>
      <c r="NPA85" s="1185"/>
      <c r="NPB85" s="1185"/>
      <c r="NPC85" s="1185"/>
      <c r="NPD85" s="1185"/>
      <c r="NPE85" s="1185"/>
      <c r="NPF85" s="1185"/>
      <c r="NPG85" s="1185"/>
      <c r="NPH85" s="1185"/>
      <c r="NPI85" s="1185"/>
      <c r="NPJ85" s="1185"/>
      <c r="NPK85" s="1185"/>
      <c r="NPL85" s="1185"/>
      <c r="NPM85" s="1185"/>
      <c r="NPN85" s="1185"/>
      <c r="NPO85" s="1185"/>
      <c r="NPP85" s="1185"/>
      <c r="NPQ85" s="1185"/>
      <c r="NPR85" s="1185"/>
      <c r="NPS85" s="1185"/>
      <c r="NPT85" s="1185"/>
      <c r="NPU85" s="1185"/>
      <c r="NPV85" s="1185"/>
      <c r="NPW85" s="1185"/>
      <c r="NPX85" s="1185"/>
      <c r="NPY85" s="1185"/>
      <c r="NPZ85" s="1185"/>
      <c r="NQA85" s="1185"/>
      <c r="NQB85" s="1185"/>
      <c r="NQC85" s="1185"/>
      <c r="NQD85" s="1185"/>
      <c r="NQE85" s="1185"/>
      <c r="NQF85" s="1185"/>
      <c r="NQG85" s="1185"/>
      <c r="NQH85" s="1185"/>
      <c r="NQI85" s="1185"/>
      <c r="NQJ85" s="1185"/>
      <c r="NQK85" s="1185"/>
      <c r="NQL85" s="1185"/>
      <c r="NQM85" s="1185"/>
      <c r="NQN85" s="1185"/>
      <c r="NQO85" s="1185"/>
      <c r="NQP85" s="1185"/>
      <c r="NQQ85" s="1185"/>
      <c r="NQR85" s="1185"/>
      <c r="NQS85" s="1185"/>
      <c r="NQT85" s="1185"/>
      <c r="NQU85" s="1185"/>
      <c r="NQV85" s="1185"/>
      <c r="NQW85" s="1185"/>
      <c r="NQX85" s="1185"/>
      <c r="NQY85" s="1185"/>
      <c r="NQZ85" s="1185"/>
      <c r="NRA85" s="1185"/>
      <c r="NRB85" s="1185"/>
      <c r="NRC85" s="1185"/>
      <c r="NRD85" s="1185"/>
      <c r="NRE85" s="1185"/>
      <c r="NRF85" s="1185"/>
      <c r="NRG85" s="1185"/>
      <c r="NRH85" s="1185"/>
      <c r="NRI85" s="1185"/>
      <c r="NRJ85" s="1185"/>
      <c r="NRK85" s="1185"/>
      <c r="NRL85" s="1185"/>
      <c r="NRM85" s="1185"/>
      <c r="NRN85" s="1185"/>
      <c r="NRO85" s="1185"/>
      <c r="NRP85" s="1185"/>
      <c r="NRQ85" s="1185"/>
      <c r="NRR85" s="1185"/>
      <c r="NRS85" s="1185"/>
      <c r="NRT85" s="1185"/>
      <c r="NRU85" s="1185"/>
      <c r="NRV85" s="1185"/>
      <c r="NRW85" s="1185"/>
      <c r="NRX85" s="1185"/>
      <c r="NRY85" s="1185"/>
      <c r="NRZ85" s="1185"/>
      <c r="NSA85" s="1185"/>
      <c r="NSB85" s="1185"/>
      <c r="NSC85" s="1185"/>
      <c r="NSD85" s="1185"/>
      <c r="NSE85" s="1185"/>
      <c r="NSF85" s="1185"/>
      <c r="NSG85" s="1185"/>
      <c r="NSH85" s="1185"/>
      <c r="NSI85" s="1185"/>
      <c r="NSJ85" s="1185"/>
      <c r="NSK85" s="1185"/>
      <c r="NSL85" s="1185"/>
      <c r="NSM85" s="1185"/>
      <c r="NSN85" s="1185"/>
      <c r="NSO85" s="1185"/>
      <c r="NSP85" s="1185"/>
      <c r="NSQ85" s="1185"/>
      <c r="NSR85" s="1185"/>
      <c r="NSS85" s="1185"/>
      <c r="NST85" s="1185"/>
      <c r="NSU85" s="1185"/>
      <c r="NSV85" s="1185"/>
      <c r="NSW85" s="1185"/>
      <c r="NSX85" s="1185"/>
      <c r="NSY85" s="1185"/>
      <c r="NSZ85" s="1185"/>
      <c r="NTA85" s="1185"/>
      <c r="NTB85" s="1185"/>
      <c r="NTC85" s="1185"/>
      <c r="NTD85" s="1185"/>
      <c r="NTE85" s="1185"/>
      <c r="NTF85" s="1185"/>
      <c r="NTG85" s="1185"/>
      <c r="NTH85" s="1185"/>
      <c r="NTI85" s="1185"/>
      <c r="NTJ85" s="1185"/>
      <c r="NTK85" s="1185"/>
      <c r="NTL85" s="1185"/>
      <c r="NTM85" s="1185"/>
      <c r="NTN85" s="1185"/>
      <c r="NTO85" s="1185"/>
      <c r="NTP85" s="1185"/>
      <c r="NTQ85" s="1185"/>
      <c r="NTR85" s="1185"/>
      <c r="NTS85" s="1185"/>
      <c r="NTT85" s="1185"/>
      <c r="NTU85" s="1185"/>
      <c r="NTV85" s="1185"/>
      <c r="NTW85" s="1185"/>
      <c r="NTX85" s="1185"/>
      <c r="NTY85" s="1185"/>
      <c r="NTZ85" s="1185"/>
      <c r="NUA85" s="1185"/>
      <c r="NUB85" s="1185"/>
      <c r="NUC85" s="1185"/>
      <c r="NUD85" s="1185"/>
      <c r="NUE85" s="1185"/>
      <c r="NUF85" s="1185"/>
      <c r="NUG85" s="1185"/>
      <c r="NUH85" s="1185"/>
      <c r="NUI85" s="1185"/>
      <c r="NUJ85" s="1185"/>
      <c r="NUK85" s="1185"/>
      <c r="NUL85" s="1185"/>
      <c r="NUM85" s="1185"/>
      <c r="NUN85" s="1185"/>
      <c r="NUO85" s="1185"/>
      <c r="NUP85" s="1185"/>
      <c r="NUQ85" s="1185"/>
      <c r="NUR85" s="1185"/>
      <c r="NUS85" s="1185"/>
      <c r="NUT85" s="1185"/>
      <c r="NUU85" s="1185"/>
      <c r="NUV85" s="1185"/>
      <c r="NUW85" s="1185"/>
      <c r="NUX85" s="1185"/>
      <c r="NUY85" s="1185"/>
      <c r="NUZ85" s="1185"/>
      <c r="NVA85" s="1185"/>
      <c r="NVB85" s="1185"/>
      <c r="NVC85" s="1185"/>
      <c r="NVD85" s="1185"/>
      <c r="NVE85" s="1185"/>
      <c r="NVF85" s="1185"/>
      <c r="NVG85" s="1185"/>
      <c r="NVH85" s="1185"/>
      <c r="NVI85" s="1185"/>
      <c r="NVJ85" s="1185"/>
      <c r="NVK85" s="1185"/>
      <c r="NVL85" s="1185"/>
      <c r="NVM85" s="1185"/>
      <c r="NVN85" s="1185"/>
      <c r="NVO85" s="1185"/>
      <c r="NVP85" s="1185"/>
      <c r="NVQ85" s="1185"/>
      <c r="NVR85" s="1185"/>
      <c r="NVS85" s="1185"/>
      <c r="NVT85" s="1185"/>
      <c r="NVU85" s="1185"/>
      <c r="NVV85" s="1185"/>
      <c r="NVW85" s="1185"/>
      <c r="NVX85" s="1185"/>
      <c r="NVY85" s="1185"/>
      <c r="NVZ85" s="1185"/>
      <c r="NWA85" s="1185"/>
      <c r="NWB85" s="1185"/>
      <c r="NWC85" s="1185"/>
      <c r="NWD85" s="1185"/>
      <c r="NWE85" s="1185"/>
      <c r="NWF85" s="1185"/>
      <c r="NWG85" s="1185"/>
      <c r="NWH85" s="1185"/>
      <c r="NWI85" s="1185"/>
      <c r="NWJ85" s="1185"/>
      <c r="NWK85" s="1185"/>
      <c r="NWL85" s="1185"/>
      <c r="NWM85" s="1185"/>
      <c r="NWN85" s="1185"/>
      <c r="NWO85" s="1185"/>
      <c r="NWP85" s="1185"/>
      <c r="NWQ85" s="1185"/>
      <c r="NWR85" s="1185"/>
      <c r="NWS85" s="1185"/>
      <c r="NWT85" s="1185"/>
      <c r="NWU85" s="1185"/>
      <c r="NWV85" s="1185"/>
      <c r="NWW85" s="1185"/>
      <c r="NWX85" s="1185"/>
      <c r="NWY85" s="1185"/>
      <c r="NWZ85" s="1185"/>
      <c r="NXA85" s="1185"/>
      <c r="NXB85" s="1185"/>
      <c r="NXC85" s="1185"/>
      <c r="NXD85" s="1185"/>
      <c r="NXE85" s="1185"/>
      <c r="NXF85" s="1185"/>
      <c r="NXG85" s="1185"/>
      <c r="NXH85" s="1185"/>
      <c r="NXI85" s="1185"/>
      <c r="NXJ85" s="1185"/>
      <c r="NXK85" s="1185"/>
      <c r="NXL85" s="1185"/>
      <c r="NXM85" s="1185"/>
      <c r="NXN85" s="1185"/>
      <c r="NXO85" s="1185"/>
      <c r="NXP85" s="1185"/>
      <c r="NXQ85" s="1185"/>
      <c r="NXR85" s="1185"/>
      <c r="NXS85" s="1185"/>
      <c r="NXT85" s="1185"/>
      <c r="NXU85" s="1185"/>
      <c r="NXV85" s="1185"/>
      <c r="NXW85" s="1185"/>
      <c r="NXX85" s="1185"/>
      <c r="NXY85" s="1185"/>
      <c r="NXZ85" s="1185"/>
      <c r="NYA85" s="1185"/>
      <c r="NYB85" s="1185"/>
      <c r="NYC85" s="1185"/>
      <c r="NYD85" s="1185"/>
      <c r="NYE85" s="1185"/>
      <c r="NYF85" s="1185"/>
      <c r="NYG85" s="1185"/>
      <c r="NYH85" s="1185"/>
      <c r="NYI85" s="1185"/>
      <c r="NYJ85" s="1185"/>
      <c r="NYK85" s="1185"/>
      <c r="NYL85" s="1185"/>
      <c r="NYM85" s="1185"/>
      <c r="NYN85" s="1185"/>
      <c r="NYO85" s="1185"/>
      <c r="NYP85" s="1185"/>
      <c r="NYQ85" s="1185"/>
      <c r="NYR85" s="1185"/>
      <c r="NYS85" s="1185"/>
      <c r="NYT85" s="1185"/>
      <c r="NYU85" s="1185"/>
      <c r="NYV85" s="1185"/>
      <c r="NYW85" s="1185"/>
      <c r="NYX85" s="1185"/>
      <c r="NYY85" s="1185"/>
      <c r="NYZ85" s="1185"/>
      <c r="NZA85" s="1185"/>
      <c r="NZB85" s="1185"/>
      <c r="NZC85" s="1185"/>
      <c r="NZD85" s="1185"/>
      <c r="NZE85" s="1185"/>
      <c r="NZF85" s="1185"/>
      <c r="NZG85" s="1185"/>
      <c r="NZH85" s="1185"/>
      <c r="NZI85" s="1185"/>
      <c r="NZJ85" s="1185"/>
      <c r="NZK85" s="1185"/>
      <c r="NZL85" s="1185"/>
      <c r="NZM85" s="1185"/>
      <c r="NZN85" s="1185"/>
      <c r="NZO85" s="1185"/>
      <c r="NZP85" s="1185"/>
      <c r="NZQ85" s="1185"/>
      <c r="NZR85" s="1185"/>
      <c r="NZS85" s="1185"/>
      <c r="NZT85" s="1185"/>
      <c r="NZU85" s="1185"/>
      <c r="NZV85" s="1185"/>
      <c r="NZW85" s="1185"/>
      <c r="NZX85" s="1185"/>
      <c r="NZY85" s="1185"/>
      <c r="NZZ85" s="1185"/>
      <c r="OAA85" s="1185"/>
      <c r="OAB85" s="1185"/>
      <c r="OAC85" s="1185"/>
      <c r="OAD85" s="1185"/>
      <c r="OAE85" s="1185"/>
      <c r="OAF85" s="1185"/>
      <c r="OAG85" s="1185"/>
      <c r="OAH85" s="1185"/>
      <c r="OAI85" s="1185"/>
      <c r="OAJ85" s="1185"/>
      <c r="OAK85" s="1185"/>
      <c r="OAL85" s="1185"/>
      <c r="OAM85" s="1185"/>
      <c r="OAN85" s="1185"/>
      <c r="OAO85" s="1185"/>
      <c r="OAP85" s="1185"/>
      <c r="OAQ85" s="1185"/>
      <c r="OAR85" s="1185"/>
      <c r="OAS85" s="1185"/>
      <c r="OAT85" s="1185"/>
      <c r="OAU85" s="1185"/>
      <c r="OAV85" s="1185"/>
      <c r="OAW85" s="1185"/>
      <c r="OAX85" s="1185"/>
      <c r="OAY85" s="1185"/>
      <c r="OAZ85" s="1185"/>
      <c r="OBA85" s="1185"/>
      <c r="OBB85" s="1185"/>
      <c r="OBC85" s="1185"/>
      <c r="OBD85" s="1185"/>
      <c r="OBE85" s="1185"/>
      <c r="OBF85" s="1185"/>
      <c r="OBG85" s="1185"/>
      <c r="OBH85" s="1185"/>
      <c r="OBI85" s="1185"/>
      <c r="OBJ85" s="1185"/>
      <c r="OBK85" s="1185"/>
      <c r="OBL85" s="1185"/>
      <c r="OBM85" s="1185"/>
      <c r="OBN85" s="1185"/>
      <c r="OBO85" s="1185"/>
      <c r="OBP85" s="1185"/>
      <c r="OBQ85" s="1185"/>
      <c r="OBR85" s="1185"/>
      <c r="OBS85" s="1185"/>
      <c r="OBT85" s="1185"/>
      <c r="OBU85" s="1185"/>
      <c r="OBV85" s="1185"/>
      <c r="OBW85" s="1185"/>
      <c r="OBX85" s="1185"/>
      <c r="OBY85" s="1185"/>
      <c r="OBZ85" s="1185"/>
      <c r="OCA85" s="1185"/>
      <c r="OCB85" s="1185"/>
      <c r="OCC85" s="1185"/>
      <c r="OCD85" s="1185"/>
      <c r="OCE85" s="1185"/>
      <c r="OCF85" s="1185"/>
      <c r="OCG85" s="1185"/>
      <c r="OCH85" s="1185"/>
      <c r="OCI85" s="1185"/>
      <c r="OCJ85" s="1185"/>
      <c r="OCK85" s="1185"/>
      <c r="OCL85" s="1185"/>
      <c r="OCM85" s="1185"/>
      <c r="OCN85" s="1185"/>
      <c r="OCO85" s="1185"/>
      <c r="OCP85" s="1185"/>
      <c r="OCQ85" s="1185"/>
      <c r="OCR85" s="1185"/>
      <c r="OCS85" s="1185"/>
      <c r="OCT85" s="1185"/>
      <c r="OCU85" s="1185"/>
      <c r="OCV85" s="1185"/>
      <c r="OCW85" s="1185"/>
      <c r="OCX85" s="1185"/>
      <c r="OCY85" s="1185"/>
      <c r="OCZ85" s="1185"/>
      <c r="ODA85" s="1185"/>
      <c r="ODB85" s="1185"/>
      <c r="ODC85" s="1185"/>
      <c r="ODD85" s="1185"/>
      <c r="ODE85" s="1185"/>
      <c r="ODF85" s="1185"/>
      <c r="ODG85" s="1185"/>
      <c r="ODH85" s="1185"/>
      <c r="ODI85" s="1185"/>
      <c r="ODJ85" s="1185"/>
      <c r="ODK85" s="1185"/>
      <c r="ODL85" s="1185"/>
      <c r="ODM85" s="1185"/>
      <c r="ODN85" s="1185"/>
      <c r="ODO85" s="1185"/>
      <c r="ODP85" s="1185"/>
      <c r="ODQ85" s="1185"/>
      <c r="ODR85" s="1185"/>
      <c r="ODS85" s="1185"/>
      <c r="ODT85" s="1185"/>
      <c r="ODU85" s="1185"/>
      <c r="ODV85" s="1185"/>
      <c r="ODW85" s="1185"/>
      <c r="ODX85" s="1185"/>
      <c r="ODY85" s="1185"/>
      <c r="ODZ85" s="1185"/>
      <c r="OEA85" s="1185"/>
      <c r="OEB85" s="1185"/>
      <c r="OEC85" s="1185"/>
      <c r="OED85" s="1185"/>
      <c r="OEE85" s="1185"/>
      <c r="OEF85" s="1185"/>
      <c r="OEG85" s="1185"/>
      <c r="OEH85" s="1185"/>
      <c r="OEI85" s="1185"/>
      <c r="OEJ85" s="1185"/>
      <c r="OEK85" s="1185"/>
      <c r="OEL85" s="1185"/>
      <c r="OEM85" s="1185"/>
      <c r="OEN85" s="1185"/>
      <c r="OEO85" s="1185"/>
      <c r="OEP85" s="1185"/>
      <c r="OEQ85" s="1185"/>
      <c r="OER85" s="1185"/>
      <c r="OES85" s="1185"/>
      <c r="OET85" s="1185"/>
      <c r="OEU85" s="1185"/>
      <c r="OEV85" s="1185"/>
      <c r="OEW85" s="1185"/>
      <c r="OEX85" s="1185"/>
      <c r="OEY85" s="1185"/>
      <c r="OEZ85" s="1185"/>
      <c r="OFA85" s="1185"/>
      <c r="OFB85" s="1185"/>
      <c r="OFC85" s="1185"/>
      <c r="OFD85" s="1185"/>
      <c r="OFE85" s="1185"/>
      <c r="OFF85" s="1185"/>
      <c r="OFG85" s="1185"/>
      <c r="OFH85" s="1185"/>
      <c r="OFI85" s="1185"/>
      <c r="OFJ85" s="1185"/>
      <c r="OFK85" s="1185"/>
      <c r="OFL85" s="1185"/>
      <c r="OFM85" s="1185"/>
      <c r="OFN85" s="1185"/>
      <c r="OFO85" s="1185"/>
      <c r="OFP85" s="1185"/>
      <c r="OFQ85" s="1185"/>
      <c r="OFR85" s="1185"/>
      <c r="OFS85" s="1185"/>
      <c r="OFT85" s="1185"/>
      <c r="OFU85" s="1185"/>
      <c r="OFV85" s="1185"/>
      <c r="OFW85" s="1185"/>
      <c r="OFX85" s="1185"/>
      <c r="OFY85" s="1185"/>
      <c r="OFZ85" s="1185"/>
      <c r="OGA85" s="1185"/>
      <c r="OGB85" s="1185"/>
      <c r="OGC85" s="1185"/>
      <c r="OGD85" s="1185"/>
      <c r="OGE85" s="1185"/>
      <c r="OGF85" s="1185"/>
      <c r="OGG85" s="1185"/>
      <c r="OGH85" s="1185"/>
      <c r="OGI85" s="1185"/>
      <c r="OGJ85" s="1185"/>
      <c r="OGK85" s="1185"/>
      <c r="OGL85" s="1185"/>
      <c r="OGM85" s="1185"/>
      <c r="OGN85" s="1185"/>
      <c r="OGO85" s="1185"/>
      <c r="OGP85" s="1185"/>
      <c r="OGQ85" s="1185"/>
      <c r="OGR85" s="1185"/>
      <c r="OGS85" s="1185"/>
      <c r="OGT85" s="1185"/>
      <c r="OGU85" s="1185"/>
      <c r="OGV85" s="1185"/>
      <c r="OGW85" s="1185"/>
      <c r="OGX85" s="1185"/>
      <c r="OGY85" s="1185"/>
      <c r="OGZ85" s="1185"/>
      <c r="OHA85" s="1185"/>
      <c r="OHB85" s="1185"/>
      <c r="OHC85" s="1185"/>
      <c r="OHD85" s="1185"/>
      <c r="OHE85" s="1185"/>
      <c r="OHF85" s="1185"/>
      <c r="OHG85" s="1185"/>
      <c r="OHH85" s="1185"/>
      <c r="OHI85" s="1185"/>
      <c r="OHJ85" s="1185"/>
      <c r="OHK85" s="1185"/>
      <c r="OHL85" s="1185"/>
      <c r="OHM85" s="1185"/>
      <c r="OHN85" s="1185"/>
      <c r="OHO85" s="1185"/>
      <c r="OHP85" s="1185"/>
      <c r="OHQ85" s="1185"/>
      <c r="OHR85" s="1185"/>
      <c r="OHS85" s="1185"/>
      <c r="OHT85" s="1185"/>
      <c r="OHU85" s="1185"/>
      <c r="OHV85" s="1185"/>
      <c r="OHW85" s="1185"/>
      <c r="OHX85" s="1185"/>
      <c r="OHY85" s="1185"/>
      <c r="OHZ85" s="1185"/>
      <c r="OIA85" s="1185"/>
      <c r="OIB85" s="1185"/>
      <c r="OIC85" s="1185"/>
      <c r="OID85" s="1185"/>
      <c r="OIE85" s="1185"/>
      <c r="OIF85" s="1185"/>
      <c r="OIG85" s="1185"/>
      <c r="OIH85" s="1185"/>
      <c r="OII85" s="1185"/>
      <c r="OIJ85" s="1185"/>
      <c r="OIK85" s="1185"/>
      <c r="OIL85" s="1185"/>
      <c r="OIM85" s="1185"/>
      <c r="OIN85" s="1185"/>
      <c r="OIO85" s="1185"/>
      <c r="OIP85" s="1185"/>
      <c r="OIQ85" s="1185"/>
      <c r="OIR85" s="1185"/>
      <c r="OIS85" s="1185"/>
      <c r="OIT85" s="1185"/>
      <c r="OIU85" s="1185"/>
      <c r="OIV85" s="1185"/>
      <c r="OIW85" s="1185"/>
      <c r="OIX85" s="1185"/>
      <c r="OIY85" s="1185"/>
      <c r="OIZ85" s="1185"/>
      <c r="OJA85" s="1185"/>
      <c r="OJB85" s="1185"/>
      <c r="OJC85" s="1185"/>
      <c r="OJD85" s="1185"/>
      <c r="OJE85" s="1185"/>
      <c r="OJF85" s="1185"/>
      <c r="OJG85" s="1185"/>
      <c r="OJH85" s="1185"/>
      <c r="OJI85" s="1185"/>
      <c r="OJJ85" s="1185"/>
      <c r="OJK85" s="1185"/>
      <c r="OJL85" s="1185"/>
      <c r="OJM85" s="1185"/>
      <c r="OJN85" s="1185"/>
      <c r="OJO85" s="1185"/>
      <c r="OJP85" s="1185"/>
      <c r="OJQ85" s="1185"/>
      <c r="OJR85" s="1185"/>
      <c r="OJS85" s="1185"/>
      <c r="OJT85" s="1185"/>
      <c r="OJU85" s="1185"/>
      <c r="OJV85" s="1185"/>
      <c r="OJW85" s="1185"/>
      <c r="OJX85" s="1185"/>
      <c r="OJY85" s="1185"/>
      <c r="OJZ85" s="1185"/>
      <c r="OKA85" s="1185"/>
      <c r="OKB85" s="1185"/>
      <c r="OKC85" s="1185"/>
      <c r="OKD85" s="1185"/>
      <c r="OKE85" s="1185"/>
      <c r="OKF85" s="1185"/>
      <c r="OKG85" s="1185"/>
      <c r="OKH85" s="1185"/>
      <c r="OKI85" s="1185"/>
      <c r="OKJ85" s="1185"/>
      <c r="OKK85" s="1185"/>
      <c r="OKL85" s="1185"/>
      <c r="OKM85" s="1185"/>
      <c r="OKN85" s="1185"/>
      <c r="OKO85" s="1185"/>
      <c r="OKP85" s="1185"/>
      <c r="OKQ85" s="1185"/>
      <c r="OKR85" s="1185"/>
      <c r="OKS85" s="1185"/>
      <c r="OKT85" s="1185"/>
      <c r="OKU85" s="1185"/>
      <c r="OKV85" s="1185"/>
      <c r="OKW85" s="1185"/>
      <c r="OKX85" s="1185"/>
      <c r="OKY85" s="1185"/>
      <c r="OKZ85" s="1185"/>
      <c r="OLA85" s="1185"/>
      <c r="OLB85" s="1185"/>
      <c r="OLC85" s="1185"/>
      <c r="OLD85" s="1185"/>
      <c r="OLE85" s="1185"/>
      <c r="OLF85" s="1185"/>
      <c r="OLG85" s="1185"/>
      <c r="OLH85" s="1185"/>
      <c r="OLI85" s="1185"/>
      <c r="OLJ85" s="1185"/>
      <c r="OLK85" s="1185"/>
      <c r="OLL85" s="1185"/>
      <c r="OLM85" s="1185"/>
      <c r="OLN85" s="1185"/>
      <c r="OLO85" s="1185"/>
      <c r="OLP85" s="1185"/>
      <c r="OLQ85" s="1185"/>
      <c r="OLR85" s="1185"/>
      <c r="OLS85" s="1185"/>
      <c r="OLT85" s="1185"/>
      <c r="OLU85" s="1185"/>
      <c r="OLV85" s="1185"/>
      <c r="OLW85" s="1185"/>
      <c r="OLX85" s="1185"/>
      <c r="OLY85" s="1185"/>
      <c r="OLZ85" s="1185"/>
      <c r="OMA85" s="1185"/>
      <c r="OMB85" s="1185"/>
      <c r="OMC85" s="1185"/>
      <c r="OMD85" s="1185"/>
      <c r="OME85" s="1185"/>
      <c r="OMF85" s="1185"/>
      <c r="OMG85" s="1185"/>
      <c r="OMH85" s="1185"/>
      <c r="OMI85" s="1185"/>
      <c r="OMJ85" s="1185"/>
      <c r="OMK85" s="1185"/>
      <c r="OML85" s="1185"/>
      <c r="OMM85" s="1185"/>
      <c r="OMN85" s="1185"/>
      <c r="OMO85" s="1185"/>
      <c r="OMP85" s="1185"/>
      <c r="OMQ85" s="1185"/>
      <c r="OMR85" s="1185"/>
      <c r="OMS85" s="1185"/>
      <c r="OMT85" s="1185"/>
      <c r="OMU85" s="1185"/>
      <c r="OMV85" s="1185"/>
      <c r="OMW85" s="1185"/>
      <c r="OMX85" s="1185"/>
      <c r="OMY85" s="1185"/>
      <c r="OMZ85" s="1185"/>
      <c r="ONA85" s="1185"/>
      <c r="ONB85" s="1185"/>
      <c r="ONC85" s="1185"/>
      <c r="OND85" s="1185"/>
      <c r="ONE85" s="1185"/>
      <c r="ONF85" s="1185"/>
      <c r="ONG85" s="1185"/>
      <c r="ONH85" s="1185"/>
      <c r="ONI85" s="1185"/>
      <c r="ONJ85" s="1185"/>
      <c r="ONK85" s="1185"/>
      <c r="ONL85" s="1185"/>
      <c r="ONM85" s="1185"/>
      <c r="ONN85" s="1185"/>
      <c r="ONO85" s="1185"/>
      <c r="ONP85" s="1185"/>
      <c r="ONQ85" s="1185"/>
      <c r="ONR85" s="1185"/>
      <c r="ONS85" s="1185"/>
      <c r="ONT85" s="1185"/>
      <c r="ONU85" s="1185"/>
      <c r="ONV85" s="1185"/>
      <c r="ONW85" s="1185"/>
      <c r="ONX85" s="1185"/>
      <c r="ONY85" s="1185"/>
      <c r="ONZ85" s="1185"/>
      <c r="OOA85" s="1185"/>
      <c r="OOB85" s="1185"/>
      <c r="OOC85" s="1185"/>
      <c r="OOD85" s="1185"/>
      <c r="OOE85" s="1185"/>
      <c r="OOF85" s="1185"/>
      <c r="OOG85" s="1185"/>
      <c r="OOH85" s="1185"/>
      <c r="OOI85" s="1185"/>
      <c r="OOJ85" s="1185"/>
      <c r="OOK85" s="1185"/>
      <c r="OOL85" s="1185"/>
      <c r="OOM85" s="1185"/>
      <c r="OON85" s="1185"/>
      <c r="OOO85" s="1185"/>
      <c r="OOP85" s="1185"/>
      <c r="OOQ85" s="1185"/>
      <c r="OOR85" s="1185"/>
      <c r="OOS85" s="1185"/>
      <c r="OOT85" s="1185"/>
      <c r="OOU85" s="1185"/>
      <c r="OOV85" s="1185"/>
      <c r="OOW85" s="1185"/>
      <c r="OOX85" s="1185"/>
      <c r="OOY85" s="1185"/>
      <c r="OOZ85" s="1185"/>
      <c r="OPA85" s="1185"/>
      <c r="OPB85" s="1185"/>
      <c r="OPC85" s="1185"/>
      <c r="OPD85" s="1185"/>
      <c r="OPE85" s="1185"/>
      <c r="OPF85" s="1185"/>
      <c r="OPG85" s="1185"/>
      <c r="OPH85" s="1185"/>
      <c r="OPI85" s="1185"/>
      <c r="OPJ85" s="1185"/>
      <c r="OPK85" s="1185"/>
      <c r="OPL85" s="1185"/>
      <c r="OPM85" s="1185"/>
      <c r="OPN85" s="1185"/>
      <c r="OPO85" s="1185"/>
      <c r="OPP85" s="1185"/>
      <c r="OPQ85" s="1185"/>
      <c r="OPR85" s="1185"/>
      <c r="OPS85" s="1185"/>
      <c r="OPT85" s="1185"/>
      <c r="OPU85" s="1185"/>
      <c r="OPV85" s="1185"/>
      <c r="OPW85" s="1185"/>
      <c r="OPX85" s="1185"/>
      <c r="OPY85" s="1185"/>
      <c r="OPZ85" s="1185"/>
      <c r="OQA85" s="1185"/>
      <c r="OQB85" s="1185"/>
      <c r="OQC85" s="1185"/>
      <c r="OQD85" s="1185"/>
      <c r="OQE85" s="1185"/>
      <c r="OQF85" s="1185"/>
      <c r="OQG85" s="1185"/>
      <c r="OQH85" s="1185"/>
      <c r="OQI85" s="1185"/>
      <c r="OQJ85" s="1185"/>
      <c r="OQK85" s="1185"/>
      <c r="OQL85" s="1185"/>
      <c r="OQM85" s="1185"/>
      <c r="OQN85" s="1185"/>
      <c r="OQO85" s="1185"/>
      <c r="OQP85" s="1185"/>
      <c r="OQQ85" s="1185"/>
      <c r="OQR85" s="1185"/>
      <c r="OQS85" s="1185"/>
      <c r="OQT85" s="1185"/>
      <c r="OQU85" s="1185"/>
      <c r="OQV85" s="1185"/>
      <c r="OQW85" s="1185"/>
      <c r="OQX85" s="1185"/>
      <c r="OQY85" s="1185"/>
      <c r="OQZ85" s="1185"/>
      <c r="ORA85" s="1185"/>
      <c r="ORB85" s="1185"/>
      <c r="ORC85" s="1185"/>
      <c r="ORD85" s="1185"/>
      <c r="ORE85" s="1185"/>
      <c r="ORF85" s="1185"/>
      <c r="ORG85" s="1185"/>
      <c r="ORH85" s="1185"/>
      <c r="ORI85" s="1185"/>
      <c r="ORJ85" s="1185"/>
      <c r="ORK85" s="1185"/>
      <c r="ORL85" s="1185"/>
      <c r="ORM85" s="1185"/>
      <c r="ORN85" s="1185"/>
      <c r="ORO85" s="1185"/>
      <c r="ORP85" s="1185"/>
      <c r="ORQ85" s="1185"/>
      <c r="ORR85" s="1185"/>
      <c r="ORS85" s="1185"/>
      <c r="ORT85" s="1185"/>
      <c r="ORU85" s="1185"/>
      <c r="ORV85" s="1185"/>
      <c r="ORW85" s="1185"/>
      <c r="ORX85" s="1185"/>
      <c r="ORY85" s="1185"/>
      <c r="ORZ85" s="1185"/>
      <c r="OSA85" s="1185"/>
      <c r="OSB85" s="1185"/>
      <c r="OSC85" s="1185"/>
      <c r="OSD85" s="1185"/>
      <c r="OSE85" s="1185"/>
      <c r="OSF85" s="1185"/>
      <c r="OSG85" s="1185"/>
      <c r="OSH85" s="1185"/>
      <c r="OSI85" s="1185"/>
      <c r="OSJ85" s="1185"/>
      <c r="OSK85" s="1185"/>
      <c r="OSL85" s="1185"/>
      <c r="OSM85" s="1185"/>
      <c r="OSN85" s="1185"/>
      <c r="OSO85" s="1185"/>
      <c r="OSP85" s="1185"/>
      <c r="OSQ85" s="1185"/>
      <c r="OSR85" s="1185"/>
      <c r="OSS85" s="1185"/>
      <c r="OST85" s="1185"/>
      <c r="OSU85" s="1185"/>
      <c r="OSV85" s="1185"/>
      <c r="OSW85" s="1185"/>
      <c r="OSX85" s="1185"/>
      <c r="OSY85" s="1185"/>
      <c r="OSZ85" s="1185"/>
      <c r="OTA85" s="1185"/>
      <c r="OTB85" s="1185"/>
      <c r="OTC85" s="1185"/>
      <c r="OTD85" s="1185"/>
      <c r="OTE85" s="1185"/>
      <c r="OTF85" s="1185"/>
      <c r="OTG85" s="1185"/>
      <c r="OTH85" s="1185"/>
      <c r="OTI85" s="1185"/>
      <c r="OTJ85" s="1185"/>
      <c r="OTK85" s="1185"/>
      <c r="OTL85" s="1185"/>
      <c r="OTM85" s="1185"/>
      <c r="OTN85" s="1185"/>
      <c r="OTO85" s="1185"/>
      <c r="OTP85" s="1185"/>
      <c r="OTQ85" s="1185"/>
      <c r="OTR85" s="1185"/>
      <c r="OTS85" s="1185"/>
      <c r="OTT85" s="1185"/>
      <c r="OTU85" s="1185"/>
      <c r="OTV85" s="1185"/>
      <c r="OTW85" s="1185"/>
      <c r="OTX85" s="1185"/>
      <c r="OTY85" s="1185"/>
      <c r="OTZ85" s="1185"/>
      <c r="OUA85" s="1185"/>
      <c r="OUB85" s="1185"/>
      <c r="OUC85" s="1185"/>
      <c r="OUD85" s="1185"/>
      <c r="OUE85" s="1185"/>
      <c r="OUF85" s="1185"/>
      <c r="OUG85" s="1185"/>
      <c r="OUH85" s="1185"/>
      <c r="OUI85" s="1185"/>
      <c r="OUJ85" s="1185"/>
      <c r="OUK85" s="1185"/>
      <c r="OUL85" s="1185"/>
      <c r="OUM85" s="1185"/>
      <c r="OUN85" s="1185"/>
      <c r="OUO85" s="1185"/>
      <c r="OUP85" s="1185"/>
      <c r="OUQ85" s="1185"/>
      <c r="OUR85" s="1185"/>
      <c r="OUS85" s="1185"/>
      <c r="OUT85" s="1185"/>
      <c r="OUU85" s="1185"/>
      <c r="OUV85" s="1185"/>
      <c r="OUW85" s="1185"/>
      <c r="OUX85" s="1185"/>
      <c r="OUY85" s="1185"/>
      <c r="OUZ85" s="1185"/>
      <c r="OVA85" s="1185"/>
      <c r="OVB85" s="1185"/>
      <c r="OVC85" s="1185"/>
      <c r="OVD85" s="1185"/>
      <c r="OVE85" s="1185"/>
      <c r="OVF85" s="1185"/>
      <c r="OVG85" s="1185"/>
      <c r="OVH85" s="1185"/>
      <c r="OVI85" s="1185"/>
      <c r="OVJ85" s="1185"/>
      <c r="OVK85" s="1185"/>
      <c r="OVL85" s="1185"/>
      <c r="OVM85" s="1185"/>
      <c r="OVN85" s="1185"/>
      <c r="OVO85" s="1185"/>
      <c r="OVP85" s="1185"/>
      <c r="OVQ85" s="1185"/>
      <c r="OVR85" s="1185"/>
      <c r="OVS85" s="1185"/>
      <c r="OVT85" s="1185"/>
      <c r="OVU85" s="1185"/>
      <c r="OVV85" s="1185"/>
      <c r="OVW85" s="1185"/>
      <c r="OVX85" s="1185"/>
      <c r="OVY85" s="1185"/>
      <c r="OVZ85" s="1185"/>
      <c r="OWA85" s="1185"/>
      <c r="OWB85" s="1185"/>
      <c r="OWC85" s="1185"/>
      <c r="OWD85" s="1185"/>
      <c r="OWE85" s="1185"/>
      <c r="OWF85" s="1185"/>
      <c r="OWG85" s="1185"/>
      <c r="OWH85" s="1185"/>
      <c r="OWI85" s="1185"/>
      <c r="OWJ85" s="1185"/>
      <c r="OWK85" s="1185"/>
      <c r="OWL85" s="1185"/>
      <c r="OWM85" s="1185"/>
      <c r="OWN85" s="1185"/>
      <c r="OWO85" s="1185"/>
      <c r="OWP85" s="1185"/>
      <c r="OWQ85" s="1185"/>
      <c r="OWR85" s="1185"/>
      <c r="OWS85" s="1185"/>
      <c r="OWT85" s="1185"/>
      <c r="OWU85" s="1185"/>
      <c r="OWV85" s="1185"/>
      <c r="OWW85" s="1185"/>
      <c r="OWX85" s="1185"/>
      <c r="OWY85" s="1185"/>
      <c r="OWZ85" s="1185"/>
      <c r="OXA85" s="1185"/>
      <c r="OXB85" s="1185"/>
      <c r="OXC85" s="1185"/>
      <c r="OXD85" s="1185"/>
      <c r="OXE85" s="1185"/>
      <c r="OXF85" s="1185"/>
      <c r="OXG85" s="1185"/>
      <c r="OXH85" s="1185"/>
      <c r="OXI85" s="1185"/>
      <c r="OXJ85" s="1185"/>
      <c r="OXK85" s="1185"/>
      <c r="OXL85" s="1185"/>
      <c r="OXM85" s="1185"/>
      <c r="OXN85" s="1185"/>
      <c r="OXO85" s="1185"/>
      <c r="OXP85" s="1185"/>
      <c r="OXQ85" s="1185"/>
      <c r="OXR85" s="1185"/>
      <c r="OXS85" s="1185"/>
      <c r="OXT85" s="1185"/>
      <c r="OXU85" s="1185"/>
      <c r="OXV85" s="1185"/>
      <c r="OXW85" s="1185"/>
      <c r="OXX85" s="1185"/>
      <c r="OXY85" s="1185"/>
      <c r="OXZ85" s="1185"/>
      <c r="OYA85" s="1185"/>
      <c r="OYB85" s="1185"/>
      <c r="OYC85" s="1185"/>
      <c r="OYD85" s="1185"/>
      <c r="OYE85" s="1185"/>
      <c r="OYF85" s="1185"/>
      <c r="OYG85" s="1185"/>
      <c r="OYH85" s="1185"/>
      <c r="OYI85" s="1185"/>
      <c r="OYJ85" s="1185"/>
      <c r="OYK85" s="1185"/>
      <c r="OYL85" s="1185"/>
      <c r="OYM85" s="1185"/>
      <c r="OYN85" s="1185"/>
      <c r="OYO85" s="1185"/>
      <c r="OYP85" s="1185"/>
      <c r="OYQ85" s="1185"/>
      <c r="OYR85" s="1185"/>
      <c r="OYS85" s="1185"/>
      <c r="OYT85" s="1185"/>
      <c r="OYU85" s="1185"/>
      <c r="OYV85" s="1185"/>
      <c r="OYW85" s="1185"/>
      <c r="OYX85" s="1185"/>
      <c r="OYY85" s="1185"/>
      <c r="OYZ85" s="1185"/>
      <c r="OZA85" s="1185"/>
      <c r="OZB85" s="1185"/>
      <c r="OZC85" s="1185"/>
      <c r="OZD85" s="1185"/>
      <c r="OZE85" s="1185"/>
      <c r="OZF85" s="1185"/>
      <c r="OZG85" s="1185"/>
      <c r="OZH85" s="1185"/>
      <c r="OZI85" s="1185"/>
      <c r="OZJ85" s="1185"/>
      <c r="OZK85" s="1185"/>
      <c r="OZL85" s="1185"/>
      <c r="OZM85" s="1185"/>
      <c r="OZN85" s="1185"/>
      <c r="OZO85" s="1185"/>
      <c r="OZP85" s="1185"/>
      <c r="OZQ85" s="1185"/>
      <c r="OZR85" s="1185"/>
      <c r="OZS85" s="1185"/>
      <c r="OZT85" s="1185"/>
      <c r="OZU85" s="1185"/>
      <c r="OZV85" s="1185"/>
      <c r="OZW85" s="1185"/>
      <c r="OZX85" s="1185"/>
      <c r="OZY85" s="1185"/>
      <c r="OZZ85" s="1185"/>
      <c r="PAA85" s="1185"/>
      <c r="PAB85" s="1185"/>
      <c r="PAC85" s="1185"/>
      <c r="PAD85" s="1185"/>
      <c r="PAE85" s="1185"/>
      <c r="PAF85" s="1185"/>
      <c r="PAG85" s="1185"/>
      <c r="PAH85" s="1185"/>
      <c r="PAI85" s="1185"/>
      <c r="PAJ85" s="1185"/>
      <c r="PAK85" s="1185"/>
      <c r="PAL85" s="1185"/>
      <c r="PAM85" s="1185"/>
      <c r="PAN85" s="1185"/>
      <c r="PAO85" s="1185"/>
      <c r="PAP85" s="1185"/>
      <c r="PAQ85" s="1185"/>
      <c r="PAR85" s="1185"/>
      <c r="PAS85" s="1185"/>
      <c r="PAT85" s="1185"/>
      <c r="PAU85" s="1185"/>
      <c r="PAV85" s="1185"/>
      <c r="PAW85" s="1185"/>
      <c r="PAX85" s="1185"/>
      <c r="PAY85" s="1185"/>
      <c r="PAZ85" s="1185"/>
      <c r="PBA85" s="1185"/>
      <c r="PBB85" s="1185"/>
      <c r="PBC85" s="1185"/>
      <c r="PBD85" s="1185"/>
      <c r="PBE85" s="1185"/>
      <c r="PBF85" s="1185"/>
      <c r="PBG85" s="1185"/>
      <c r="PBH85" s="1185"/>
      <c r="PBI85" s="1185"/>
      <c r="PBJ85" s="1185"/>
      <c r="PBK85" s="1185"/>
      <c r="PBL85" s="1185"/>
      <c r="PBM85" s="1185"/>
      <c r="PBN85" s="1185"/>
      <c r="PBO85" s="1185"/>
      <c r="PBP85" s="1185"/>
      <c r="PBQ85" s="1185"/>
      <c r="PBR85" s="1185"/>
      <c r="PBS85" s="1185"/>
      <c r="PBT85" s="1185"/>
      <c r="PBU85" s="1185"/>
      <c r="PBV85" s="1185"/>
      <c r="PBW85" s="1185"/>
      <c r="PBX85" s="1185"/>
      <c r="PBY85" s="1185"/>
      <c r="PBZ85" s="1185"/>
      <c r="PCA85" s="1185"/>
      <c r="PCB85" s="1185"/>
      <c r="PCC85" s="1185"/>
      <c r="PCD85" s="1185"/>
      <c r="PCE85" s="1185"/>
      <c r="PCF85" s="1185"/>
      <c r="PCG85" s="1185"/>
      <c r="PCH85" s="1185"/>
      <c r="PCI85" s="1185"/>
      <c r="PCJ85" s="1185"/>
      <c r="PCK85" s="1185"/>
      <c r="PCL85" s="1185"/>
      <c r="PCM85" s="1185"/>
      <c r="PCN85" s="1185"/>
      <c r="PCO85" s="1185"/>
      <c r="PCP85" s="1185"/>
      <c r="PCQ85" s="1185"/>
      <c r="PCR85" s="1185"/>
      <c r="PCS85" s="1185"/>
      <c r="PCT85" s="1185"/>
      <c r="PCU85" s="1185"/>
      <c r="PCV85" s="1185"/>
      <c r="PCW85" s="1185"/>
      <c r="PCX85" s="1185"/>
      <c r="PCY85" s="1185"/>
      <c r="PCZ85" s="1185"/>
      <c r="PDA85" s="1185"/>
      <c r="PDB85" s="1185"/>
      <c r="PDC85" s="1185"/>
      <c r="PDD85" s="1185"/>
      <c r="PDE85" s="1185"/>
      <c r="PDF85" s="1185"/>
      <c r="PDG85" s="1185"/>
      <c r="PDH85" s="1185"/>
      <c r="PDI85" s="1185"/>
      <c r="PDJ85" s="1185"/>
      <c r="PDK85" s="1185"/>
      <c r="PDL85" s="1185"/>
      <c r="PDM85" s="1185"/>
      <c r="PDN85" s="1185"/>
      <c r="PDO85" s="1185"/>
      <c r="PDP85" s="1185"/>
      <c r="PDQ85" s="1185"/>
      <c r="PDR85" s="1185"/>
      <c r="PDS85" s="1185"/>
      <c r="PDT85" s="1185"/>
      <c r="PDU85" s="1185"/>
      <c r="PDV85" s="1185"/>
      <c r="PDW85" s="1185"/>
      <c r="PDX85" s="1185"/>
      <c r="PDY85" s="1185"/>
      <c r="PDZ85" s="1185"/>
      <c r="PEA85" s="1185"/>
      <c r="PEB85" s="1185"/>
      <c r="PEC85" s="1185"/>
      <c r="PED85" s="1185"/>
      <c r="PEE85" s="1185"/>
      <c r="PEF85" s="1185"/>
      <c r="PEG85" s="1185"/>
      <c r="PEH85" s="1185"/>
      <c r="PEI85" s="1185"/>
      <c r="PEJ85" s="1185"/>
      <c r="PEK85" s="1185"/>
      <c r="PEL85" s="1185"/>
      <c r="PEM85" s="1185"/>
      <c r="PEN85" s="1185"/>
      <c r="PEO85" s="1185"/>
      <c r="PEP85" s="1185"/>
      <c r="PEQ85" s="1185"/>
      <c r="PER85" s="1185"/>
      <c r="PES85" s="1185"/>
      <c r="PET85" s="1185"/>
      <c r="PEU85" s="1185"/>
      <c r="PEV85" s="1185"/>
      <c r="PEW85" s="1185"/>
      <c r="PEX85" s="1185"/>
      <c r="PEY85" s="1185"/>
      <c r="PEZ85" s="1185"/>
      <c r="PFA85" s="1185"/>
      <c r="PFB85" s="1185"/>
      <c r="PFC85" s="1185"/>
      <c r="PFD85" s="1185"/>
      <c r="PFE85" s="1185"/>
      <c r="PFF85" s="1185"/>
      <c r="PFG85" s="1185"/>
      <c r="PFH85" s="1185"/>
      <c r="PFI85" s="1185"/>
      <c r="PFJ85" s="1185"/>
      <c r="PFK85" s="1185"/>
      <c r="PFL85" s="1185"/>
      <c r="PFM85" s="1185"/>
      <c r="PFN85" s="1185"/>
      <c r="PFO85" s="1185"/>
      <c r="PFP85" s="1185"/>
      <c r="PFQ85" s="1185"/>
      <c r="PFR85" s="1185"/>
      <c r="PFS85" s="1185"/>
      <c r="PFT85" s="1185"/>
      <c r="PFU85" s="1185"/>
      <c r="PFV85" s="1185"/>
      <c r="PFW85" s="1185"/>
      <c r="PFX85" s="1185"/>
      <c r="PFY85" s="1185"/>
      <c r="PFZ85" s="1185"/>
      <c r="PGA85" s="1185"/>
      <c r="PGB85" s="1185"/>
      <c r="PGC85" s="1185"/>
      <c r="PGD85" s="1185"/>
      <c r="PGE85" s="1185"/>
      <c r="PGF85" s="1185"/>
      <c r="PGG85" s="1185"/>
      <c r="PGH85" s="1185"/>
      <c r="PGI85" s="1185"/>
      <c r="PGJ85" s="1185"/>
      <c r="PGK85" s="1185"/>
      <c r="PGL85" s="1185"/>
      <c r="PGM85" s="1185"/>
      <c r="PGN85" s="1185"/>
      <c r="PGO85" s="1185"/>
      <c r="PGP85" s="1185"/>
      <c r="PGQ85" s="1185"/>
      <c r="PGR85" s="1185"/>
      <c r="PGS85" s="1185"/>
      <c r="PGT85" s="1185"/>
      <c r="PGU85" s="1185"/>
      <c r="PGV85" s="1185"/>
      <c r="PGW85" s="1185"/>
      <c r="PGX85" s="1185"/>
      <c r="PGY85" s="1185"/>
      <c r="PGZ85" s="1185"/>
      <c r="PHA85" s="1185"/>
      <c r="PHB85" s="1185"/>
      <c r="PHC85" s="1185"/>
      <c r="PHD85" s="1185"/>
      <c r="PHE85" s="1185"/>
      <c r="PHF85" s="1185"/>
      <c r="PHG85" s="1185"/>
      <c r="PHH85" s="1185"/>
      <c r="PHI85" s="1185"/>
      <c r="PHJ85" s="1185"/>
      <c r="PHK85" s="1185"/>
      <c r="PHL85" s="1185"/>
      <c r="PHM85" s="1185"/>
      <c r="PHN85" s="1185"/>
      <c r="PHO85" s="1185"/>
      <c r="PHP85" s="1185"/>
      <c r="PHQ85" s="1185"/>
      <c r="PHR85" s="1185"/>
      <c r="PHS85" s="1185"/>
      <c r="PHT85" s="1185"/>
      <c r="PHU85" s="1185"/>
      <c r="PHV85" s="1185"/>
      <c r="PHW85" s="1185"/>
      <c r="PHX85" s="1185"/>
      <c r="PHY85" s="1185"/>
      <c r="PHZ85" s="1185"/>
      <c r="PIA85" s="1185"/>
      <c r="PIB85" s="1185"/>
      <c r="PIC85" s="1185"/>
      <c r="PID85" s="1185"/>
      <c r="PIE85" s="1185"/>
      <c r="PIF85" s="1185"/>
      <c r="PIG85" s="1185"/>
      <c r="PIH85" s="1185"/>
      <c r="PII85" s="1185"/>
      <c r="PIJ85" s="1185"/>
      <c r="PIK85" s="1185"/>
      <c r="PIL85" s="1185"/>
      <c r="PIM85" s="1185"/>
      <c r="PIN85" s="1185"/>
      <c r="PIO85" s="1185"/>
      <c r="PIP85" s="1185"/>
      <c r="PIQ85" s="1185"/>
      <c r="PIR85" s="1185"/>
      <c r="PIS85" s="1185"/>
      <c r="PIT85" s="1185"/>
      <c r="PIU85" s="1185"/>
      <c r="PIV85" s="1185"/>
      <c r="PIW85" s="1185"/>
      <c r="PIX85" s="1185"/>
      <c r="PIY85" s="1185"/>
      <c r="PIZ85" s="1185"/>
      <c r="PJA85" s="1185"/>
      <c r="PJB85" s="1185"/>
      <c r="PJC85" s="1185"/>
      <c r="PJD85" s="1185"/>
      <c r="PJE85" s="1185"/>
      <c r="PJF85" s="1185"/>
      <c r="PJG85" s="1185"/>
      <c r="PJH85" s="1185"/>
      <c r="PJI85" s="1185"/>
      <c r="PJJ85" s="1185"/>
      <c r="PJK85" s="1185"/>
      <c r="PJL85" s="1185"/>
      <c r="PJM85" s="1185"/>
      <c r="PJN85" s="1185"/>
      <c r="PJO85" s="1185"/>
      <c r="PJP85" s="1185"/>
      <c r="PJQ85" s="1185"/>
      <c r="PJR85" s="1185"/>
      <c r="PJS85" s="1185"/>
      <c r="PJT85" s="1185"/>
      <c r="PJU85" s="1185"/>
      <c r="PJV85" s="1185"/>
      <c r="PJW85" s="1185"/>
      <c r="PJX85" s="1185"/>
      <c r="PJY85" s="1185"/>
      <c r="PJZ85" s="1185"/>
      <c r="PKA85" s="1185"/>
      <c r="PKB85" s="1185"/>
      <c r="PKC85" s="1185"/>
      <c r="PKD85" s="1185"/>
      <c r="PKE85" s="1185"/>
      <c r="PKF85" s="1185"/>
      <c r="PKG85" s="1185"/>
      <c r="PKH85" s="1185"/>
      <c r="PKI85" s="1185"/>
      <c r="PKJ85" s="1185"/>
      <c r="PKK85" s="1185"/>
      <c r="PKL85" s="1185"/>
      <c r="PKM85" s="1185"/>
      <c r="PKN85" s="1185"/>
      <c r="PKO85" s="1185"/>
      <c r="PKP85" s="1185"/>
      <c r="PKQ85" s="1185"/>
      <c r="PKR85" s="1185"/>
      <c r="PKS85" s="1185"/>
      <c r="PKT85" s="1185"/>
      <c r="PKU85" s="1185"/>
      <c r="PKV85" s="1185"/>
      <c r="PKW85" s="1185"/>
      <c r="PKX85" s="1185"/>
      <c r="PKY85" s="1185"/>
      <c r="PKZ85" s="1185"/>
      <c r="PLA85" s="1185"/>
      <c r="PLB85" s="1185"/>
      <c r="PLC85" s="1185"/>
      <c r="PLD85" s="1185"/>
      <c r="PLE85" s="1185"/>
      <c r="PLF85" s="1185"/>
      <c r="PLG85" s="1185"/>
      <c r="PLH85" s="1185"/>
      <c r="PLI85" s="1185"/>
      <c r="PLJ85" s="1185"/>
      <c r="PLK85" s="1185"/>
      <c r="PLL85" s="1185"/>
      <c r="PLM85" s="1185"/>
      <c r="PLN85" s="1185"/>
      <c r="PLO85" s="1185"/>
      <c r="PLP85" s="1185"/>
      <c r="PLQ85" s="1185"/>
      <c r="PLR85" s="1185"/>
      <c r="PLS85" s="1185"/>
      <c r="PLT85" s="1185"/>
      <c r="PLU85" s="1185"/>
      <c r="PLV85" s="1185"/>
      <c r="PLW85" s="1185"/>
      <c r="PLX85" s="1185"/>
      <c r="PLY85" s="1185"/>
      <c r="PLZ85" s="1185"/>
      <c r="PMA85" s="1185"/>
      <c r="PMB85" s="1185"/>
      <c r="PMC85" s="1185"/>
      <c r="PMD85" s="1185"/>
      <c r="PME85" s="1185"/>
      <c r="PMF85" s="1185"/>
      <c r="PMG85" s="1185"/>
      <c r="PMH85" s="1185"/>
      <c r="PMI85" s="1185"/>
      <c r="PMJ85" s="1185"/>
      <c r="PMK85" s="1185"/>
      <c r="PML85" s="1185"/>
      <c r="PMM85" s="1185"/>
      <c r="PMN85" s="1185"/>
      <c r="PMO85" s="1185"/>
      <c r="PMP85" s="1185"/>
      <c r="PMQ85" s="1185"/>
      <c r="PMR85" s="1185"/>
      <c r="PMS85" s="1185"/>
      <c r="PMT85" s="1185"/>
      <c r="PMU85" s="1185"/>
      <c r="PMV85" s="1185"/>
      <c r="PMW85" s="1185"/>
      <c r="PMX85" s="1185"/>
      <c r="PMY85" s="1185"/>
      <c r="PMZ85" s="1185"/>
      <c r="PNA85" s="1185"/>
      <c r="PNB85" s="1185"/>
      <c r="PNC85" s="1185"/>
      <c r="PND85" s="1185"/>
      <c r="PNE85" s="1185"/>
      <c r="PNF85" s="1185"/>
      <c r="PNG85" s="1185"/>
      <c r="PNH85" s="1185"/>
      <c r="PNI85" s="1185"/>
      <c r="PNJ85" s="1185"/>
      <c r="PNK85" s="1185"/>
      <c r="PNL85" s="1185"/>
      <c r="PNM85" s="1185"/>
      <c r="PNN85" s="1185"/>
      <c r="PNO85" s="1185"/>
      <c r="PNP85" s="1185"/>
      <c r="PNQ85" s="1185"/>
      <c r="PNR85" s="1185"/>
      <c r="PNS85" s="1185"/>
      <c r="PNT85" s="1185"/>
      <c r="PNU85" s="1185"/>
      <c r="PNV85" s="1185"/>
      <c r="PNW85" s="1185"/>
      <c r="PNX85" s="1185"/>
      <c r="PNY85" s="1185"/>
      <c r="PNZ85" s="1185"/>
      <c r="POA85" s="1185"/>
      <c r="POB85" s="1185"/>
      <c r="POC85" s="1185"/>
      <c r="POD85" s="1185"/>
      <c r="POE85" s="1185"/>
      <c r="POF85" s="1185"/>
      <c r="POG85" s="1185"/>
      <c r="POH85" s="1185"/>
      <c r="POI85" s="1185"/>
      <c r="POJ85" s="1185"/>
      <c r="POK85" s="1185"/>
      <c r="POL85" s="1185"/>
      <c r="POM85" s="1185"/>
      <c r="PON85" s="1185"/>
      <c r="POO85" s="1185"/>
      <c r="POP85" s="1185"/>
      <c r="POQ85" s="1185"/>
      <c r="POR85" s="1185"/>
      <c r="POS85" s="1185"/>
      <c r="POT85" s="1185"/>
      <c r="POU85" s="1185"/>
      <c r="POV85" s="1185"/>
      <c r="POW85" s="1185"/>
      <c r="POX85" s="1185"/>
      <c r="POY85" s="1185"/>
      <c r="POZ85" s="1185"/>
      <c r="PPA85" s="1185"/>
      <c r="PPB85" s="1185"/>
      <c r="PPC85" s="1185"/>
      <c r="PPD85" s="1185"/>
      <c r="PPE85" s="1185"/>
      <c r="PPF85" s="1185"/>
      <c r="PPG85" s="1185"/>
      <c r="PPH85" s="1185"/>
      <c r="PPI85" s="1185"/>
      <c r="PPJ85" s="1185"/>
      <c r="PPK85" s="1185"/>
      <c r="PPL85" s="1185"/>
      <c r="PPM85" s="1185"/>
      <c r="PPN85" s="1185"/>
      <c r="PPO85" s="1185"/>
      <c r="PPP85" s="1185"/>
      <c r="PPQ85" s="1185"/>
      <c r="PPR85" s="1185"/>
      <c r="PPS85" s="1185"/>
      <c r="PPT85" s="1185"/>
      <c r="PPU85" s="1185"/>
      <c r="PPV85" s="1185"/>
      <c r="PPW85" s="1185"/>
      <c r="PPX85" s="1185"/>
      <c r="PPY85" s="1185"/>
      <c r="PPZ85" s="1185"/>
      <c r="PQA85" s="1185"/>
      <c r="PQB85" s="1185"/>
      <c r="PQC85" s="1185"/>
      <c r="PQD85" s="1185"/>
      <c r="PQE85" s="1185"/>
      <c r="PQF85" s="1185"/>
      <c r="PQG85" s="1185"/>
      <c r="PQH85" s="1185"/>
      <c r="PQI85" s="1185"/>
      <c r="PQJ85" s="1185"/>
      <c r="PQK85" s="1185"/>
      <c r="PQL85" s="1185"/>
      <c r="PQM85" s="1185"/>
      <c r="PQN85" s="1185"/>
      <c r="PQO85" s="1185"/>
      <c r="PQP85" s="1185"/>
      <c r="PQQ85" s="1185"/>
      <c r="PQR85" s="1185"/>
      <c r="PQS85" s="1185"/>
      <c r="PQT85" s="1185"/>
      <c r="PQU85" s="1185"/>
      <c r="PQV85" s="1185"/>
      <c r="PQW85" s="1185"/>
      <c r="PQX85" s="1185"/>
      <c r="PQY85" s="1185"/>
      <c r="PQZ85" s="1185"/>
      <c r="PRA85" s="1185"/>
      <c r="PRB85" s="1185"/>
      <c r="PRC85" s="1185"/>
      <c r="PRD85" s="1185"/>
      <c r="PRE85" s="1185"/>
      <c r="PRF85" s="1185"/>
      <c r="PRG85" s="1185"/>
      <c r="PRH85" s="1185"/>
      <c r="PRI85" s="1185"/>
      <c r="PRJ85" s="1185"/>
      <c r="PRK85" s="1185"/>
      <c r="PRL85" s="1185"/>
      <c r="PRM85" s="1185"/>
      <c r="PRN85" s="1185"/>
      <c r="PRO85" s="1185"/>
      <c r="PRP85" s="1185"/>
      <c r="PRQ85" s="1185"/>
      <c r="PRR85" s="1185"/>
      <c r="PRS85" s="1185"/>
      <c r="PRT85" s="1185"/>
      <c r="PRU85" s="1185"/>
      <c r="PRV85" s="1185"/>
      <c r="PRW85" s="1185"/>
      <c r="PRX85" s="1185"/>
      <c r="PRY85" s="1185"/>
      <c r="PRZ85" s="1185"/>
      <c r="PSA85" s="1185"/>
      <c r="PSB85" s="1185"/>
      <c r="PSC85" s="1185"/>
      <c r="PSD85" s="1185"/>
      <c r="PSE85" s="1185"/>
      <c r="PSF85" s="1185"/>
      <c r="PSG85" s="1185"/>
      <c r="PSH85" s="1185"/>
      <c r="PSI85" s="1185"/>
      <c r="PSJ85" s="1185"/>
      <c r="PSK85" s="1185"/>
      <c r="PSL85" s="1185"/>
      <c r="PSM85" s="1185"/>
      <c r="PSN85" s="1185"/>
      <c r="PSO85" s="1185"/>
      <c r="PSP85" s="1185"/>
      <c r="PSQ85" s="1185"/>
      <c r="PSR85" s="1185"/>
      <c r="PSS85" s="1185"/>
      <c r="PST85" s="1185"/>
      <c r="PSU85" s="1185"/>
      <c r="PSV85" s="1185"/>
      <c r="PSW85" s="1185"/>
      <c r="PSX85" s="1185"/>
      <c r="PSY85" s="1185"/>
      <c r="PSZ85" s="1185"/>
      <c r="PTA85" s="1185"/>
      <c r="PTB85" s="1185"/>
      <c r="PTC85" s="1185"/>
      <c r="PTD85" s="1185"/>
      <c r="PTE85" s="1185"/>
      <c r="PTF85" s="1185"/>
      <c r="PTG85" s="1185"/>
      <c r="PTH85" s="1185"/>
      <c r="PTI85" s="1185"/>
      <c r="PTJ85" s="1185"/>
      <c r="PTK85" s="1185"/>
      <c r="PTL85" s="1185"/>
      <c r="PTM85" s="1185"/>
      <c r="PTN85" s="1185"/>
      <c r="PTO85" s="1185"/>
      <c r="PTP85" s="1185"/>
      <c r="PTQ85" s="1185"/>
      <c r="PTR85" s="1185"/>
      <c r="PTS85" s="1185"/>
      <c r="PTT85" s="1185"/>
      <c r="PTU85" s="1185"/>
      <c r="PTV85" s="1185"/>
      <c r="PTW85" s="1185"/>
      <c r="PTX85" s="1185"/>
      <c r="PTY85" s="1185"/>
      <c r="PTZ85" s="1185"/>
      <c r="PUA85" s="1185"/>
      <c r="PUB85" s="1185"/>
      <c r="PUC85" s="1185"/>
      <c r="PUD85" s="1185"/>
      <c r="PUE85" s="1185"/>
      <c r="PUF85" s="1185"/>
      <c r="PUG85" s="1185"/>
      <c r="PUH85" s="1185"/>
      <c r="PUI85" s="1185"/>
      <c r="PUJ85" s="1185"/>
      <c r="PUK85" s="1185"/>
      <c r="PUL85" s="1185"/>
      <c r="PUM85" s="1185"/>
      <c r="PUN85" s="1185"/>
      <c r="PUO85" s="1185"/>
      <c r="PUP85" s="1185"/>
      <c r="PUQ85" s="1185"/>
      <c r="PUR85" s="1185"/>
      <c r="PUS85" s="1185"/>
      <c r="PUT85" s="1185"/>
      <c r="PUU85" s="1185"/>
      <c r="PUV85" s="1185"/>
      <c r="PUW85" s="1185"/>
      <c r="PUX85" s="1185"/>
      <c r="PUY85" s="1185"/>
      <c r="PUZ85" s="1185"/>
      <c r="PVA85" s="1185"/>
      <c r="PVB85" s="1185"/>
      <c r="PVC85" s="1185"/>
      <c r="PVD85" s="1185"/>
      <c r="PVE85" s="1185"/>
      <c r="PVF85" s="1185"/>
      <c r="PVG85" s="1185"/>
      <c r="PVH85" s="1185"/>
      <c r="PVI85" s="1185"/>
      <c r="PVJ85" s="1185"/>
      <c r="PVK85" s="1185"/>
      <c r="PVL85" s="1185"/>
      <c r="PVM85" s="1185"/>
      <c r="PVN85" s="1185"/>
      <c r="PVO85" s="1185"/>
      <c r="PVP85" s="1185"/>
      <c r="PVQ85" s="1185"/>
      <c r="PVR85" s="1185"/>
      <c r="PVS85" s="1185"/>
      <c r="PVT85" s="1185"/>
      <c r="PVU85" s="1185"/>
      <c r="PVV85" s="1185"/>
      <c r="PVW85" s="1185"/>
      <c r="PVX85" s="1185"/>
      <c r="PVY85" s="1185"/>
      <c r="PVZ85" s="1185"/>
      <c r="PWA85" s="1185"/>
      <c r="PWB85" s="1185"/>
      <c r="PWC85" s="1185"/>
      <c r="PWD85" s="1185"/>
      <c r="PWE85" s="1185"/>
      <c r="PWF85" s="1185"/>
      <c r="PWG85" s="1185"/>
      <c r="PWH85" s="1185"/>
      <c r="PWI85" s="1185"/>
      <c r="PWJ85" s="1185"/>
      <c r="PWK85" s="1185"/>
      <c r="PWL85" s="1185"/>
      <c r="PWM85" s="1185"/>
      <c r="PWN85" s="1185"/>
      <c r="PWO85" s="1185"/>
      <c r="PWP85" s="1185"/>
      <c r="PWQ85" s="1185"/>
      <c r="PWR85" s="1185"/>
      <c r="PWS85" s="1185"/>
      <c r="PWT85" s="1185"/>
      <c r="PWU85" s="1185"/>
      <c r="PWV85" s="1185"/>
      <c r="PWW85" s="1185"/>
      <c r="PWX85" s="1185"/>
      <c r="PWY85" s="1185"/>
      <c r="PWZ85" s="1185"/>
      <c r="PXA85" s="1185"/>
      <c r="PXB85" s="1185"/>
      <c r="PXC85" s="1185"/>
      <c r="PXD85" s="1185"/>
      <c r="PXE85" s="1185"/>
      <c r="PXF85" s="1185"/>
      <c r="PXG85" s="1185"/>
      <c r="PXH85" s="1185"/>
      <c r="PXI85" s="1185"/>
      <c r="PXJ85" s="1185"/>
      <c r="PXK85" s="1185"/>
      <c r="PXL85" s="1185"/>
      <c r="PXM85" s="1185"/>
      <c r="PXN85" s="1185"/>
      <c r="PXO85" s="1185"/>
      <c r="PXP85" s="1185"/>
      <c r="PXQ85" s="1185"/>
      <c r="PXR85" s="1185"/>
      <c r="PXS85" s="1185"/>
      <c r="PXT85" s="1185"/>
      <c r="PXU85" s="1185"/>
      <c r="PXV85" s="1185"/>
      <c r="PXW85" s="1185"/>
      <c r="PXX85" s="1185"/>
      <c r="PXY85" s="1185"/>
      <c r="PXZ85" s="1185"/>
      <c r="PYA85" s="1185"/>
      <c r="PYB85" s="1185"/>
      <c r="PYC85" s="1185"/>
      <c r="PYD85" s="1185"/>
      <c r="PYE85" s="1185"/>
      <c r="PYF85" s="1185"/>
      <c r="PYG85" s="1185"/>
      <c r="PYH85" s="1185"/>
      <c r="PYI85" s="1185"/>
      <c r="PYJ85" s="1185"/>
      <c r="PYK85" s="1185"/>
      <c r="PYL85" s="1185"/>
      <c r="PYM85" s="1185"/>
      <c r="PYN85" s="1185"/>
      <c r="PYO85" s="1185"/>
      <c r="PYP85" s="1185"/>
      <c r="PYQ85" s="1185"/>
      <c r="PYR85" s="1185"/>
      <c r="PYS85" s="1185"/>
      <c r="PYT85" s="1185"/>
      <c r="PYU85" s="1185"/>
      <c r="PYV85" s="1185"/>
      <c r="PYW85" s="1185"/>
      <c r="PYX85" s="1185"/>
      <c r="PYY85" s="1185"/>
      <c r="PYZ85" s="1185"/>
      <c r="PZA85" s="1185"/>
      <c r="PZB85" s="1185"/>
      <c r="PZC85" s="1185"/>
      <c r="PZD85" s="1185"/>
      <c r="PZE85" s="1185"/>
      <c r="PZF85" s="1185"/>
      <c r="PZG85" s="1185"/>
      <c r="PZH85" s="1185"/>
      <c r="PZI85" s="1185"/>
      <c r="PZJ85" s="1185"/>
      <c r="PZK85" s="1185"/>
      <c r="PZL85" s="1185"/>
      <c r="PZM85" s="1185"/>
      <c r="PZN85" s="1185"/>
      <c r="PZO85" s="1185"/>
      <c r="PZP85" s="1185"/>
      <c r="PZQ85" s="1185"/>
      <c r="PZR85" s="1185"/>
      <c r="PZS85" s="1185"/>
      <c r="PZT85" s="1185"/>
      <c r="PZU85" s="1185"/>
      <c r="PZV85" s="1185"/>
      <c r="PZW85" s="1185"/>
      <c r="PZX85" s="1185"/>
      <c r="PZY85" s="1185"/>
      <c r="PZZ85" s="1185"/>
      <c r="QAA85" s="1185"/>
      <c r="QAB85" s="1185"/>
      <c r="QAC85" s="1185"/>
      <c r="QAD85" s="1185"/>
      <c r="QAE85" s="1185"/>
      <c r="QAF85" s="1185"/>
      <c r="QAG85" s="1185"/>
      <c r="QAH85" s="1185"/>
      <c r="QAI85" s="1185"/>
      <c r="QAJ85" s="1185"/>
      <c r="QAK85" s="1185"/>
      <c r="QAL85" s="1185"/>
      <c r="QAM85" s="1185"/>
      <c r="QAN85" s="1185"/>
      <c r="QAO85" s="1185"/>
      <c r="QAP85" s="1185"/>
      <c r="QAQ85" s="1185"/>
      <c r="QAR85" s="1185"/>
      <c r="QAS85" s="1185"/>
      <c r="QAT85" s="1185"/>
      <c r="QAU85" s="1185"/>
      <c r="QAV85" s="1185"/>
      <c r="QAW85" s="1185"/>
      <c r="QAX85" s="1185"/>
      <c r="QAY85" s="1185"/>
      <c r="QAZ85" s="1185"/>
      <c r="QBA85" s="1185"/>
      <c r="QBB85" s="1185"/>
      <c r="QBC85" s="1185"/>
      <c r="QBD85" s="1185"/>
      <c r="QBE85" s="1185"/>
      <c r="QBF85" s="1185"/>
      <c r="QBG85" s="1185"/>
      <c r="QBH85" s="1185"/>
      <c r="QBI85" s="1185"/>
      <c r="QBJ85" s="1185"/>
      <c r="QBK85" s="1185"/>
      <c r="QBL85" s="1185"/>
      <c r="QBM85" s="1185"/>
      <c r="QBN85" s="1185"/>
      <c r="QBO85" s="1185"/>
      <c r="QBP85" s="1185"/>
      <c r="QBQ85" s="1185"/>
      <c r="QBR85" s="1185"/>
      <c r="QBS85" s="1185"/>
      <c r="QBT85" s="1185"/>
      <c r="QBU85" s="1185"/>
      <c r="QBV85" s="1185"/>
      <c r="QBW85" s="1185"/>
      <c r="QBX85" s="1185"/>
      <c r="QBY85" s="1185"/>
      <c r="QBZ85" s="1185"/>
      <c r="QCA85" s="1185"/>
      <c r="QCB85" s="1185"/>
      <c r="QCC85" s="1185"/>
      <c r="QCD85" s="1185"/>
      <c r="QCE85" s="1185"/>
      <c r="QCF85" s="1185"/>
      <c r="QCG85" s="1185"/>
      <c r="QCH85" s="1185"/>
      <c r="QCI85" s="1185"/>
      <c r="QCJ85" s="1185"/>
      <c r="QCK85" s="1185"/>
      <c r="QCL85" s="1185"/>
      <c r="QCM85" s="1185"/>
      <c r="QCN85" s="1185"/>
      <c r="QCO85" s="1185"/>
      <c r="QCP85" s="1185"/>
      <c r="QCQ85" s="1185"/>
      <c r="QCR85" s="1185"/>
      <c r="QCS85" s="1185"/>
      <c r="QCT85" s="1185"/>
      <c r="QCU85" s="1185"/>
      <c r="QCV85" s="1185"/>
      <c r="QCW85" s="1185"/>
      <c r="QCX85" s="1185"/>
      <c r="QCY85" s="1185"/>
      <c r="QCZ85" s="1185"/>
      <c r="QDA85" s="1185"/>
      <c r="QDB85" s="1185"/>
      <c r="QDC85" s="1185"/>
      <c r="QDD85" s="1185"/>
      <c r="QDE85" s="1185"/>
      <c r="QDF85" s="1185"/>
      <c r="QDG85" s="1185"/>
      <c r="QDH85" s="1185"/>
      <c r="QDI85" s="1185"/>
      <c r="QDJ85" s="1185"/>
      <c r="QDK85" s="1185"/>
      <c r="QDL85" s="1185"/>
      <c r="QDM85" s="1185"/>
      <c r="QDN85" s="1185"/>
      <c r="QDO85" s="1185"/>
      <c r="QDP85" s="1185"/>
      <c r="QDQ85" s="1185"/>
      <c r="QDR85" s="1185"/>
      <c r="QDS85" s="1185"/>
      <c r="QDT85" s="1185"/>
      <c r="QDU85" s="1185"/>
      <c r="QDV85" s="1185"/>
      <c r="QDW85" s="1185"/>
      <c r="QDX85" s="1185"/>
      <c r="QDY85" s="1185"/>
      <c r="QDZ85" s="1185"/>
      <c r="QEA85" s="1185"/>
      <c r="QEB85" s="1185"/>
      <c r="QEC85" s="1185"/>
      <c r="QED85" s="1185"/>
      <c r="QEE85" s="1185"/>
      <c r="QEF85" s="1185"/>
      <c r="QEG85" s="1185"/>
      <c r="QEH85" s="1185"/>
      <c r="QEI85" s="1185"/>
      <c r="QEJ85" s="1185"/>
      <c r="QEK85" s="1185"/>
      <c r="QEL85" s="1185"/>
      <c r="QEM85" s="1185"/>
      <c r="QEN85" s="1185"/>
      <c r="QEO85" s="1185"/>
      <c r="QEP85" s="1185"/>
      <c r="QEQ85" s="1185"/>
      <c r="QER85" s="1185"/>
      <c r="QES85" s="1185"/>
      <c r="QET85" s="1185"/>
      <c r="QEU85" s="1185"/>
      <c r="QEV85" s="1185"/>
      <c r="QEW85" s="1185"/>
      <c r="QEX85" s="1185"/>
      <c r="QEY85" s="1185"/>
      <c r="QEZ85" s="1185"/>
      <c r="QFA85" s="1185"/>
      <c r="QFB85" s="1185"/>
      <c r="QFC85" s="1185"/>
      <c r="QFD85" s="1185"/>
      <c r="QFE85" s="1185"/>
      <c r="QFF85" s="1185"/>
      <c r="QFG85" s="1185"/>
      <c r="QFH85" s="1185"/>
      <c r="QFI85" s="1185"/>
      <c r="QFJ85" s="1185"/>
      <c r="QFK85" s="1185"/>
      <c r="QFL85" s="1185"/>
      <c r="QFM85" s="1185"/>
      <c r="QFN85" s="1185"/>
      <c r="QFO85" s="1185"/>
      <c r="QFP85" s="1185"/>
      <c r="QFQ85" s="1185"/>
      <c r="QFR85" s="1185"/>
      <c r="QFS85" s="1185"/>
      <c r="QFT85" s="1185"/>
      <c r="QFU85" s="1185"/>
      <c r="QFV85" s="1185"/>
      <c r="QFW85" s="1185"/>
      <c r="QFX85" s="1185"/>
      <c r="QFY85" s="1185"/>
      <c r="QFZ85" s="1185"/>
      <c r="QGA85" s="1185"/>
      <c r="QGB85" s="1185"/>
      <c r="QGC85" s="1185"/>
      <c r="QGD85" s="1185"/>
      <c r="QGE85" s="1185"/>
      <c r="QGF85" s="1185"/>
      <c r="QGG85" s="1185"/>
      <c r="QGH85" s="1185"/>
      <c r="QGI85" s="1185"/>
      <c r="QGJ85" s="1185"/>
      <c r="QGK85" s="1185"/>
      <c r="QGL85" s="1185"/>
      <c r="QGM85" s="1185"/>
      <c r="QGN85" s="1185"/>
      <c r="QGO85" s="1185"/>
      <c r="QGP85" s="1185"/>
      <c r="QGQ85" s="1185"/>
      <c r="QGR85" s="1185"/>
      <c r="QGS85" s="1185"/>
      <c r="QGT85" s="1185"/>
      <c r="QGU85" s="1185"/>
      <c r="QGV85" s="1185"/>
      <c r="QGW85" s="1185"/>
      <c r="QGX85" s="1185"/>
      <c r="QGY85" s="1185"/>
      <c r="QGZ85" s="1185"/>
      <c r="QHA85" s="1185"/>
      <c r="QHB85" s="1185"/>
      <c r="QHC85" s="1185"/>
      <c r="QHD85" s="1185"/>
      <c r="QHE85" s="1185"/>
      <c r="QHF85" s="1185"/>
      <c r="QHG85" s="1185"/>
      <c r="QHH85" s="1185"/>
      <c r="QHI85" s="1185"/>
      <c r="QHJ85" s="1185"/>
      <c r="QHK85" s="1185"/>
      <c r="QHL85" s="1185"/>
      <c r="QHM85" s="1185"/>
      <c r="QHN85" s="1185"/>
      <c r="QHO85" s="1185"/>
      <c r="QHP85" s="1185"/>
      <c r="QHQ85" s="1185"/>
      <c r="QHR85" s="1185"/>
      <c r="QHS85" s="1185"/>
      <c r="QHT85" s="1185"/>
      <c r="QHU85" s="1185"/>
      <c r="QHV85" s="1185"/>
      <c r="QHW85" s="1185"/>
      <c r="QHX85" s="1185"/>
      <c r="QHY85" s="1185"/>
      <c r="QHZ85" s="1185"/>
      <c r="QIA85" s="1185"/>
      <c r="QIB85" s="1185"/>
      <c r="QIC85" s="1185"/>
      <c r="QID85" s="1185"/>
      <c r="QIE85" s="1185"/>
      <c r="QIF85" s="1185"/>
      <c r="QIG85" s="1185"/>
      <c r="QIH85" s="1185"/>
      <c r="QII85" s="1185"/>
      <c r="QIJ85" s="1185"/>
      <c r="QIK85" s="1185"/>
      <c r="QIL85" s="1185"/>
      <c r="QIM85" s="1185"/>
      <c r="QIN85" s="1185"/>
      <c r="QIO85" s="1185"/>
      <c r="QIP85" s="1185"/>
      <c r="QIQ85" s="1185"/>
      <c r="QIR85" s="1185"/>
      <c r="QIS85" s="1185"/>
      <c r="QIT85" s="1185"/>
      <c r="QIU85" s="1185"/>
      <c r="QIV85" s="1185"/>
      <c r="QIW85" s="1185"/>
      <c r="QIX85" s="1185"/>
      <c r="QIY85" s="1185"/>
      <c r="QIZ85" s="1185"/>
      <c r="QJA85" s="1185"/>
      <c r="QJB85" s="1185"/>
      <c r="QJC85" s="1185"/>
      <c r="QJD85" s="1185"/>
      <c r="QJE85" s="1185"/>
      <c r="QJF85" s="1185"/>
      <c r="QJG85" s="1185"/>
      <c r="QJH85" s="1185"/>
      <c r="QJI85" s="1185"/>
      <c r="QJJ85" s="1185"/>
      <c r="QJK85" s="1185"/>
      <c r="QJL85" s="1185"/>
      <c r="QJM85" s="1185"/>
      <c r="QJN85" s="1185"/>
      <c r="QJO85" s="1185"/>
      <c r="QJP85" s="1185"/>
      <c r="QJQ85" s="1185"/>
      <c r="QJR85" s="1185"/>
      <c r="QJS85" s="1185"/>
      <c r="QJT85" s="1185"/>
      <c r="QJU85" s="1185"/>
      <c r="QJV85" s="1185"/>
      <c r="QJW85" s="1185"/>
      <c r="QJX85" s="1185"/>
      <c r="QJY85" s="1185"/>
      <c r="QJZ85" s="1185"/>
      <c r="QKA85" s="1185"/>
      <c r="QKB85" s="1185"/>
      <c r="QKC85" s="1185"/>
      <c r="QKD85" s="1185"/>
      <c r="QKE85" s="1185"/>
      <c r="QKF85" s="1185"/>
      <c r="QKG85" s="1185"/>
      <c r="QKH85" s="1185"/>
      <c r="QKI85" s="1185"/>
      <c r="QKJ85" s="1185"/>
      <c r="QKK85" s="1185"/>
      <c r="QKL85" s="1185"/>
      <c r="QKM85" s="1185"/>
      <c r="QKN85" s="1185"/>
      <c r="QKO85" s="1185"/>
      <c r="QKP85" s="1185"/>
      <c r="QKQ85" s="1185"/>
      <c r="QKR85" s="1185"/>
      <c r="QKS85" s="1185"/>
      <c r="QKT85" s="1185"/>
      <c r="QKU85" s="1185"/>
      <c r="QKV85" s="1185"/>
      <c r="QKW85" s="1185"/>
      <c r="QKX85" s="1185"/>
      <c r="QKY85" s="1185"/>
      <c r="QKZ85" s="1185"/>
      <c r="QLA85" s="1185"/>
      <c r="QLB85" s="1185"/>
      <c r="QLC85" s="1185"/>
      <c r="QLD85" s="1185"/>
      <c r="QLE85" s="1185"/>
      <c r="QLF85" s="1185"/>
      <c r="QLG85" s="1185"/>
      <c r="QLH85" s="1185"/>
      <c r="QLI85" s="1185"/>
      <c r="QLJ85" s="1185"/>
      <c r="QLK85" s="1185"/>
      <c r="QLL85" s="1185"/>
      <c r="QLM85" s="1185"/>
      <c r="QLN85" s="1185"/>
      <c r="QLO85" s="1185"/>
      <c r="QLP85" s="1185"/>
      <c r="QLQ85" s="1185"/>
      <c r="QLR85" s="1185"/>
      <c r="QLS85" s="1185"/>
      <c r="QLT85" s="1185"/>
      <c r="QLU85" s="1185"/>
      <c r="QLV85" s="1185"/>
      <c r="QLW85" s="1185"/>
      <c r="QLX85" s="1185"/>
      <c r="QLY85" s="1185"/>
      <c r="QLZ85" s="1185"/>
      <c r="QMA85" s="1185"/>
      <c r="QMB85" s="1185"/>
      <c r="QMC85" s="1185"/>
      <c r="QMD85" s="1185"/>
      <c r="QME85" s="1185"/>
      <c r="QMF85" s="1185"/>
      <c r="QMG85" s="1185"/>
      <c r="QMH85" s="1185"/>
      <c r="QMI85" s="1185"/>
      <c r="QMJ85" s="1185"/>
      <c r="QMK85" s="1185"/>
      <c r="QML85" s="1185"/>
      <c r="QMM85" s="1185"/>
      <c r="QMN85" s="1185"/>
      <c r="QMO85" s="1185"/>
      <c r="QMP85" s="1185"/>
      <c r="QMQ85" s="1185"/>
      <c r="QMR85" s="1185"/>
      <c r="QMS85" s="1185"/>
      <c r="QMT85" s="1185"/>
      <c r="QMU85" s="1185"/>
      <c r="QMV85" s="1185"/>
      <c r="QMW85" s="1185"/>
      <c r="QMX85" s="1185"/>
      <c r="QMY85" s="1185"/>
      <c r="QMZ85" s="1185"/>
      <c r="QNA85" s="1185"/>
      <c r="QNB85" s="1185"/>
      <c r="QNC85" s="1185"/>
      <c r="QND85" s="1185"/>
      <c r="QNE85" s="1185"/>
      <c r="QNF85" s="1185"/>
      <c r="QNG85" s="1185"/>
      <c r="QNH85" s="1185"/>
      <c r="QNI85" s="1185"/>
      <c r="QNJ85" s="1185"/>
      <c r="QNK85" s="1185"/>
      <c r="QNL85" s="1185"/>
      <c r="QNM85" s="1185"/>
      <c r="QNN85" s="1185"/>
      <c r="QNO85" s="1185"/>
      <c r="QNP85" s="1185"/>
      <c r="QNQ85" s="1185"/>
      <c r="QNR85" s="1185"/>
      <c r="QNS85" s="1185"/>
      <c r="QNT85" s="1185"/>
      <c r="QNU85" s="1185"/>
      <c r="QNV85" s="1185"/>
      <c r="QNW85" s="1185"/>
      <c r="QNX85" s="1185"/>
      <c r="QNY85" s="1185"/>
      <c r="QNZ85" s="1185"/>
      <c r="QOA85" s="1185"/>
      <c r="QOB85" s="1185"/>
      <c r="QOC85" s="1185"/>
      <c r="QOD85" s="1185"/>
      <c r="QOE85" s="1185"/>
      <c r="QOF85" s="1185"/>
      <c r="QOG85" s="1185"/>
      <c r="QOH85" s="1185"/>
      <c r="QOI85" s="1185"/>
      <c r="QOJ85" s="1185"/>
      <c r="QOK85" s="1185"/>
      <c r="QOL85" s="1185"/>
      <c r="QOM85" s="1185"/>
      <c r="QON85" s="1185"/>
      <c r="QOO85" s="1185"/>
      <c r="QOP85" s="1185"/>
      <c r="QOQ85" s="1185"/>
      <c r="QOR85" s="1185"/>
      <c r="QOS85" s="1185"/>
      <c r="QOT85" s="1185"/>
      <c r="QOU85" s="1185"/>
      <c r="QOV85" s="1185"/>
      <c r="QOW85" s="1185"/>
      <c r="QOX85" s="1185"/>
      <c r="QOY85" s="1185"/>
      <c r="QOZ85" s="1185"/>
      <c r="QPA85" s="1185"/>
      <c r="QPB85" s="1185"/>
      <c r="QPC85" s="1185"/>
      <c r="QPD85" s="1185"/>
      <c r="QPE85" s="1185"/>
      <c r="QPF85" s="1185"/>
      <c r="QPG85" s="1185"/>
      <c r="QPH85" s="1185"/>
      <c r="QPI85" s="1185"/>
      <c r="QPJ85" s="1185"/>
      <c r="QPK85" s="1185"/>
      <c r="QPL85" s="1185"/>
      <c r="QPM85" s="1185"/>
      <c r="QPN85" s="1185"/>
      <c r="QPO85" s="1185"/>
      <c r="QPP85" s="1185"/>
      <c r="QPQ85" s="1185"/>
      <c r="QPR85" s="1185"/>
      <c r="QPS85" s="1185"/>
      <c r="QPT85" s="1185"/>
      <c r="QPU85" s="1185"/>
      <c r="QPV85" s="1185"/>
      <c r="QPW85" s="1185"/>
      <c r="QPX85" s="1185"/>
      <c r="QPY85" s="1185"/>
      <c r="QPZ85" s="1185"/>
      <c r="QQA85" s="1185"/>
      <c r="QQB85" s="1185"/>
      <c r="QQC85" s="1185"/>
      <c r="QQD85" s="1185"/>
      <c r="QQE85" s="1185"/>
      <c r="QQF85" s="1185"/>
      <c r="QQG85" s="1185"/>
      <c r="QQH85" s="1185"/>
      <c r="QQI85" s="1185"/>
      <c r="QQJ85" s="1185"/>
      <c r="QQK85" s="1185"/>
      <c r="QQL85" s="1185"/>
      <c r="QQM85" s="1185"/>
      <c r="QQN85" s="1185"/>
      <c r="QQO85" s="1185"/>
      <c r="QQP85" s="1185"/>
      <c r="QQQ85" s="1185"/>
      <c r="QQR85" s="1185"/>
      <c r="QQS85" s="1185"/>
      <c r="QQT85" s="1185"/>
      <c r="QQU85" s="1185"/>
      <c r="QQV85" s="1185"/>
      <c r="QQW85" s="1185"/>
      <c r="QQX85" s="1185"/>
      <c r="QQY85" s="1185"/>
      <c r="QQZ85" s="1185"/>
      <c r="QRA85" s="1185"/>
      <c r="QRB85" s="1185"/>
      <c r="QRC85" s="1185"/>
      <c r="QRD85" s="1185"/>
      <c r="QRE85" s="1185"/>
      <c r="QRF85" s="1185"/>
      <c r="QRG85" s="1185"/>
      <c r="QRH85" s="1185"/>
      <c r="QRI85" s="1185"/>
      <c r="QRJ85" s="1185"/>
      <c r="QRK85" s="1185"/>
      <c r="QRL85" s="1185"/>
      <c r="QRM85" s="1185"/>
      <c r="QRN85" s="1185"/>
      <c r="QRO85" s="1185"/>
      <c r="QRP85" s="1185"/>
      <c r="QRQ85" s="1185"/>
      <c r="QRR85" s="1185"/>
      <c r="QRS85" s="1185"/>
      <c r="QRT85" s="1185"/>
      <c r="QRU85" s="1185"/>
      <c r="QRV85" s="1185"/>
      <c r="QRW85" s="1185"/>
      <c r="QRX85" s="1185"/>
      <c r="QRY85" s="1185"/>
      <c r="QRZ85" s="1185"/>
      <c r="QSA85" s="1185"/>
      <c r="QSB85" s="1185"/>
      <c r="QSC85" s="1185"/>
      <c r="QSD85" s="1185"/>
      <c r="QSE85" s="1185"/>
      <c r="QSF85" s="1185"/>
      <c r="QSG85" s="1185"/>
      <c r="QSH85" s="1185"/>
      <c r="QSI85" s="1185"/>
      <c r="QSJ85" s="1185"/>
      <c r="QSK85" s="1185"/>
      <c r="QSL85" s="1185"/>
      <c r="QSM85" s="1185"/>
      <c r="QSN85" s="1185"/>
      <c r="QSO85" s="1185"/>
      <c r="QSP85" s="1185"/>
      <c r="QSQ85" s="1185"/>
      <c r="QSR85" s="1185"/>
      <c r="QSS85" s="1185"/>
      <c r="QST85" s="1185"/>
      <c r="QSU85" s="1185"/>
      <c r="QSV85" s="1185"/>
      <c r="QSW85" s="1185"/>
      <c r="QSX85" s="1185"/>
      <c r="QSY85" s="1185"/>
      <c r="QSZ85" s="1185"/>
      <c r="QTA85" s="1185"/>
      <c r="QTB85" s="1185"/>
      <c r="QTC85" s="1185"/>
      <c r="QTD85" s="1185"/>
      <c r="QTE85" s="1185"/>
      <c r="QTF85" s="1185"/>
      <c r="QTG85" s="1185"/>
      <c r="QTH85" s="1185"/>
      <c r="QTI85" s="1185"/>
      <c r="QTJ85" s="1185"/>
      <c r="QTK85" s="1185"/>
      <c r="QTL85" s="1185"/>
      <c r="QTM85" s="1185"/>
      <c r="QTN85" s="1185"/>
      <c r="QTO85" s="1185"/>
      <c r="QTP85" s="1185"/>
      <c r="QTQ85" s="1185"/>
      <c r="QTR85" s="1185"/>
      <c r="QTS85" s="1185"/>
      <c r="QTT85" s="1185"/>
      <c r="QTU85" s="1185"/>
      <c r="QTV85" s="1185"/>
      <c r="QTW85" s="1185"/>
      <c r="QTX85" s="1185"/>
      <c r="QTY85" s="1185"/>
      <c r="QTZ85" s="1185"/>
      <c r="QUA85" s="1185"/>
      <c r="QUB85" s="1185"/>
      <c r="QUC85" s="1185"/>
      <c r="QUD85" s="1185"/>
      <c r="QUE85" s="1185"/>
      <c r="QUF85" s="1185"/>
      <c r="QUG85" s="1185"/>
      <c r="QUH85" s="1185"/>
      <c r="QUI85" s="1185"/>
      <c r="QUJ85" s="1185"/>
      <c r="QUK85" s="1185"/>
      <c r="QUL85" s="1185"/>
      <c r="QUM85" s="1185"/>
      <c r="QUN85" s="1185"/>
      <c r="QUO85" s="1185"/>
      <c r="QUP85" s="1185"/>
      <c r="QUQ85" s="1185"/>
      <c r="QUR85" s="1185"/>
      <c r="QUS85" s="1185"/>
      <c r="QUT85" s="1185"/>
      <c r="QUU85" s="1185"/>
      <c r="QUV85" s="1185"/>
      <c r="QUW85" s="1185"/>
      <c r="QUX85" s="1185"/>
      <c r="QUY85" s="1185"/>
      <c r="QUZ85" s="1185"/>
      <c r="QVA85" s="1185"/>
      <c r="QVB85" s="1185"/>
      <c r="QVC85" s="1185"/>
      <c r="QVD85" s="1185"/>
      <c r="QVE85" s="1185"/>
      <c r="QVF85" s="1185"/>
      <c r="QVG85" s="1185"/>
      <c r="QVH85" s="1185"/>
      <c r="QVI85" s="1185"/>
      <c r="QVJ85" s="1185"/>
      <c r="QVK85" s="1185"/>
      <c r="QVL85" s="1185"/>
      <c r="QVM85" s="1185"/>
      <c r="QVN85" s="1185"/>
      <c r="QVO85" s="1185"/>
      <c r="QVP85" s="1185"/>
      <c r="QVQ85" s="1185"/>
      <c r="QVR85" s="1185"/>
      <c r="QVS85" s="1185"/>
      <c r="QVT85" s="1185"/>
      <c r="QVU85" s="1185"/>
      <c r="QVV85" s="1185"/>
      <c r="QVW85" s="1185"/>
      <c r="QVX85" s="1185"/>
      <c r="QVY85" s="1185"/>
      <c r="QVZ85" s="1185"/>
      <c r="QWA85" s="1185"/>
      <c r="QWB85" s="1185"/>
      <c r="QWC85" s="1185"/>
      <c r="QWD85" s="1185"/>
      <c r="QWE85" s="1185"/>
      <c r="QWF85" s="1185"/>
      <c r="QWG85" s="1185"/>
      <c r="QWH85" s="1185"/>
      <c r="QWI85" s="1185"/>
      <c r="QWJ85" s="1185"/>
      <c r="QWK85" s="1185"/>
      <c r="QWL85" s="1185"/>
      <c r="QWM85" s="1185"/>
      <c r="QWN85" s="1185"/>
      <c r="QWO85" s="1185"/>
      <c r="QWP85" s="1185"/>
      <c r="QWQ85" s="1185"/>
      <c r="QWR85" s="1185"/>
      <c r="QWS85" s="1185"/>
      <c r="QWT85" s="1185"/>
      <c r="QWU85" s="1185"/>
      <c r="QWV85" s="1185"/>
      <c r="QWW85" s="1185"/>
      <c r="QWX85" s="1185"/>
      <c r="QWY85" s="1185"/>
      <c r="QWZ85" s="1185"/>
      <c r="QXA85" s="1185"/>
      <c r="QXB85" s="1185"/>
      <c r="QXC85" s="1185"/>
      <c r="QXD85" s="1185"/>
      <c r="QXE85" s="1185"/>
      <c r="QXF85" s="1185"/>
      <c r="QXG85" s="1185"/>
      <c r="QXH85" s="1185"/>
      <c r="QXI85" s="1185"/>
      <c r="QXJ85" s="1185"/>
      <c r="QXK85" s="1185"/>
      <c r="QXL85" s="1185"/>
      <c r="QXM85" s="1185"/>
      <c r="QXN85" s="1185"/>
      <c r="QXO85" s="1185"/>
      <c r="QXP85" s="1185"/>
      <c r="QXQ85" s="1185"/>
      <c r="QXR85" s="1185"/>
      <c r="QXS85" s="1185"/>
      <c r="QXT85" s="1185"/>
      <c r="QXU85" s="1185"/>
      <c r="QXV85" s="1185"/>
      <c r="QXW85" s="1185"/>
      <c r="QXX85" s="1185"/>
      <c r="QXY85" s="1185"/>
      <c r="QXZ85" s="1185"/>
      <c r="QYA85" s="1185"/>
      <c r="QYB85" s="1185"/>
      <c r="QYC85" s="1185"/>
      <c r="QYD85" s="1185"/>
      <c r="QYE85" s="1185"/>
      <c r="QYF85" s="1185"/>
      <c r="QYG85" s="1185"/>
      <c r="QYH85" s="1185"/>
      <c r="QYI85" s="1185"/>
      <c r="QYJ85" s="1185"/>
      <c r="QYK85" s="1185"/>
      <c r="QYL85" s="1185"/>
      <c r="QYM85" s="1185"/>
      <c r="QYN85" s="1185"/>
      <c r="QYO85" s="1185"/>
      <c r="QYP85" s="1185"/>
      <c r="QYQ85" s="1185"/>
      <c r="QYR85" s="1185"/>
      <c r="QYS85" s="1185"/>
      <c r="QYT85" s="1185"/>
      <c r="QYU85" s="1185"/>
      <c r="QYV85" s="1185"/>
      <c r="QYW85" s="1185"/>
      <c r="QYX85" s="1185"/>
      <c r="QYY85" s="1185"/>
      <c r="QYZ85" s="1185"/>
      <c r="QZA85" s="1185"/>
      <c r="QZB85" s="1185"/>
      <c r="QZC85" s="1185"/>
      <c r="QZD85" s="1185"/>
      <c r="QZE85" s="1185"/>
      <c r="QZF85" s="1185"/>
      <c r="QZG85" s="1185"/>
      <c r="QZH85" s="1185"/>
      <c r="QZI85" s="1185"/>
      <c r="QZJ85" s="1185"/>
      <c r="QZK85" s="1185"/>
      <c r="QZL85" s="1185"/>
      <c r="QZM85" s="1185"/>
      <c r="QZN85" s="1185"/>
      <c r="QZO85" s="1185"/>
      <c r="QZP85" s="1185"/>
      <c r="QZQ85" s="1185"/>
      <c r="QZR85" s="1185"/>
      <c r="QZS85" s="1185"/>
      <c r="QZT85" s="1185"/>
      <c r="QZU85" s="1185"/>
      <c r="QZV85" s="1185"/>
      <c r="QZW85" s="1185"/>
      <c r="QZX85" s="1185"/>
      <c r="QZY85" s="1185"/>
      <c r="QZZ85" s="1185"/>
      <c r="RAA85" s="1185"/>
      <c r="RAB85" s="1185"/>
      <c r="RAC85" s="1185"/>
      <c r="RAD85" s="1185"/>
      <c r="RAE85" s="1185"/>
      <c r="RAF85" s="1185"/>
      <c r="RAG85" s="1185"/>
      <c r="RAH85" s="1185"/>
      <c r="RAI85" s="1185"/>
      <c r="RAJ85" s="1185"/>
      <c r="RAK85" s="1185"/>
      <c r="RAL85" s="1185"/>
      <c r="RAM85" s="1185"/>
      <c r="RAN85" s="1185"/>
      <c r="RAO85" s="1185"/>
      <c r="RAP85" s="1185"/>
      <c r="RAQ85" s="1185"/>
      <c r="RAR85" s="1185"/>
      <c r="RAS85" s="1185"/>
      <c r="RAT85" s="1185"/>
      <c r="RAU85" s="1185"/>
      <c r="RAV85" s="1185"/>
      <c r="RAW85" s="1185"/>
      <c r="RAX85" s="1185"/>
      <c r="RAY85" s="1185"/>
      <c r="RAZ85" s="1185"/>
      <c r="RBA85" s="1185"/>
      <c r="RBB85" s="1185"/>
      <c r="RBC85" s="1185"/>
      <c r="RBD85" s="1185"/>
      <c r="RBE85" s="1185"/>
      <c r="RBF85" s="1185"/>
      <c r="RBG85" s="1185"/>
      <c r="RBH85" s="1185"/>
      <c r="RBI85" s="1185"/>
      <c r="RBJ85" s="1185"/>
      <c r="RBK85" s="1185"/>
      <c r="RBL85" s="1185"/>
      <c r="RBM85" s="1185"/>
      <c r="RBN85" s="1185"/>
      <c r="RBO85" s="1185"/>
      <c r="RBP85" s="1185"/>
      <c r="RBQ85" s="1185"/>
      <c r="RBR85" s="1185"/>
      <c r="RBS85" s="1185"/>
      <c r="RBT85" s="1185"/>
      <c r="RBU85" s="1185"/>
      <c r="RBV85" s="1185"/>
      <c r="RBW85" s="1185"/>
      <c r="RBX85" s="1185"/>
      <c r="RBY85" s="1185"/>
      <c r="RBZ85" s="1185"/>
      <c r="RCA85" s="1185"/>
      <c r="RCB85" s="1185"/>
      <c r="RCC85" s="1185"/>
      <c r="RCD85" s="1185"/>
      <c r="RCE85" s="1185"/>
      <c r="RCF85" s="1185"/>
      <c r="RCG85" s="1185"/>
      <c r="RCH85" s="1185"/>
      <c r="RCI85" s="1185"/>
      <c r="RCJ85" s="1185"/>
      <c r="RCK85" s="1185"/>
      <c r="RCL85" s="1185"/>
      <c r="RCM85" s="1185"/>
      <c r="RCN85" s="1185"/>
      <c r="RCO85" s="1185"/>
      <c r="RCP85" s="1185"/>
      <c r="RCQ85" s="1185"/>
      <c r="RCR85" s="1185"/>
      <c r="RCS85" s="1185"/>
      <c r="RCT85" s="1185"/>
      <c r="RCU85" s="1185"/>
      <c r="RCV85" s="1185"/>
      <c r="RCW85" s="1185"/>
      <c r="RCX85" s="1185"/>
      <c r="RCY85" s="1185"/>
      <c r="RCZ85" s="1185"/>
      <c r="RDA85" s="1185"/>
      <c r="RDB85" s="1185"/>
      <c r="RDC85" s="1185"/>
      <c r="RDD85" s="1185"/>
      <c r="RDE85" s="1185"/>
      <c r="RDF85" s="1185"/>
      <c r="RDG85" s="1185"/>
      <c r="RDH85" s="1185"/>
      <c r="RDI85" s="1185"/>
      <c r="RDJ85" s="1185"/>
      <c r="RDK85" s="1185"/>
      <c r="RDL85" s="1185"/>
      <c r="RDM85" s="1185"/>
      <c r="RDN85" s="1185"/>
      <c r="RDO85" s="1185"/>
      <c r="RDP85" s="1185"/>
      <c r="RDQ85" s="1185"/>
      <c r="RDR85" s="1185"/>
      <c r="RDS85" s="1185"/>
      <c r="RDT85" s="1185"/>
      <c r="RDU85" s="1185"/>
      <c r="RDV85" s="1185"/>
      <c r="RDW85" s="1185"/>
      <c r="RDX85" s="1185"/>
      <c r="RDY85" s="1185"/>
      <c r="RDZ85" s="1185"/>
      <c r="REA85" s="1185"/>
      <c r="REB85" s="1185"/>
      <c r="REC85" s="1185"/>
      <c r="RED85" s="1185"/>
      <c r="REE85" s="1185"/>
      <c r="REF85" s="1185"/>
      <c r="REG85" s="1185"/>
      <c r="REH85" s="1185"/>
      <c r="REI85" s="1185"/>
      <c r="REJ85" s="1185"/>
      <c r="REK85" s="1185"/>
      <c r="REL85" s="1185"/>
      <c r="REM85" s="1185"/>
      <c r="REN85" s="1185"/>
      <c r="REO85" s="1185"/>
      <c r="REP85" s="1185"/>
      <c r="REQ85" s="1185"/>
      <c r="RER85" s="1185"/>
      <c r="RES85" s="1185"/>
      <c r="RET85" s="1185"/>
      <c r="REU85" s="1185"/>
      <c r="REV85" s="1185"/>
      <c r="REW85" s="1185"/>
      <c r="REX85" s="1185"/>
      <c r="REY85" s="1185"/>
      <c r="REZ85" s="1185"/>
      <c r="RFA85" s="1185"/>
      <c r="RFB85" s="1185"/>
      <c r="RFC85" s="1185"/>
      <c r="RFD85" s="1185"/>
      <c r="RFE85" s="1185"/>
      <c r="RFF85" s="1185"/>
      <c r="RFG85" s="1185"/>
      <c r="RFH85" s="1185"/>
      <c r="RFI85" s="1185"/>
      <c r="RFJ85" s="1185"/>
      <c r="RFK85" s="1185"/>
      <c r="RFL85" s="1185"/>
      <c r="RFM85" s="1185"/>
      <c r="RFN85" s="1185"/>
      <c r="RFO85" s="1185"/>
      <c r="RFP85" s="1185"/>
      <c r="RFQ85" s="1185"/>
      <c r="RFR85" s="1185"/>
      <c r="RFS85" s="1185"/>
      <c r="RFT85" s="1185"/>
      <c r="RFU85" s="1185"/>
      <c r="RFV85" s="1185"/>
      <c r="RFW85" s="1185"/>
      <c r="RFX85" s="1185"/>
      <c r="RFY85" s="1185"/>
      <c r="RFZ85" s="1185"/>
      <c r="RGA85" s="1185"/>
      <c r="RGB85" s="1185"/>
      <c r="RGC85" s="1185"/>
      <c r="RGD85" s="1185"/>
      <c r="RGE85" s="1185"/>
      <c r="RGF85" s="1185"/>
      <c r="RGG85" s="1185"/>
      <c r="RGH85" s="1185"/>
      <c r="RGI85" s="1185"/>
      <c r="RGJ85" s="1185"/>
      <c r="RGK85" s="1185"/>
      <c r="RGL85" s="1185"/>
      <c r="RGM85" s="1185"/>
      <c r="RGN85" s="1185"/>
      <c r="RGO85" s="1185"/>
      <c r="RGP85" s="1185"/>
      <c r="RGQ85" s="1185"/>
      <c r="RGR85" s="1185"/>
      <c r="RGS85" s="1185"/>
      <c r="RGT85" s="1185"/>
      <c r="RGU85" s="1185"/>
      <c r="RGV85" s="1185"/>
      <c r="RGW85" s="1185"/>
      <c r="RGX85" s="1185"/>
      <c r="RGY85" s="1185"/>
      <c r="RGZ85" s="1185"/>
      <c r="RHA85" s="1185"/>
      <c r="RHB85" s="1185"/>
      <c r="RHC85" s="1185"/>
      <c r="RHD85" s="1185"/>
      <c r="RHE85" s="1185"/>
      <c r="RHF85" s="1185"/>
      <c r="RHG85" s="1185"/>
      <c r="RHH85" s="1185"/>
      <c r="RHI85" s="1185"/>
      <c r="RHJ85" s="1185"/>
      <c r="RHK85" s="1185"/>
      <c r="RHL85" s="1185"/>
      <c r="RHM85" s="1185"/>
      <c r="RHN85" s="1185"/>
      <c r="RHO85" s="1185"/>
      <c r="RHP85" s="1185"/>
      <c r="RHQ85" s="1185"/>
      <c r="RHR85" s="1185"/>
      <c r="RHS85" s="1185"/>
      <c r="RHT85" s="1185"/>
      <c r="RHU85" s="1185"/>
      <c r="RHV85" s="1185"/>
      <c r="RHW85" s="1185"/>
      <c r="RHX85" s="1185"/>
      <c r="RHY85" s="1185"/>
      <c r="RHZ85" s="1185"/>
      <c r="RIA85" s="1185"/>
      <c r="RIB85" s="1185"/>
      <c r="RIC85" s="1185"/>
      <c r="RID85" s="1185"/>
      <c r="RIE85" s="1185"/>
      <c r="RIF85" s="1185"/>
      <c r="RIG85" s="1185"/>
      <c r="RIH85" s="1185"/>
      <c r="RII85" s="1185"/>
      <c r="RIJ85" s="1185"/>
      <c r="RIK85" s="1185"/>
      <c r="RIL85" s="1185"/>
      <c r="RIM85" s="1185"/>
      <c r="RIN85" s="1185"/>
      <c r="RIO85" s="1185"/>
      <c r="RIP85" s="1185"/>
      <c r="RIQ85" s="1185"/>
      <c r="RIR85" s="1185"/>
      <c r="RIS85" s="1185"/>
      <c r="RIT85" s="1185"/>
      <c r="RIU85" s="1185"/>
      <c r="RIV85" s="1185"/>
      <c r="RIW85" s="1185"/>
      <c r="RIX85" s="1185"/>
      <c r="RIY85" s="1185"/>
      <c r="RIZ85" s="1185"/>
      <c r="RJA85" s="1185"/>
      <c r="RJB85" s="1185"/>
      <c r="RJC85" s="1185"/>
      <c r="RJD85" s="1185"/>
      <c r="RJE85" s="1185"/>
      <c r="RJF85" s="1185"/>
      <c r="RJG85" s="1185"/>
      <c r="RJH85" s="1185"/>
      <c r="RJI85" s="1185"/>
      <c r="RJJ85" s="1185"/>
      <c r="RJK85" s="1185"/>
      <c r="RJL85" s="1185"/>
      <c r="RJM85" s="1185"/>
      <c r="RJN85" s="1185"/>
      <c r="RJO85" s="1185"/>
      <c r="RJP85" s="1185"/>
      <c r="RJQ85" s="1185"/>
      <c r="RJR85" s="1185"/>
      <c r="RJS85" s="1185"/>
      <c r="RJT85" s="1185"/>
      <c r="RJU85" s="1185"/>
      <c r="RJV85" s="1185"/>
      <c r="RJW85" s="1185"/>
      <c r="RJX85" s="1185"/>
      <c r="RJY85" s="1185"/>
      <c r="RJZ85" s="1185"/>
      <c r="RKA85" s="1185"/>
      <c r="RKB85" s="1185"/>
      <c r="RKC85" s="1185"/>
      <c r="RKD85" s="1185"/>
      <c r="RKE85" s="1185"/>
      <c r="RKF85" s="1185"/>
      <c r="RKG85" s="1185"/>
      <c r="RKH85" s="1185"/>
      <c r="RKI85" s="1185"/>
      <c r="RKJ85" s="1185"/>
      <c r="RKK85" s="1185"/>
      <c r="RKL85" s="1185"/>
      <c r="RKM85" s="1185"/>
      <c r="RKN85" s="1185"/>
      <c r="RKO85" s="1185"/>
      <c r="RKP85" s="1185"/>
      <c r="RKQ85" s="1185"/>
      <c r="RKR85" s="1185"/>
      <c r="RKS85" s="1185"/>
      <c r="RKT85" s="1185"/>
      <c r="RKU85" s="1185"/>
      <c r="RKV85" s="1185"/>
      <c r="RKW85" s="1185"/>
      <c r="RKX85" s="1185"/>
      <c r="RKY85" s="1185"/>
      <c r="RKZ85" s="1185"/>
      <c r="RLA85" s="1185"/>
      <c r="RLB85" s="1185"/>
      <c r="RLC85" s="1185"/>
      <c r="RLD85" s="1185"/>
      <c r="RLE85" s="1185"/>
      <c r="RLF85" s="1185"/>
      <c r="RLG85" s="1185"/>
      <c r="RLH85" s="1185"/>
      <c r="RLI85" s="1185"/>
      <c r="RLJ85" s="1185"/>
      <c r="RLK85" s="1185"/>
      <c r="RLL85" s="1185"/>
      <c r="RLM85" s="1185"/>
      <c r="RLN85" s="1185"/>
      <c r="RLO85" s="1185"/>
      <c r="RLP85" s="1185"/>
      <c r="RLQ85" s="1185"/>
      <c r="RLR85" s="1185"/>
      <c r="RLS85" s="1185"/>
      <c r="RLT85" s="1185"/>
      <c r="RLU85" s="1185"/>
      <c r="RLV85" s="1185"/>
      <c r="RLW85" s="1185"/>
      <c r="RLX85" s="1185"/>
      <c r="RLY85" s="1185"/>
      <c r="RLZ85" s="1185"/>
      <c r="RMA85" s="1185"/>
      <c r="RMB85" s="1185"/>
      <c r="RMC85" s="1185"/>
      <c r="RMD85" s="1185"/>
      <c r="RME85" s="1185"/>
      <c r="RMF85" s="1185"/>
      <c r="RMG85" s="1185"/>
      <c r="RMH85" s="1185"/>
      <c r="RMI85" s="1185"/>
      <c r="RMJ85" s="1185"/>
      <c r="RMK85" s="1185"/>
      <c r="RML85" s="1185"/>
      <c r="RMM85" s="1185"/>
      <c r="RMN85" s="1185"/>
      <c r="RMO85" s="1185"/>
      <c r="RMP85" s="1185"/>
      <c r="RMQ85" s="1185"/>
      <c r="RMR85" s="1185"/>
      <c r="RMS85" s="1185"/>
      <c r="RMT85" s="1185"/>
      <c r="RMU85" s="1185"/>
      <c r="RMV85" s="1185"/>
      <c r="RMW85" s="1185"/>
      <c r="RMX85" s="1185"/>
      <c r="RMY85" s="1185"/>
      <c r="RMZ85" s="1185"/>
      <c r="RNA85" s="1185"/>
      <c r="RNB85" s="1185"/>
      <c r="RNC85" s="1185"/>
      <c r="RND85" s="1185"/>
      <c r="RNE85" s="1185"/>
      <c r="RNF85" s="1185"/>
      <c r="RNG85" s="1185"/>
      <c r="RNH85" s="1185"/>
      <c r="RNI85" s="1185"/>
      <c r="RNJ85" s="1185"/>
      <c r="RNK85" s="1185"/>
      <c r="RNL85" s="1185"/>
      <c r="RNM85" s="1185"/>
      <c r="RNN85" s="1185"/>
      <c r="RNO85" s="1185"/>
      <c r="RNP85" s="1185"/>
      <c r="RNQ85" s="1185"/>
      <c r="RNR85" s="1185"/>
      <c r="RNS85" s="1185"/>
      <c r="RNT85" s="1185"/>
      <c r="RNU85" s="1185"/>
      <c r="RNV85" s="1185"/>
      <c r="RNW85" s="1185"/>
      <c r="RNX85" s="1185"/>
      <c r="RNY85" s="1185"/>
      <c r="RNZ85" s="1185"/>
      <c r="ROA85" s="1185"/>
      <c r="ROB85" s="1185"/>
      <c r="ROC85" s="1185"/>
      <c r="ROD85" s="1185"/>
      <c r="ROE85" s="1185"/>
      <c r="ROF85" s="1185"/>
      <c r="ROG85" s="1185"/>
      <c r="ROH85" s="1185"/>
      <c r="ROI85" s="1185"/>
      <c r="ROJ85" s="1185"/>
      <c r="ROK85" s="1185"/>
      <c r="ROL85" s="1185"/>
      <c r="ROM85" s="1185"/>
      <c r="RON85" s="1185"/>
      <c r="ROO85" s="1185"/>
      <c r="ROP85" s="1185"/>
      <c r="ROQ85" s="1185"/>
      <c r="ROR85" s="1185"/>
      <c r="ROS85" s="1185"/>
      <c r="ROT85" s="1185"/>
      <c r="ROU85" s="1185"/>
      <c r="ROV85" s="1185"/>
      <c r="ROW85" s="1185"/>
      <c r="ROX85" s="1185"/>
      <c r="ROY85" s="1185"/>
      <c r="ROZ85" s="1185"/>
      <c r="RPA85" s="1185"/>
      <c r="RPB85" s="1185"/>
      <c r="RPC85" s="1185"/>
      <c r="RPD85" s="1185"/>
      <c r="RPE85" s="1185"/>
      <c r="RPF85" s="1185"/>
      <c r="RPG85" s="1185"/>
      <c r="RPH85" s="1185"/>
      <c r="RPI85" s="1185"/>
      <c r="RPJ85" s="1185"/>
      <c r="RPK85" s="1185"/>
      <c r="RPL85" s="1185"/>
      <c r="RPM85" s="1185"/>
      <c r="RPN85" s="1185"/>
      <c r="RPO85" s="1185"/>
      <c r="RPP85" s="1185"/>
      <c r="RPQ85" s="1185"/>
      <c r="RPR85" s="1185"/>
      <c r="RPS85" s="1185"/>
      <c r="RPT85" s="1185"/>
      <c r="RPU85" s="1185"/>
      <c r="RPV85" s="1185"/>
      <c r="RPW85" s="1185"/>
      <c r="RPX85" s="1185"/>
      <c r="RPY85" s="1185"/>
      <c r="RPZ85" s="1185"/>
      <c r="RQA85" s="1185"/>
      <c r="RQB85" s="1185"/>
      <c r="RQC85" s="1185"/>
      <c r="RQD85" s="1185"/>
      <c r="RQE85" s="1185"/>
      <c r="RQF85" s="1185"/>
      <c r="RQG85" s="1185"/>
      <c r="RQH85" s="1185"/>
      <c r="RQI85" s="1185"/>
      <c r="RQJ85" s="1185"/>
      <c r="RQK85" s="1185"/>
      <c r="RQL85" s="1185"/>
      <c r="RQM85" s="1185"/>
      <c r="RQN85" s="1185"/>
      <c r="RQO85" s="1185"/>
      <c r="RQP85" s="1185"/>
      <c r="RQQ85" s="1185"/>
      <c r="RQR85" s="1185"/>
      <c r="RQS85" s="1185"/>
      <c r="RQT85" s="1185"/>
      <c r="RQU85" s="1185"/>
      <c r="RQV85" s="1185"/>
      <c r="RQW85" s="1185"/>
      <c r="RQX85" s="1185"/>
      <c r="RQY85" s="1185"/>
      <c r="RQZ85" s="1185"/>
      <c r="RRA85" s="1185"/>
      <c r="RRB85" s="1185"/>
      <c r="RRC85" s="1185"/>
      <c r="RRD85" s="1185"/>
      <c r="RRE85" s="1185"/>
      <c r="RRF85" s="1185"/>
      <c r="RRG85" s="1185"/>
      <c r="RRH85" s="1185"/>
      <c r="RRI85" s="1185"/>
      <c r="RRJ85" s="1185"/>
      <c r="RRK85" s="1185"/>
      <c r="RRL85" s="1185"/>
      <c r="RRM85" s="1185"/>
      <c r="RRN85" s="1185"/>
      <c r="RRO85" s="1185"/>
      <c r="RRP85" s="1185"/>
      <c r="RRQ85" s="1185"/>
      <c r="RRR85" s="1185"/>
      <c r="RRS85" s="1185"/>
      <c r="RRT85" s="1185"/>
      <c r="RRU85" s="1185"/>
      <c r="RRV85" s="1185"/>
      <c r="RRW85" s="1185"/>
      <c r="RRX85" s="1185"/>
      <c r="RRY85" s="1185"/>
      <c r="RRZ85" s="1185"/>
      <c r="RSA85" s="1185"/>
      <c r="RSB85" s="1185"/>
      <c r="RSC85" s="1185"/>
      <c r="RSD85" s="1185"/>
      <c r="RSE85" s="1185"/>
      <c r="RSF85" s="1185"/>
      <c r="RSG85" s="1185"/>
      <c r="RSH85" s="1185"/>
      <c r="RSI85" s="1185"/>
      <c r="RSJ85" s="1185"/>
      <c r="RSK85" s="1185"/>
      <c r="RSL85" s="1185"/>
      <c r="RSM85" s="1185"/>
      <c r="RSN85" s="1185"/>
      <c r="RSO85" s="1185"/>
      <c r="RSP85" s="1185"/>
      <c r="RSQ85" s="1185"/>
      <c r="RSR85" s="1185"/>
      <c r="RSS85" s="1185"/>
      <c r="RST85" s="1185"/>
      <c r="RSU85" s="1185"/>
      <c r="RSV85" s="1185"/>
      <c r="RSW85" s="1185"/>
      <c r="RSX85" s="1185"/>
      <c r="RSY85" s="1185"/>
      <c r="RSZ85" s="1185"/>
      <c r="RTA85" s="1185"/>
      <c r="RTB85" s="1185"/>
      <c r="RTC85" s="1185"/>
      <c r="RTD85" s="1185"/>
      <c r="RTE85" s="1185"/>
      <c r="RTF85" s="1185"/>
      <c r="RTG85" s="1185"/>
      <c r="RTH85" s="1185"/>
      <c r="RTI85" s="1185"/>
      <c r="RTJ85" s="1185"/>
      <c r="RTK85" s="1185"/>
      <c r="RTL85" s="1185"/>
      <c r="RTM85" s="1185"/>
      <c r="RTN85" s="1185"/>
      <c r="RTO85" s="1185"/>
      <c r="RTP85" s="1185"/>
      <c r="RTQ85" s="1185"/>
      <c r="RTR85" s="1185"/>
      <c r="RTS85" s="1185"/>
      <c r="RTT85" s="1185"/>
      <c r="RTU85" s="1185"/>
      <c r="RTV85" s="1185"/>
      <c r="RTW85" s="1185"/>
      <c r="RTX85" s="1185"/>
      <c r="RTY85" s="1185"/>
      <c r="RTZ85" s="1185"/>
      <c r="RUA85" s="1185"/>
      <c r="RUB85" s="1185"/>
      <c r="RUC85" s="1185"/>
      <c r="RUD85" s="1185"/>
      <c r="RUE85" s="1185"/>
      <c r="RUF85" s="1185"/>
      <c r="RUG85" s="1185"/>
      <c r="RUH85" s="1185"/>
      <c r="RUI85" s="1185"/>
      <c r="RUJ85" s="1185"/>
      <c r="RUK85" s="1185"/>
      <c r="RUL85" s="1185"/>
      <c r="RUM85" s="1185"/>
      <c r="RUN85" s="1185"/>
      <c r="RUO85" s="1185"/>
      <c r="RUP85" s="1185"/>
      <c r="RUQ85" s="1185"/>
      <c r="RUR85" s="1185"/>
      <c r="RUS85" s="1185"/>
      <c r="RUT85" s="1185"/>
      <c r="RUU85" s="1185"/>
      <c r="RUV85" s="1185"/>
      <c r="RUW85" s="1185"/>
      <c r="RUX85" s="1185"/>
      <c r="RUY85" s="1185"/>
      <c r="RUZ85" s="1185"/>
      <c r="RVA85" s="1185"/>
      <c r="RVB85" s="1185"/>
      <c r="RVC85" s="1185"/>
      <c r="RVD85" s="1185"/>
      <c r="RVE85" s="1185"/>
      <c r="RVF85" s="1185"/>
      <c r="RVG85" s="1185"/>
      <c r="RVH85" s="1185"/>
      <c r="RVI85" s="1185"/>
      <c r="RVJ85" s="1185"/>
      <c r="RVK85" s="1185"/>
      <c r="RVL85" s="1185"/>
      <c r="RVM85" s="1185"/>
      <c r="RVN85" s="1185"/>
      <c r="RVO85" s="1185"/>
      <c r="RVP85" s="1185"/>
      <c r="RVQ85" s="1185"/>
      <c r="RVR85" s="1185"/>
      <c r="RVS85" s="1185"/>
      <c r="RVT85" s="1185"/>
      <c r="RVU85" s="1185"/>
      <c r="RVV85" s="1185"/>
      <c r="RVW85" s="1185"/>
      <c r="RVX85" s="1185"/>
      <c r="RVY85" s="1185"/>
      <c r="RVZ85" s="1185"/>
      <c r="RWA85" s="1185"/>
      <c r="RWB85" s="1185"/>
      <c r="RWC85" s="1185"/>
      <c r="RWD85" s="1185"/>
      <c r="RWE85" s="1185"/>
      <c r="RWF85" s="1185"/>
      <c r="RWG85" s="1185"/>
      <c r="RWH85" s="1185"/>
      <c r="RWI85" s="1185"/>
      <c r="RWJ85" s="1185"/>
      <c r="RWK85" s="1185"/>
      <c r="RWL85" s="1185"/>
      <c r="RWM85" s="1185"/>
      <c r="RWN85" s="1185"/>
      <c r="RWO85" s="1185"/>
      <c r="RWP85" s="1185"/>
      <c r="RWQ85" s="1185"/>
      <c r="RWR85" s="1185"/>
      <c r="RWS85" s="1185"/>
      <c r="RWT85" s="1185"/>
      <c r="RWU85" s="1185"/>
      <c r="RWV85" s="1185"/>
      <c r="RWW85" s="1185"/>
      <c r="RWX85" s="1185"/>
      <c r="RWY85" s="1185"/>
      <c r="RWZ85" s="1185"/>
      <c r="RXA85" s="1185"/>
      <c r="RXB85" s="1185"/>
      <c r="RXC85" s="1185"/>
      <c r="RXD85" s="1185"/>
      <c r="RXE85" s="1185"/>
      <c r="RXF85" s="1185"/>
      <c r="RXG85" s="1185"/>
      <c r="RXH85" s="1185"/>
      <c r="RXI85" s="1185"/>
      <c r="RXJ85" s="1185"/>
      <c r="RXK85" s="1185"/>
      <c r="RXL85" s="1185"/>
      <c r="RXM85" s="1185"/>
      <c r="RXN85" s="1185"/>
      <c r="RXO85" s="1185"/>
      <c r="RXP85" s="1185"/>
      <c r="RXQ85" s="1185"/>
      <c r="RXR85" s="1185"/>
      <c r="RXS85" s="1185"/>
      <c r="RXT85" s="1185"/>
      <c r="RXU85" s="1185"/>
      <c r="RXV85" s="1185"/>
      <c r="RXW85" s="1185"/>
      <c r="RXX85" s="1185"/>
      <c r="RXY85" s="1185"/>
      <c r="RXZ85" s="1185"/>
      <c r="RYA85" s="1185"/>
      <c r="RYB85" s="1185"/>
      <c r="RYC85" s="1185"/>
      <c r="RYD85" s="1185"/>
      <c r="RYE85" s="1185"/>
      <c r="RYF85" s="1185"/>
      <c r="RYG85" s="1185"/>
      <c r="RYH85" s="1185"/>
      <c r="RYI85" s="1185"/>
      <c r="RYJ85" s="1185"/>
      <c r="RYK85" s="1185"/>
      <c r="RYL85" s="1185"/>
      <c r="RYM85" s="1185"/>
      <c r="RYN85" s="1185"/>
      <c r="RYO85" s="1185"/>
      <c r="RYP85" s="1185"/>
      <c r="RYQ85" s="1185"/>
      <c r="RYR85" s="1185"/>
      <c r="RYS85" s="1185"/>
      <c r="RYT85" s="1185"/>
      <c r="RYU85" s="1185"/>
      <c r="RYV85" s="1185"/>
      <c r="RYW85" s="1185"/>
      <c r="RYX85" s="1185"/>
      <c r="RYY85" s="1185"/>
      <c r="RYZ85" s="1185"/>
      <c r="RZA85" s="1185"/>
      <c r="RZB85" s="1185"/>
      <c r="RZC85" s="1185"/>
      <c r="RZD85" s="1185"/>
      <c r="RZE85" s="1185"/>
      <c r="RZF85" s="1185"/>
      <c r="RZG85" s="1185"/>
      <c r="RZH85" s="1185"/>
      <c r="RZI85" s="1185"/>
      <c r="RZJ85" s="1185"/>
      <c r="RZK85" s="1185"/>
      <c r="RZL85" s="1185"/>
      <c r="RZM85" s="1185"/>
      <c r="RZN85" s="1185"/>
      <c r="RZO85" s="1185"/>
      <c r="RZP85" s="1185"/>
      <c r="RZQ85" s="1185"/>
      <c r="RZR85" s="1185"/>
      <c r="RZS85" s="1185"/>
      <c r="RZT85" s="1185"/>
      <c r="RZU85" s="1185"/>
      <c r="RZV85" s="1185"/>
      <c r="RZW85" s="1185"/>
      <c r="RZX85" s="1185"/>
      <c r="RZY85" s="1185"/>
      <c r="RZZ85" s="1185"/>
      <c r="SAA85" s="1185"/>
      <c r="SAB85" s="1185"/>
      <c r="SAC85" s="1185"/>
      <c r="SAD85" s="1185"/>
      <c r="SAE85" s="1185"/>
      <c r="SAF85" s="1185"/>
      <c r="SAG85" s="1185"/>
      <c r="SAH85" s="1185"/>
      <c r="SAI85" s="1185"/>
      <c r="SAJ85" s="1185"/>
      <c r="SAK85" s="1185"/>
      <c r="SAL85" s="1185"/>
      <c r="SAM85" s="1185"/>
      <c r="SAN85" s="1185"/>
      <c r="SAO85" s="1185"/>
      <c r="SAP85" s="1185"/>
      <c r="SAQ85" s="1185"/>
      <c r="SAR85" s="1185"/>
      <c r="SAS85" s="1185"/>
      <c r="SAT85" s="1185"/>
      <c r="SAU85" s="1185"/>
      <c r="SAV85" s="1185"/>
      <c r="SAW85" s="1185"/>
      <c r="SAX85" s="1185"/>
      <c r="SAY85" s="1185"/>
      <c r="SAZ85" s="1185"/>
      <c r="SBA85" s="1185"/>
      <c r="SBB85" s="1185"/>
      <c r="SBC85" s="1185"/>
      <c r="SBD85" s="1185"/>
      <c r="SBE85" s="1185"/>
      <c r="SBF85" s="1185"/>
      <c r="SBG85" s="1185"/>
      <c r="SBH85" s="1185"/>
      <c r="SBI85" s="1185"/>
      <c r="SBJ85" s="1185"/>
      <c r="SBK85" s="1185"/>
      <c r="SBL85" s="1185"/>
      <c r="SBM85" s="1185"/>
      <c r="SBN85" s="1185"/>
      <c r="SBO85" s="1185"/>
      <c r="SBP85" s="1185"/>
      <c r="SBQ85" s="1185"/>
      <c r="SBR85" s="1185"/>
      <c r="SBS85" s="1185"/>
      <c r="SBT85" s="1185"/>
      <c r="SBU85" s="1185"/>
      <c r="SBV85" s="1185"/>
      <c r="SBW85" s="1185"/>
      <c r="SBX85" s="1185"/>
      <c r="SBY85" s="1185"/>
      <c r="SBZ85" s="1185"/>
      <c r="SCA85" s="1185"/>
      <c r="SCB85" s="1185"/>
      <c r="SCC85" s="1185"/>
      <c r="SCD85" s="1185"/>
      <c r="SCE85" s="1185"/>
      <c r="SCF85" s="1185"/>
      <c r="SCG85" s="1185"/>
      <c r="SCH85" s="1185"/>
      <c r="SCI85" s="1185"/>
      <c r="SCJ85" s="1185"/>
      <c r="SCK85" s="1185"/>
      <c r="SCL85" s="1185"/>
      <c r="SCM85" s="1185"/>
      <c r="SCN85" s="1185"/>
      <c r="SCO85" s="1185"/>
      <c r="SCP85" s="1185"/>
      <c r="SCQ85" s="1185"/>
      <c r="SCR85" s="1185"/>
      <c r="SCS85" s="1185"/>
      <c r="SCT85" s="1185"/>
      <c r="SCU85" s="1185"/>
      <c r="SCV85" s="1185"/>
      <c r="SCW85" s="1185"/>
      <c r="SCX85" s="1185"/>
      <c r="SCY85" s="1185"/>
      <c r="SCZ85" s="1185"/>
      <c r="SDA85" s="1185"/>
      <c r="SDB85" s="1185"/>
      <c r="SDC85" s="1185"/>
      <c r="SDD85" s="1185"/>
      <c r="SDE85" s="1185"/>
      <c r="SDF85" s="1185"/>
      <c r="SDG85" s="1185"/>
      <c r="SDH85" s="1185"/>
      <c r="SDI85" s="1185"/>
      <c r="SDJ85" s="1185"/>
      <c r="SDK85" s="1185"/>
      <c r="SDL85" s="1185"/>
      <c r="SDM85" s="1185"/>
      <c r="SDN85" s="1185"/>
      <c r="SDO85" s="1185"/>
      <c r="SDP85" s="1185"/>
      <c r="SDQ85" s="1185"/>
      <c r="SDR85" s="1185"/>
      <c r="SDS85" s="1185"/>
      <c r="SDT85" s="1185"/>
      <c r="SDU85" s="1185"/>
      <c r="SDV85" s="1185"/>
      <c r="SDW85" s="1185"/>
      <c r="SDX85" s="1185"/>
      <c r="SDY85" s="1185"/>
      <c r="SDZ85" s="1185"/>
      <c r="SEA85" s="1185"/>
      <c r="SEB85" s="1185"/>
      <c r="SEC85" s="1185"/>
      <c r="SED85" s="1185"/>
      <c r="SEE85" s="1185"/>
      <c r="SEF85" s="1185"/>
      <c r="SEG85" s="1185"/>
      <c r="SEH85" s="1185"/>
      <c r="SEI85" s="1185"/>
      <c r="SEJ85" s="1185"/>
      <c r="SEK85" s="1185"/>
      <c r="SEL85" s="1185"/>
      <c r="SEM85" s="1185"/>
      <c r="SEN85" s="1185"/>
      <c r="SEO85" s="1185"/>
      <c r="SEP85" s="1185"/>
      <c r="SEQ85" s="1185"/>
      <c r="SER85" s="1185"/>
      <c r="SES85" s="1185"/>
      <c r="SET85" s="1185"/>
      <c r="SEU85" s="1185"/>
      <c r="SEV85" s="1185"/>
      <c r="SEW85" s="1185"/>
      <c r="SEX85" s="1185"/>
      <c r="SEY85" s="1185"/>
      <c r="SEZ85" s="1185"/>
      <c r="SFA85" s="1185"/>
      <c r="SFB85" s="1185"/>
      <c r="SFC85" s="1185"/>
      <c r="SFD85" s="1185"/>
      <c r="SFE85" s="1185"/>
      <c r="SFF85" s="1185"/>
      <c r="SFG85" s="1185"/>
      <c r="SFH85" s="1185"/>
      <c r="SFI85" s="1185"/>
      <c r="SFJ85" s="1185"/>
      <c r="SFK85" s="1185"/>
      <c r="SFL85" s="1185"/>
      <c r="SFM85" s="1185"/>
      <c r="SFN85" s="1185"/>
      <c r="SFO85" s="1185"/>
      <c r="SFP85" s="1185"/>
      <c r="SFQ85" s="1185"/>
      <c r="SFR85" s="1185"/>
      <c r="SFS85" s="1185"/>
      <c r="SFT85" s="1185"/>
      <c r="SFU85" s="1185"/>
      <c r="SFV85" s="1185"/>
      <c r="SFW85" s="1185"/>
      <c r="SFX85" s="1185"/>
      <c r="SFY85" s="1185"/>
      <c r="SFZ85" s="1185"/>
      <c r="SGA85" s="1185"/>
      <c r="SGB85" s="1185"/>
      <c r="SGC85" s="1185"/>
      <c r="SGD85" s="1185"/>
      <c r="SGE85" s="1185"/>
      <c r="SGF85" s="1185"/>
      <c r="SGG85" s="1185"/>
      <c r="SGH85" s="1185"/>
      <c r="SGI85" s="1185"/>
      <c r="SGJ85" s="1185"/>
      <c r="SGK85" s="1185"/>
      <c r="SGL85" s="1185"/>
      <c r="SGM85" s="1185"/>
      <c r="SGN85" s="1185"/>
      <c r="SGO85" s="1185"/>
      <c r="SGP85" s="1185"/>
      <c r="SGQ85" s="1185"/>
      <c r="SGR85" s="1185"/>
      <c r="SGS85" s="1185"/>
      <c r="SGT85" s="1185"/>
      <c r="SGU85" s="1185"/>
      <c r="SGV85" s="1185"/>
      <c r="SGW85" s="1185"/>
      <c r="SGX85" s="1185"/>
      <c r="SGY85" s="1185"/>
      <c r="SGZ85" s="1185"/>
      <c r="SHA85" s="1185"/>
      <c r="SHB85" s="1185"/>
      <c r="SHC85" s="1185"/>
      <c r="SHD85" s="1185"/>
      <c r="SHE85" s="1185"/>
      <c r="SHF85" s="1185"/>
      <c r="SHG85" s="1185"/>
      <c r="SHH85" s="1185"/>
      <c r="SHI85" s="1185"/>
      <c r="SHJ85" s="1185"/>
      <c r="SHK85" s="1185"/>
      <c r="SHL85" s="1185"/>
      <c r="SHM85" s="1185"/>
      <c r="SHN85" s="1185"/>
      <c r="SHO85" s="1185"/>
      <c r="SHP85" s="1185"/>
      <c r="SHQ85" s="1185"/>
      <c r="SHR85" s="1185"/>
      <c r="SHS85" s="1185"/>
      <c r="SHT85" s="1185"/>
      <c r="SHU85" s="1185"/>
      <c r="SHV85" s="1185"/>
      <c r="SHW85" s="1185"/>
      <c r="SHX85" s="1185"/>
      <c r="SHY85" s="1185"/>
      <c r="SHZ85" s="1185"/>
      <c r="SIA85" s="1185"/>
      <c r="SIB85" s="1185"/>
      <c r="SIC85" s="1185"/>
      <c r="SID85" s="1185"/>
      <c r="SIE85" s="1185"/>
      <c r="SIF85" s="1185"/>
      <c r="SIG85" s="1185"/>
      <c r="SIH85" s="1185"/>
      <c r="SII85" s="1185"/>
      <c r="SIJ85" s="1185"/>
      <c r="SIK85" s="1185"/>
      <c r="SIL85" s="1185"/>
      <c r="SIM85" s="1185"/>
      <c r="SIN85" s="1185"/>
      <c r="SIO85" s="1185"/>
      <c r="SIP85" s="1185"/>
      <c r="SIQ85" s="1185"/>
      <c r="SIR85" s="1185"/>
      <c r="SIS85" s="1185"/>
      <c r="SIT85" s="1185"/>
      <c r="SIU85" s="1185"/>
      <c r="SIV85" s="1185"/>
      <c r="SIW85" s="1185"/>
      <c r="SIX85" s="1185"/>
      <c r="SIY85" s="1185"/>
      <c r="SIZ85" s="1185"/>
      <c r="SJA85" s="1185"/>
      <c r="SJB85" s="1185"/>
      <c r="SJC85" s="1185"/>
      <c r="SJD85" s="1185"/>
      <c r="SJE85" s="1185"/>
      <c r="SJF85" s="1185"/>
      <c r="SJG85" s="1185"/>
      <c r="SJH85" s="1185"/>
      <c r="SJI85" s="1185"/>
      <c r="SJJ85" s="1185"/>
      <c r="SJK85" s="1185"/>
      <c r="SJL85" s="1185"/>
      <c r="SJM85" s="1185"/>
      <c r="SJN85" s="1185"/>
      <c r="SJO85" s="1185"/>
      <c r="SJP85" s="1185"/>
      <c r="SJQ85" s="1185"/>
      <c r="SJR85" s="1185"/>
      <c r="SJS85" s="1185"/>
      <c r="SJT85" s="1185"/>
      <c r="SJU85" s="1185"/>
      <c r="SJV85" s="1185"/>
      <c r="SJW85" s="1185"/>
      <c r="SJX85" s="1185"/>
      <c r="SJY85" s="1185"/>
      <c r="SJZ85" s="1185"/>
      <c r="SKA85" s="1185"/>
      <c r="SKB85" s="1185"/>
      <c r="SKC85" s="1185"/>
      <c r="SKD85" s="1185"/>
      <c r="SKE85" s="1185"/>
      <c r="SKF85" s="1185"/>
      <c r="SKG85" s="1185"/>
      <c r="SKH85" s="1185"/>
      <c r="SKI85" s="1185"/>
      <c r="SKJ85" s="1185"/>
      <c r="SKK85" s="1185"/>
      <c r="SKL85" s="1185"/>
      <c r="SKM85" s="1185"/>
      <c r="SKN85" s="1185"/>
      <c r="SKO85" s="1185"/>
      <c r="SKP85" s="1185"/>
      <c r="SKQ85" s="1185"/>
      <c r="SKR85" s="1185"/>
      <c r="SKS85" s="1185"/>
      <c r="SKT85" s="1185"/>
      <c r="SKU85" s="1185"/>
      <c r="SKV85" s="1185"/>
      <c r="SKW85" s="1185"/>
      <c r="SKX85" s="1185"/>
      <c r="SKY85" s="1185"/>
      <c r="SKZ85" s="1185"/>
      <c r="SLA85" s="1185"/>
      <c r="SLB85" s="1185"/>
      <c r="SLC85" s="1185"/>
      <c r="SLD85" s="1185"/>
      <c r="SLE85" s="1185"/>
      <c r="SLF85" s="1185"/>
      <c r="SLG85" s="1185"/>
      <c r="SLH85" s="1185"/>
      <c r="SLI85" s="1185"/>
      <c r="SLJ85" s="1185"/>
      <c r="SLK85" s="1185"/>
      <c r="SLL85" s="1185"/>
      <c r="SLM85" s="1185"/>
      <c r="SLN85" s="1185"/>
      <c r="SLO85" s="1185"/>
      <c r="SLP85" s="1185"/>
      <c r="SLQ85" s="1185"/>
      <c r="SLR85" s="1185"/>
      <c r="SLS85" s="1185"/>
      <c r="SLT85" s="1185"/>
      <c r="SLU85" s="1185"/>
      <c r="SLV85" s="1185"/>
      <c r="SLW85" s="1185"/>
      <c r="SLX85" s="1185"/>
      <c r="SLY85" s="1185"/>
      <c r="SLZ85" s="1185"/>
      <c r="SMA85" s="1185"/>
      <c r="SMB85" s="1185"/>
      <c r="SMC85" s="1185"/>
      <c r="SMD85" s="1185"/>
      <c r="SME85" s="1185"/>
      <c r="SMF85" s="1185"/>
      <c r="SMG85" s="1185"/>
      <c r="SMH85" s="1185"/>
      <c r="SMI85" s="1185"/>
      <c r="SMJ85" s="1185"/>
      <c r="SMK85" s="1185"/>
      <c r="SML85" s="1185"/>
      <c r="SMM85" s="1185"/>
      <c r="SMN85" s="1185"/>
      <c r="SMO85" s="1185"/>
      <c r="SMP85" s="1185"/>
      <c r="SMQ85" s="1185"/>
      <c r="SMR85" s="1185"/>
      <c r="SMS85" s="1185"/>
      <c r="SMT85" s="1185"/>
      <c r="SMU85" s="1185"/>
      <c r="SMV85" s="1185"/>
      <c r="SMW85" s="1185"/>
      <c r="SMX85" s="1185"/>
      <c r="SMY85" s="1185"/>
      <c r="SMZ85" s="1185"/>
      <c r="SNA85" s="1185"/>
      <c r="SNB85" s="1185"/>
      <c r="SNC85" s="1185"/>
      <c r="SND85" s="1185"/>
      <c r="SNE85" s="1185"/>
      <c r="SNF85" s="1185"/>
      <c r="SNG85" s="1185"/>
      <c r="SNH85" s="1185"/>
      <c r="SNI85" s="1185"/>
      <c r="SNJ85" s="1185"/>
      <c r="SNK85" s="1185"/>
      <c r="SNL85" s="1185"/>
      <c r="SNM85" s="1185"/>
      <c r="SNN85" s="1185"/>
      <c r="SNO85" s="1185"/>
      <c r="SNP85" s="1185"/>
      <c r="SNQ85" s="1185"/>
      <c r="SNR85" s="1185"/>
      <c r="SNS85" s="1185"/>
      <c r="SNT85" s="1185"/>
      <c r="SNU85" s="1185"/>
      <c r="SNV85" s="1185"/>
      <c r="SNW85" s="1185"/>
      <c r="SNX85" s="1185"/>
      <c r="SNY85" s="1185"/>
      <c r="SNZ85" s="1185"/>
      <c r="SOA85" s="1185"/>
      <c r="SOB85" s="1185"/>
      <c r="SOC85" s="1185"/>
      <c r="SOD85" s="1185"/>
      <c r="SOE85" s="1185"/>
      <c r="SOF85" s="1185"/>
      <c r="SOG85" s="1185"/>
      <c r="SOH85" s="1185"/>
      <c r="SOI85" s="1185"/>
      <c r="SOJ85" s="1185"/>
      <c r="SOK85" s="1185"/>
      <c r="SOL85" s="1185"/>
      <c r="SOM85" s="1185"/>
      <c r="SON85" s="1185"/>
      <c r="SOO85" s="1185"/>
      <c r="SOP85" s="1185"/>
      <c r="SOQ85" s="1185"/>
      <c r="SOR85" s="1185"/>
      <c r="SOS85" s="1185"/>
      <c r="SOT85" s="1185"/>
      <c r="SOU85" s="1185"/>
      <c r="SOV85" s="1185"/>
      <c r="SOW85" s="1185"/>
      <c r="SOX85" s="1185"/>
      <c r="SOY85" s="1185"/>
      <c r="SOZ85" s="1185"/>
      <c r="SPA85" s="1185"/>
      <c r="SPB85" s="1185"/>
      <c r="SPC85" s="1185"/>
      <c r="SPD85" s="1185"/>
      <c r="SPE85" s="1185"/>
      <c r="SPF85" s="1185"/>
      <c r="SPG85" s="1185"/>
      <c r="SPH85" s="1185"/>
      <c r="SPI85" s="1185"/>
      <c r="SPJ85" s="1185"/>
      <c r="SPK85" s="1185"/>
      <c r="SPL85" s="1185"/>
      <c r="SPM85" s="1185"/>
      <c r="SPN85" s="1185"/>
      <c r="SPO85" s="1185"/>
      <c r="SPP85" s="1185"/>
      <c r="SPQ85" s="1185"/>
      <c r="SPR85" s="1185"/>
      <c r="SPS85" s="1185"/>
      <c r="SPT85" s="1185"/>
      <c r="SPU85" s="1185"/>
      <c r="SPV85" s="1185"/>
      <c r="SPW85" s="1185"/>
      <c r="SPX85" s="1185"/>
      <c r="SPY85" s="1185"/>
      <c r="SPZ85" s="1185"/>
      <c r="SQA85" s="1185"/>
      <c r="SQB85" s="1185"/>
      <c r="SQC85" s="1185"/>
      <c r="SQD85" s="1185"/>
      <c r="SQE85" s="1185"/>
      <c r="SQF85" s="1185"/>
      <c r="SQG85" s="1185"/>
      <c r="SQH85" s="1185"/>
      <c r="SQI85" s="1185"/>
      <c r="SQJ85" s="1185"/>
      <c r="SQK85" s="1185"/>
      <c r="SQL85" s="1185"/>
      <c r="SQM85" s="1185"/>
      <c r="SQN85" s="1185"/>
      <c r="SQO85" s="1185"/>
      <c r="SQP85" s="1185"/>
      <c r="SQQ85" s="1185"/>
      <c r="SQR85" s="1185"/>
      <c r="SQS85" s="1185"/>
      <c r="SQT85" s="1185"/>
      <c r="SQU85" s="1185"/>
      <c r="SQV85" s="1185"/>
      <c r="SQW85" s="1185"/>
      <c r="SQX85" s="1185"/>
      <c r="SQY85" s="1185"/>
      <c r="SQZ85" s="1185"/>
      <c r="SRA85" s="1185"/>
      <c r="SRB85" s="1185"/>
      <c r="SRC85" s="1185"/>
      <c r="SRD85" s="1185"/>
      <c r="SRE85" s="1185"/>
      <c r="SRF85" s="1185"/>
      <c r="SRG85" s="1185"/>
      <c r="SRH85" s="1185"/>
      <c r="SRI85" s="1185"/>
      <c r="SRJ85" s="1185"/>
      <c r="SRK85" s="1185"/>
      <c r="SRL85" s="1185"/>
      <c r="SRM85" s="1185"/>
      <c r="SRN85" s="1185"/>
      <c r="SRO85" s="1185"/>
      <c r="SRP85" s="1185"/>
      <c r="SRQ85" s="1185"/>
      <c r="SRR85" s="1185"/>
      <c r="SRS85" s="1185"/>
      <c r="SRT85" s="1185"/>
      <c r="SRU85" s="1185"/>
      <c r="SRV85" s="1185"/>
      <c r="SRW85" s="1185"/>
      <c r="SRX85" s="1185"/>
      <c r="SRY85" s="1185"/>
      <c r="SRZ85" s="1185"/>
      <c r="SSA85" s="1185"/>
      <c r="SSB85" s="1185"/>
      <c r="SSC85" s="1185"/>
      <c r="SSD85" s="1185"/>
      <c r="SSE85" s="1185"/>
      <c r="SSF85" s="1185"/>
      <c r="SSG85" s="1185"/>
      <c r="SSH85" s="1185"/>
      <c r="SSI85" s="1185"/>
      <c r="SSJ85" s="1185"/>
      <c r="SSK85" s="1185"/>
      <c r="SSL85" s="1185"/>
      <c r="SSM85" s="1185"/>
      <c r="SSN85" s="1185"/>
      <c r="SSO85" s="1185"/>
      <c r="SSP85" s="1185"/>
      <c r="SSQ85" s="1185"/>
      <c r="SSR85" s="1185"/>
      <c r="SSS85" s="1185"/>
      <c r="SST85" s="1185"/>
      <c r="SSU85" s="1185"/>
      <c r="SSV85" s="1185"/>
      <c r="SSW85" s="1185"/>
      <c r="SSX85" s="1185"/>
      <c r="SSY85" s="1185"/>
      <c r="SSZ85" s="1185"/>
      <c r="STA85" s="1185"/>
      <c r="STB85" s="1185"/>
      <c r="STC85" s="1185"/>
      <c r="STD85" s="1185"/>
      <c r="STE85" s="1185"/>
      <c r="STF85" s="1185"/>
      <c r="STG85" s="1185"/>
      <c r="STH85" s="1185"/>
      <c r="STI85" s="1185"/>
      <c r="STJ85" s="1185"/>
      <c r="STK85" s="1185"/>
      <c r="STL85" s="1185"/>
      <c r="STM85" s="1185"/>
      <c r="STN85" s="1185"/>
      <c r="STO85" s="1185"/>
      <c r="STP85" s="1185"/>
      <c r="STQ85" s="1185"/>
      <c r="STR85" s="1185"/>
      <c r="STS85" s="1185"/>
      <c r="STT85" s="1185"/>
      <c r="STU85" s="1185"/>
      <c r="STV85" s="1185"/>
      <c r="STW85" s="1185"/>
      <c r="STX85" s="1185"/>
      <c r="STY85" s="1185"/>
      <c r="STZ85" s="1185"/>
      <c r="SUA85" s="1185"/>
      <c r="SUB85" s="1185"/>
      <c r="SUC85" s="1185"/>
      <c r="SUD85" s="1185"/>
      <c r="SUE85" s="1185"/>
      <c r="SUF85" s="1185"/>
      <c r="SUG85" s="1185"/>
      <c r="SUH85" s="1185"/>
      <c r="SUI85" s="1185"/>
      <c r="SUJ85" s="1185"/>
      <c r="SUK85" s="1185"/>
      <c r="SUL85" s="1185"/>
      <c r="SUM85" s="1185"/>
      <c r="SUN85" s="1185"/>
      <c r="SUO85" s="1185"/>
      <c r="SUP85" s="1185"/>
      <c r="SUQ85" s="1185"/>
      <c r="SUR85" s="1185"/>
      <c r="SUS85" s="1185"/>
      <c r="SUT85" s="1185"/>
      <c r="SUU85" s="1185"/>
      <c r="SUV85" s="1185"/>
      <c r="SUW85" s="1185"/>
      <c r="SUX85" s="1185"/>
      <c r="SUY85" s="1185"/>
      <c r="SUZ85" s="1185"/>
      <c r="SVA85" s="1185"/>
      <c r="SVB85" s="1185"/>
      <c r="SVC85" s="1185"/>
      <c r="SVD85" s="1185"/>
      <c r="SVE85" s="1185"/>
      <c r="SVF85" s="1185"/>
      <c r="SVG85" s="1185"/>
      <c r="SVH85" s="1185"/>
      <c r="SVI85" s="1185"/>
      <c r="SVJ85" s="1185"/>
      <c r="SVK85" s="1185"/>
      <c r="SVL85" s="1185"/>
      <c r="SVM85" s="1185"/>
      <c r="SVN85" s="1185"/>
      <c r="SVO85" s="1185"/>
      <c r="SVP85" s="1185"/>
      <c r="SVQ85" s="1185"/>
      <c r="SVR85" s="1185"/>
      <c r="SVS85" s="1185"/>
      <c r="SVT85" s="1185"/>
      <c r="SVU85" s="1185"/>
      <c r="SVV85" s="1185"/>
      <c r="SVW85" s="1185"/>
      <c r="SVX85" s="1185"/>
      <c r="SVY85" s="1185"/>
      <c r="SVZ85" s="1185"/>
      <c r="SWA85" s="1185"/>
      <c r="SWB85" s="1185"/>
      <c r="SWC85" s="1185"/>
      <c r="SWD85" s="1185"/>
      <c r="SWE85" s="1185"/>
      <c r="SWF85" s="1185"/>
      <c r="SWG85" s="1185"/>
      <c r="SWH85" s="1185"/>
      <c r="SWI85" s="1185"/>
      <c r="SWJ85" s="1185"/>
      <c r="SWK85" s="1185"/>
      <c r="SWL85" s="1185"/>
      <c r="SWM85" s="1185"/>
      <c r="SWN85" s="1185"/>
      <c r="SWO85" s="1185"/>
      <c r="SWP85" s="1185"/>
      <c r="SWQ85" s="1185"/>
      <c r="SWR85" s="1185"/>
      <c r="SWS85" s="1185"/>
      <c r="SWT85" s="1185"/>
      <c r="SWU85" s="1185"/>
      <c r="SWV85" s="1185"/>
      <c r="SWW85" s="1185"/>
      <c r="SWX85" s="1185"/>
      <c r="SWY85" s="1185"/>
      <c r="SWZ85" s="1185"/>
      <c r="SXA85" s="1185"/>
      <c r="SXB85" s="1185"/>
      <c r="SXC85" s="1185"/>
      <c r="SXD85" s="1185"/>
      <c r="SXE85" s="1185"/>
      <c r="SXF85" s="1185"/>
      <c r="SXG85" s="1185"/>
      <c r="SXH85" s="1185"/>
      <c r="SXI85" s="1185"/>
      <c r="SXJ85" s="1185"/>
      <c r="SXK85" s="1185"/>
      <c r="SXL85" s="1185"/>
      <c r="SXM85" s="1185"/>
      <c r="SXN85" s="1185"/>
      <c r="SXO85" s="1185"/>
      <c r="SXP85" s="1185"/>
      <c r="SXQ85" s="1185"/>
      <c r="SXR85" s="1185"/>
      <c r="SXS85" s="1185"/>
      <c r="SXT85" s="1185"/>
      <c r="SXU85" s="1185"/>
      <c r="SXV85" s="1185"/>
      <c r="SXW85" s="1185"/>
      <c r="SXX85" s="1185"/>
      <c r="SXY85" s="1185"/>
      <c r="SXZ85" s="1185"/>
      <c r="SYA85" s="1185"/>
      <c r="SYB85" s="1185"/>
      <c r="SYC85" s="1185"/>
      <c r="SYD85" s="1185"/>
      <c r="SYE85" s="1185"/>
      <c r="SYF85" s="1185"/>
      <c r="SYG85" s="1185"/>
      <c r="SYH85" s="1185"/>
      <c r="SYI85" s="1185"/>
      <c r="SYJ85" s="1185"/>
      <c r="SYK85" s="1185"/>
      <c r="SYL85" s="1185"/>
      <c r="SYM85" s="1185"/>
      <c r="SYN85" s="1185"/>
      <c r="SYO85" s="1185"/>
      <c r="SYP85" s="1185"/>
      <c r="SYQ85" s="1185"/>
      <c r="SYR85" s="1185"/>
      <c r="SYS85" s="1185"/>
      <c r="SYT85" s="1185"/>
      <c r="SYU85" s="1185"/>
      <c r="SYV85" s="1185"/>
      <c r="SYW85" s="1185"/>
      <c r="SYX85" s="1185"/>
      <c r="SYY85" s="1185"/>
      <c r="SYZ85" s="1185"/>
      <c r="SZA85" s="1185"/>
      <c r="SZB85" s="1185"/>
      <c r="SZC85" s="1185"/>
      <c r="SZD85" s="1185"/>
      <c r="SZE85" s="1185"/>
      <c r="SZF85" s="1185"/>
      <c r="SZG85" s="1185"/>
      <c r="SZH85" s="1185"/>
      <c r="SZI85" s="1185"/>
      <c r="SZJ85" s="1185"/>
      <c r="SZK85" s="1185"/>
      <c r="SZL85" s="1185"/>
      <c r="SZM85" s="1185"/>
      <c r="SZN85" s="1185"/>
      <c r="SZO85" s="1185"/>
      <c r="SZP85" s="1185"/>
      <c r="SZQ85" s="1185"/>
      <c r="SZR85" s="1185"/>
      <c r="SZS85" s="1185"/>
      <c r="SZT85" s="1185"/>
      <c r="SZU85" s="1185"/>
      <c r="SZV85" s="1185"/>
      <c r="SZW85" s="1185"/>
      <c r="SZX85" s="1185"/>
      <c r="SZY85" s="1185"/>
      <c r="SZZ85" s="1185"/>
      <c r="TAA85" s="1185"/>
      <c r="TAB85" s="1185"/>
      <c r="TAC85" s="1185"/>
      <c r="TAD85" s="1185"/>
      <c r="TAE85" s="1185"/>
      <c r="TAF85" s="1185"/>
      <c r="TAG85" s="1185"/>
      <c r="TAH85" s="1185"/>
      <c r="TAI85" s="1185"/>
      <c r="TAJ85" s="1185"/>
      <c r="TAK85" s="1185"/>
      <c r="TAL85" s="1185"/>
      <c r="TAM85" s="1185"/>
      <c r="TAN85" s="1185"/>
      <c r="TAO85" s="1185"/>
      <c r="TAP85" s="1185"/>
      <c r="TAQ85" s="1185"/>
      <c r="TAR85" s="1185"/>
      <c r="TAS85" s="1185"/>
      <c r="TAT85" s="1185"/>
      <c r="TAU85" s="1185"/>
      <c r="TAV85" s="1185"/>
      <c r="TAW85" s="1185"/>
      <c r="TAX85" s="1185"/>
      <c r="TAY85" s="1185"/>
      <c r="TAZ85" s="1185"/>
      <c r="TBA85" s="1185"/>
      <c r="TBB85" s="1185"/>
      <c r="TBC85" s="1185"/>
      <c r="TBD85" s="1185"/>
      <c r="TBE85" s="1185"/>
      <c r="TBF85" s="1185"/>
      <c r="TBG85" s="1185"/>
      <c r="TBH85" s="1185"/>
      <c r="TBI85" s="1185"/>
      <c r="TBJ85" s="1185"/>
      <c r="TBK85" s="1185"/>
      <c r="TBL85" s="1185"/>
      <c r="TBM85" s="1185"/>
      <c r="TBN85" s="1185"/>
      <c r="TBO85" s="1185"/>
      <c r="TBP85" s="1185"/>
      <c r="TBQ85" s="1185"/>
      <c r="TBR85" s="1185"/>
      <c r="TBS85" s="1185"/>
      <c r="TBT85" s="1185"/>
      <c r="TBU85" s="1185"/>
      <c r="TBV85" s="1185"/>
      <c r="TBW85" s="1185"/>
      <c r="TBX85" s="1185"/>
      <c r="TBY85" s="1185"/>
      <c r="TBZ85" s="1185"/>
      <c r="TCA85" s="1185"/>
      <c r="TCB85" s="1185"/>
      <c r="TCC85" s="1185"/>
      <c r="TCD85" s="1185"/>
      <c r="TCE85" s="1185"/>
      <c r="TCF85" s="1185"/>
      <c r="TCG85" s="1185"/>
      <c r="TCH85" s="1185"/>
      <c r="TCI85" s="1185"/>
      <c r="TCJ85" s="1185"/>
      <c r="TCK85" s="1185"/>
      <c r="TCL85" s="1185"/>
      <c r="TCM85" s="1185"/>
      <c r="TCN85" s="1185"/>
      <c r="TCO85" s="1185"/>
      <c r="TCP85" s="1185"/>
      <c r="TCQ85" s="1185"/>
      <c r="TCR85" s="1185"/>
      <c r="TCS85" s="1185"/>
      <c r="TCT85" s="1185"/>
      <c r="TCU85" s="1185"/>
      <c r="TCV85" s="1185"/>
      <c r="TCW85" s="1185"/>
      <c r="TCX85" s="1185"/>
      <c r="TCY85" s="1185"/>
      <c r="TCZ85" s="1185"/>
      <c r="TDA85" s="1185"/>
      <c r="TDB85" s="1185"/>
      <c r="TDC85" s="1185"/>
      <c r="TDD85" s="1185"/>
      <c r="TDE85" s="1185"/>
      <c r="TDF85" s="1185"/>
      <c r="TDG85" s="1185"/>
      <c r="TDH85" s="1185"/>
      <c r="TDI85" s="1185"/>
      <c r="TDJ85" s="1185"/>
      <c r="TDK85" s="1185"/>
      <c r="TDL85" s="1185"/>
      <c r="TDM85" s="1185"/>
      <c r="TDN85" s="1185"/>
      <c r="TDO85" s="1185"/>
      <c r="TDP85" s="1185"/>
      <c r="TDQ85" s="1185"/>
      <c r="TDR85" s="1185"/>
      <c r="TDS85" s="1185"/>
      <c r="TDT85" s="1185"/>
      <c r="TDU85" s="1185"/>
      <c r="TDV85" s="1185"/>
      <c r="TDW85" s="1185"/>
      <c r="TDX85" s="1185"/>
      <c r="TDY85" s="1185"/>
      <c r="TDZ85" s="1185"/>
      <c r="TEA85" s="1185"/>
      <c r="TEB85" s="1185"/>
      <c r="TEC85" s="1185"/>
      <c r="TED85" s="1185"/>
      <c r="TEE85" s="1185"/>
      <c r="TEF85" s="1185"/>
      <c r="TEG85" s="1185"/>
      <c r="TEH85" s="1185"/>
      <c r="TEI85" s="1185"/>
      <c r="TEJ85" s="1185"/>
      <c r="TEK85" s="1185"/>
      <c r="TEL85" s="1185"/>
      <c r="TEM85" s="1185"/>
      <c r="TEN85" s="1185"/>
      <c r="TEO85" s="1185"/>
      <c r="TEP85" s="1185"/>
      <c r="TEQ85" s="1185"/>
      <c r="TER85" s="1185"/>
      <c r="TES85" s="1185"/>
      <c r="TET85" s="1185"/>
      <c r="TEU85" s="1185"/>
      <c r="TEV85" s="1185"/>
      <c r="TEW85" s="1185"/>
      <c r="TEX85" s="1185"/>
      <c r="TEY85" s="1185"/>
      <c r="TEZ85" s="1185"/>
      <c r="TFA85" s="1185"/>
      <c r="TFB85" s="1185"/>
      <c r="TFC85" s="1185"/>
      <c r="TFD85" s="1185"/>
      <c r="TFE85" s="1185"/>
      <c r="TFF85" s="1185"/>
      <c r="TFG85" s="1185"/>
      <c r="TFH85" s="1185"/>
      <c r="TFI85" s="1185"/>
      <c r="TFJ85" s="1185"/>
      <c r="TFK85" s="1185"/>
      <c r="TFL85" s="1185"/>
      <c r="TFM85" s="1185"/>
      <c r="TFN85" s="1185"/>
      <c r="TFO85" s="1185"/>
      <c r="TFP85" s="1185"/>
      <c r="TFQ85" s="1185"/>
      <c r="TFR85" s="1185"/>
      <c r="TFS85" s="1185"/>
      <c r="TFT85" s="1185"/>
      <c r="TFU85" s="1185"/>
      <c r="TFV85" s="1185"/>
      <c r="TFW85" s="1185"/>
      <c r="TFX85" s="1185"/>
      <c r="TFY85" s="1185"/>
      <c r="TFZ85" s="1185"/>
      <c r="TGA85" s="1185"/>
      <c r="TGB85" s="1185"/>
      <c r="TGC85" s="1185"/>
      <c r="TGD85" s="1185"/>
      <c r="TGE85" s="1185"/>
      <c r="TGF85" s="1185"/>
      <c r="TGG85" s="1185"/>
      <c r="TGH85" s="1185"/>
      <c r="TGI85" s="1185"/>
      <c r="TGJ85" s="1185"/>
      <c r="TGK85" s="1185"/>
      <c r="TGL85" s="1185"/>
      <c r="TGM85" s="1185"/>
      <c r="TGN85" s="1185"/>
      <c r="TGO85" s="1185"/>
      <c r="TGP85" s="1185"/>
      <c r="TGQ85" s="1185"/>
      <c r="TGR85" s="1185"/>
      <c r="TGS85" s="1185"/>
      <c r="TGT85" s="1185"/>
      <c r="TGU85" s="1185"/>
      <c r="TGV85" s="1185"/>
      <c r="TGW85" s="1185"/>
      <c r="TGX85" s="1185"/>
      <c r="TGY85" s="1185"/>
      <c r="TGZ85" s="1185"/>
      <c r="THA85" s="1185"/>
      <c r="THB85" s="1185"/>
      <c r="THC85" s="1185"/>
      <c r="THD85" s="1185"/>
      <c r="THE85" s="1185"/>
      <c r="THF85" s="1185"/>
      <c r="THG85" s="1185"/>
      <c r="THH85" s="1185"/>
      <c r="THI85" s="1185"/>
      <c r="THJ85" s="1185"/>
      <c r="THK85" s="1185"/>
      <c r="THL85" s="1185"/>
      <c r="THM85" s="1185"/>
      <c r="THN85" s="1185"/>
      <c r="THO85" s="1185"/>
      <c r="THP85" s="1185"/>
      <c r="THQ85" s="1185"/>
      <c r="THR85" s="1185"/>
      <c r="THS85" s="1185"/>
      <c r="THT85" s="1185"/>
      <c r="THU85" s="1185"/>
      <c r="THV85" s="1185"/>
      <c r="THW85" s="1185"/>
      <c r="THX85" s="1185"/>
      <c r="THY85" s="1185"/>
      <c r="THZ85" s="1185"/>
      <c r="TIA85" s="1185"/>
      <c r="TIB85" s="1185"/>
      <c r="TIC85" s="1185"/>
      <c r="TID85" s="1185"/>
      <c r="TIE85" s="1185"/>
      <c r="TIF85" s="1185"/>
      <c r="TIG85" s="1185"/>
      <c r="TIH85" s="1185"/>
      <c r="TII85" s="1185"/>
      <c r="TIJ85" s="1185"/>
      <c r="TIK85" s="1185"/>
      <c r="TIL85" s="1185"/>
      <c r="TIM85" s="1185"/>
      <c r="TIN85" s="1185"/>
      <c r="TIO85" s="1185"/>
      <c r="TIP85" s="1185"/>
      <c r="TIQ85" s="1185"/>
      <c r="TIR85" s="1185"/>
      <c r="TIS85" s="1185"/>
      <c r="TIT85" s="1185"/>
      <c r="TIU85" s="1185"/>
      <c r="TIV85" s="1185"/>
      <c r="TIW85" s="1185"/>
      <c r="TIX85" s="1185"/>
      <c r="TIY85" s="1185"/>
      <c r="TIZ85" s="1185"/>
      <c r="TJA85" s="1185"/>
      <c r="TJB85" s="1185"/>
      <c r="TJC85" s="1185"/>
      <c r="TJD85" s="1185"/>
      <c r="TJE85" s="1185"/>
      <c r="TJF85" s="1185"/>
      <c r="TJG85" s="1185"/>
      <c r="TJH85" s="1185"/>
      <c r="TJI85" s="1185"/>
      <c r="TJJ85" s="1185"/>
      <c r="TJK85" s="1185"/>
      <c r="TJL85" s="1185"/>
      <c r="TJM85" s="1185"/>
      <c r="TJN85" s="1185"/>
      <c r="TJO85" s="1185"/>
      <c r="TJP85" s="1185"/>
      <c r="TJQ85" s="1185"/>
      <c r="TJR85" s="1185"/>
      <c r="TJS85" s="1185"/>
      <c r="TJT85" s="1185"/>
      <c r="TJU85" s="1185"/>
      <c r="TJV85" s="1185"/>
      <c r="TJW85" s="1185"/>
      <c r="TJX85" s="1185"/>
      <c r="TJY85" s="1185"/>
      <c r="TJZ85" s="1185"/>
      <c r="TKA85" s="1185"/>
      <c r="TKB85" s="1185"/>
      <c r="TKC85" s="1185"/>
      <c r="TKD85" s="1185"/>
      <c r="TKE85" s="1185"/>
      <c r="TKF85" s="1185"/>
      <c r="TKG85" s="1185"/>
      <c r="TKH85" s="1185"/>
      <c r="TKI85" s="1185"/>
      <c r="TKJ85" s="1185"/>
      <c r="TKK85" s="1185"/>
      <c r="TKL85" s="1185"/>
      <c r="TKM85" s="1185"/>
      <c r="TKN85" s="1185"/>
      <c r="TKO85" s="1185"/>
      <c r="TKP85" s="1185"/>
      <c r="TKQ85" s="1185"/>
      <c r="TKR85" s="1185"/>
      <c r="TKS85" s="1185"/>
      <c r="TKT85" s="1185"/>
      <c r="TKU85" s="1185"/>
      <c r="TKV85" s="1185"/>
      <c r="TKW85" s="1185"/>
      <c r="TKX85" s="1185"/>
      <c r="TKY85" s="1185"/>
      <c r="TKZ85" s="1185"/>
      <c r="TLA85" s="1185"/>
      <c r="TLB85" s="1185"/>
      <c r="TLC85" s="1185"/>
      <c r="TLD85" s="1185"/>
      <c r="TLE85" s="1185"/>
      <c r="TLF85" s="1185"/>
      <c r="TLG85" s="1185"/>
      <c r="TLH85" s="1185"/>
      <c r="TLI85" s="1185"/>
      <c r="TLJ85" s="1185"/>
      <c r="TLK85" s="1185"/>
      <c r="TLL85" s="1185"/>
      <c r="TLM85" s="1185"/>
      <c r="TLN85" s="1185"/>
      <c r="TLO85" s="1185"/>
      <c r="TLP85" s="1185"/>
      <c r="TLQ85" s="1185"/>
      <c r="TLR85" s="1185"/>
      <c r="TLS85" s="1185"/>
      <c r="TLT85" s="1185"/>
      <c r="TLU85" s="1185"/>
      <c r="TLV85" s="1185"/>
      <c r="TLW85" s="1185"/>
      <c r="TLX85" s="1185"/>
      <c r="TLY85" s="1185"/>
      <c r="TLZ85" s="1185"/>
      <c r="TMA85" s="1185"/>
      <c r="TMB85" s="1185"/>
      <c r="TMC85" s="1185"/>
      <c r="TMD85" s="1185"/>
      <c r="TME85" s="1185"/>
      <c r="TMF85" s="1185"/>
      <c r="TMG85" s="1185"/>
      <c r="TMH85" s="1185"/>
      <c r="TMI85" s="1185"/>
      <c r="TMJ85" s="1185"/>
      <c r="TMK85" s="1185"/>
      <c r="TML85" s="1185"/>
      <c r="TMM85" s="1185"/>
      <c r="TMN85" s="1185"/>
      <c r="TMO85" s="1185"/>
      <c r="TMP85" s="1185"/>
      <c r="TMQ85" s="1185"/>
      <c r="TMR85" s="1185"/>
      <c r="TMS85" s="1185"/>
      <c r="TMT85" s="1185"/>
      <c r="TMU85" s="1185"/>
      <c r="TMV85" s="1185"/>
      <c r="TMW85" s="1185"/>
      <c r="TMX85" s="1185"/>
      <c r="TMY85" s="1185"/>
      <c r="TMZ85" s="1185"/>
      <c r="TNA85" s="1185"/>
      <c r="TNB85" s="1185"/>
      <c r="TNC85" s="1185"/>
      <c r="TND85" s="1185"/>
      <c r="TNE85" s="1185"/>
      <c r="TNF85" s="1185"/>
      <c r="TNG85" s="1185"/>
      <c r="TNH85" s="1185"/>
      <c r="TNI85" s="1185"/>
      <c r="TNJ85" s="1185"/>
      <c r="TNK85" s="1185"/>
      <c r="TNL85" s="1185"/>
      <c r="TNM85" s="1185"/>
      <c r="TNN85" s="1185"/>
      <c r="TNO85" s="1185"/>
      <c r="TNP85" s="1185"/>
      <c r="TNQ85" s="1185"/>
      <c r="TNR85" s="1185"/>
      <c r="TNS85" s="1185"/>
      <c r="TNT85" s="1185"/>
      <c r="TNU85" s="1185"/>
      <c r="TNV85" s="1185"/>
      <c r="TNW85" s="1185"/>
      <c r="TNX85" s="1185"/>
      <c r="TNY85" s="1185"/>
      <c r="TNZ85" s="1185"/>
      <c r="TOA85" s="1185"/>
      <c r="TOB85" s="1185"/>
      <c r="TOC85" s="1185"/>
      <c r="TOD85" s="1185"/>
      <c r="TOE85" s="1185"/>
      <c r="TOF85" s="1185"/>
      <c r="TOG85" s="1185"/>
      <c r="TOH85" s="1185"/>
      <c r="TOI85" s="1185"/>
      <c r="TOJ85" s="1185"/>
      <c r="TOK85" s="1185"/>
      <c r="TOL85" s="1185"/>
      <c r="TOM85" s="1185"/>
      <c r="TON85" s="1185"/>
      <c r="TOO85" s="1185"/>
      <c r="TOP85" s="1185"/>
      <c r="TOQ85" s="1185"/>
      <c r="TOR85" s="1185"/>
      <c r="TOS85" s="1185"/>
      <c r="TOT85" s="1185"/>
      <c r="TOU85" s="1185"/>
      <c r="TOV85" s="1185"/>
      <c r="TOW85" s="1185"/>
      <c r="TOX85" s="1185"/>
      <c r="TOY85" s="1185"/>
      <c r="TOZ85" s="1185"/>
      <c r="TPA85" s="1185"/>
      <c r="TPB85" s="1185"/>
      <c r="TPC85" s="1185"/>
      <c r="TPD85" s="1185"/>
      <c r="TPE85" s="1185"/>
      <c r="TPF85" s="1185"/>
      <c r="TPG85" s="1185"/>
      <c r="TPH85" s="1185"/>
      <c r="TPI85" s="1185"/>
      <c r="TPJ85" s="1185"/>
      <c r="TPK85" s="1185"/>
      <c r="TPL85" s="1185"/>
      <c r="TPM85" s="1185"/>
      <c r="TPN85" s="1185"/>
      <c r="TPO85" s="1185"/>
      <c r="TPP85" s="1185"/>
      <c r="TPQ85" s="1185"/>
      <c r="TPR85" s="1185"/>
      <c r="TPS85" s="1185"/>
      <c r="TPT85" s="1185"/>
      <c r="TPU85" s="1185"/>
      <c r="TPV85" s="1185"/>
      <c r="TPW85" s="1185"/>
      <c r="TPX85" s="1185"/>
      <c r="TPY85" s="1185"/>
      <c r="TPZ85" s="1185"/>
      <c r="TQA85" s="1185"/>
      <c r="TQB85" s="1185"/>
      <c r="TQC85" s="1185"/>
      <c r="TQD85" s="1185"/>
      <c r="TQE85" s="1185"/>
      <c r="TQF85" s="1185"/>
      <c r="TQG85" s="1185"/>
      <c r="TQH85" s="1185"/>
      <c r="TQI85" s="1185"/>
      <c r="TQJ85" s="1185"/>
      <c r="TQK85" s="1185"/>
      <c r="TQL85" s="1185"/>
      <c r="TQM85" s="1185"/>
      <c r="TQN85" s="1185"/>
      <c r="TQO85" s="1185"/>
      <c r="TQP85" s="1185"/>
      <c r="TQQ85" s="1185"/>
      <c r="TQR85" s="1185"/>
      <c r="TQS85" s="1185"/>
      <c r="TQT85" s="1185"/>
      <c r="TQU85" s="1185"/>
      <c r="TQV85" s="1185"/>
      <c r="TQW85" s="1185"/>
      <c r="TQX85" s="1185"/>
      <c r="TQY85" s="1185"/>
      <c r="TQZ85" s="1185"/>
      <c r="TRA85" s="1185"/>
      <c r="TRB85" s="1185"/>
      <c r="TRC85" s="1185"/>
      <c r="TRD85" s="1185"/>
      <c r="TRE85" s="1185"/>
      <c r="TRF85" s="1185"/>
      <c r="TRG85" s="1185"/>
      <c r="TRH85" s="1185"/>
      <c r="TRI85" s="1185"/>
      <c r="TRJ85" s="1185"/>
      <c r="TRK85" s="1185"/>
      <c r="TRL85" s="1185"/>
      <c r="TRM85" s="1185"/>
      <c r="TRN85" s="1185"/>
      <c r="TRO85" s="1185"/>
      <c r="TRP85" s="1185"/>
      <c r="TRQ85" s="1185"/>
      <c r="TRR85" s="1185"/>
      <c r="TRS85" s="1185"/>
      <c r="TRT85" s="1185"/>
      <c r="TRU85" s="1185"/>
      <c r="TRV85" s="1185"/>
      <c r="TRW85" s="1185"/>
      <c r="TRX85" s="1185"/>
      <c r="TRY85" s="1185"/>
      <c r="TRZ85" s="1185"/>
      <c r="TSA85" s="1185"/>
      <c r="TSB85" s="1185"/>
      <c r="TSC85" s="1185"/>
      <c r="TSD85" s="1185"/>
      <c r="TSE85" s="1185"/>
      <c r="TSF85" s="1185"/>
      <c r="TSG85" s="1185"/>
      <c r="TSH85" s="1185"/>
      <c r="TSI85" s="1185"/>
      <c r="TSJ85" s="1185"/>
      <c r="TSK85" s="1185"/>
      <c r="TSL85" s="1185"/>
      <c r="TSM85" s="1185"/>
      <c r="TSN85" s="1185"/>
      <c r="TSO85" s="1185"/>
      <c r="TSP85" s="1185"/>
      <c r="TSQ85" s="1185"/>
      <c r="TSR85" s="1185"/>
      <c r="TSS85" s="1185"/>
      <c r="TST85" s="1185"/>
      <c r="TSU85" s="1185"/>
      <c r="TSV85" s="1185"/>
      <c r="TSW85" s="1185"/>
      <c r="TSX85" s="1185"/>
      <c r="TSY85" s="1185"/>
      <c r="TSZ85" s="1185"/>
      <c r="TTA85" s="1185"/>
      <c r="TTB85" s="1185"/>
      <c r="TTC85" s="1185"/>
      <c r="TTD85" s="1185"/>
      <c r="TTE85" s="1185"/>
      <c r="TTF85" s="1185"/>
      <c r="TTG85" s="1185"/>
      <c r="TTH85" s="1185"/>
      <c r="TTI85" s="1185"/>
      <c r="TTJ85" s="1185"/>
      <c r="TTK85" s="1185"/>
      <c r="TTL85" s="1185"/>
      <c r="TTM85" s="1185"/>
      <c r="TTN85" s="1185"/>
      <c r="TTO85" s="1185"/>
      <c r="TTP85" s="1185"/>
      <c r="TTQ85" s="1185"/>
      <c r="TTR85" s="1185"/>
      <c r="TTS85" s="1185"/>
      <c r="TTT85" s="1185"/>
      <c r="TTU85" s="1185"/>
      <c r="TTV85" s="1185"/>
      <c r="TTW85" s="1185"/>
      <c r="TTX85" s="1185"/>
      <c r="TTY85" s="1185"/>
      <c r="TTZ85" s="1185"/>
      <c r="TUA85" s="1185"/>
      <c r="TUB85" s="1185"/>
      <c r="TUC85" s="1185"/>
      <c r="TUD85" s="1185"/>
      <c r="TUE85" s="1185"/>
      <c r="TUF85" s="1185"/>
      <c r="TUG85" s="1185"/>
      <c r="TUH85" s="1185"/>
      <c r="TUI85" s="1185"/>
      <c r="TUJ85" s="1185"/>
      <c r="TUK85" s="1185"/>
      <c r="TUL85" s="1185"/>
      <c r="TUM85" s="1185"/>
      <c r="TUN85" s="1185"/>
      <c r="TUO85" s="1185"/>
      <c r="TUP85" s="1185"/>
      <c r="TUQ85" s="1185"/>
      <c r="TUR85" s="1185"/>
      <c r="TUS85" s="1185"/>
      <c r="TUT85" s="1185"/>
      <c r="TUU85" s="1185"/>
      <c r="TUV85" s="1185"/>
      <c r="TUW85" s="1185"/>
      <c r="TUX85" s="1185"/>
      <c r="TUY85" s="1185"/>
      <c r="TUZ85" s="1185"/>
      <c r="TVA85" s="1185"/>
      <c r="TVB85" s="1185"/>
      <c r="TVC85" s="1185"/>
      <c r="TVD85" s="1185"/>
      <c r="TVE85" s="1185"/>
      <c r="TVF85" s="1185"/>
      <c r="TVG85" s="1185"/>
      <c r="TVH85" s="1185"/>
      <c r="TVI85" s="1185"/>
      <c r="TVJ85" s="1185"/>
      <c r="TVK85" s="1185"/>
      <c r="TVL85" s="1185"/>
      <c r="TVM85" s="1185"/>
      <c r="TVN85" s="1185"/>
      <c r="TVO85" s="1185"/>
      <c r="TVP85" s="1185"/>
      <c r="TVQ85" s="1185"/>
      <c r="TVR85" s="1185"/>
      <c r="TVS85" s="1185"/>
      <c r="TVT85" s="1185"/>
      <c r="TVU85" s="1185"/>
      <c r="TVV85" s="1185"/>
      <c r="TVW85" s="1185"/>
      <c r="TVX85" s="1185"/>
      <c r="TVY85" s="1185"/>
      <c r="TVZ85" s="1185"/>
      <c r="TWA85" s="1185"/>
      <c r="TWB85" s="1185"/>
      <c r="TWC85" s="1185"/>
      <c r="TWD85" s="1185"/>
      <c r="TWE85" s="1185"/>
      <c r="TWF85" s="1185"/>
      <c r="TWG85" s="1185"/>
      <c r="TWH85" s="1185"/>
      <c r="TWI85" s="1185"/>
      <c r="TWJ85" s="1185"/>
      <c r="TWK85" s="1185"/>
      <c r="TWL85" s="1185"/>
      <c r="TWM85" s="1185"/>
      <c r="TWN85" s="1185"/>
      <c r="TWO85" s="1185"/>
      <c r="TWP85" s="1185"/>
      <c r="TWQ85" s="1185"/>
      <c r="TWR85" s="1185"/>
      <c r="TWS85" s="1185"/>
      <c r="TWT85" s="1185"/>
      <c r="TWU85" s="1185"/>
      <c r="TWV85" s="1185"/>
      <c r="TWW85" s="1185"/>
      <c r="TWX85" s="1185"/>
      <c r="TWY85" s="1185"/>
      <c r="TWZ85" s="1185"/>
      <c r="TXA85" s="1185"/>
      <c r="TXB85" s="1185"/>
      <c r="TXC85" s="1185"/>
      <c r="TXD85" s="1185"/>
      <c r="TXE85" s="1185"/>
      <c r="TXF85" s="1185"/>
      <c r="TXG85" s="1185"/>
      <c r="TXH85" s="1185"/>
      <c r="TXI85" s="1185"/>
      <c r="TXJ85" s="1185"/>
      <c r="TXK85" s="1185"/>
      <c r="TXL85" s="1185"/>
      <c r="TXM85" s="1185"/>
      <c r="TXN85" s="1185"/>
      <c r="TXO85" s="1185"/>
      <c r="TXP85" s="1185"/>
      <c r="TXQ85" s="1185"/>
      <c r="TXR85" s="1185"/>
      <c r="TXS85" s="1185"/>
      <c r="TXT85" s="1185"/>
      <c r="TXU85" s="1185"/>
      <c r="TXV85" s="1185"/>
      <c r="TXW85" s="1185"/>
      <c r="TXX85" s="1185"/>
      <c r="TXY85" s="1185"/>
      <c r="TXZ85" s="1185"/>
      <c r="TYA85" s="1185"/>
      <c r="TYB85" s="1185"/>
      <c r="TYC85" s="1185"/>
      <c r="TYD85" s="1185"/>
      <c r="TYE85" s="1185"/>
      <c r="TYF85" s="1185"/>
      <c r="TYG85" s="1185"/>
      <c r="TYH85" s="1185"/>
      <c r="TYI85" s="1185"/>
      <c r="TYJ85" s="1185"/>
      <c r="TYK85" s="1185"/>
      <c r="TYL85" s="1185"/>
      <c r="TYM85" s="1185"/>
      <c r="TYN85" s="1185"/>
      <c r="TYO85" s="1185"/>
      <c r="TYP85" s="1185"/>
      <c r="TYQ85" s="1185"/>
      <c r="TYR85" s="1185"/>
      <c r="TYS85" s="1185"/>
      <c r="TYT85" s="1185"/>
      <c r="TYU85" s="1185"/>
      <c r="TYV85" s="1185"/>
      <c r="TYW85" s="1185"/>
      <c r="TYX85" s="1185"/>
      <c r="TYY85" s="1185"/>
      <c r="TYZ85" s="1185"/>
      <c r="TZA85" s="1185"/>
      <c r="TZB85" s="1185"/>
      <c r="TZC85" s="1185"/>
      <c r="TZD85" s="1185"/>
      <c r="TZE85" s="1185"/>
      <c r="TZF85" s="1185"/>
      <c r="TZG85" s="1185"/>
      <c r="TZH85" s="1185"/>
      <c r="TZI85" s="1185"/>
      <c r="TZJ85" s="1185"/>
      <c r="TZK85" s="1185"/>
      <c r="TZL85" s="1185"/>
      <c r="TZM85" s="1185"/>
      <c r="TZN85" s="1185"/>
      <c r="TZO85" s="1185"/>
      <c r="TZP85" s="1185"/>
      <c r="TZQ85" s="1185"/>
      <c r="TZR85" s="1185"/>
      <c r="TZS85" s="1185"/>
      <c r="TZT85" s="1185"/>
      <c r="TZU85" s="1185"/>
      <c r="TZV85" s="1185"/>
      <c r="TZW85" s="1185"/>
      <c r="TZX85" s="1185"/>
      <c r="TZY85" s="1185"/>
      <c r="TZZ85" s="1185"/>
      <c r="UAA85" s="1185"/>
      <c r="UAB85" s="1185"/>
      <c r="UAC85" s="1185"/>
      <c r="UAD85" s="1185"/>
      <c r="UAE85" s="1185"/>
      <c r="UAF85" s="1185"/>
      <c r="UAG85" s="1185"/>
      <c r="UAH85" s="1185"/>
      <c r="UAI85" s="1185"/>
      <c r="UAJ85" s="1185"/>
      <c r="UAK85" s="1185"/>
      <c r="UAL85" s="1185"/>
      <c r="UAM85" s="1185"/>
      <c r="UAN85" s="1185"/>
      <c r="UAO85" s="1185"/>
      <c r="UAP85" s="1185"/>
      <c r="UAQ85" s="1185"/>
      <c r="UAR85" s="1185"/>
      <c r="UAS85" s="1185"/>
      <c r="UAT85" s="1185"/>
      <c r="UAU85" s="1185"/>
      <c r="UAV85" s="1185"/>
      <c r="UAW85" s="1185"/>
      <c r="UAX85" s="1185"/>
      <c r="UAY85" s="1185"/>
      <c r="UAZ85" s="1185"/>
      <c r="UBA85" s="1185"/>
      <c r="UBB85" s="1185"/>
      <c r="UBC85" s="1185"/>
      <c r="UBD85" s="1185"/>
      <c r="UBE85" s="1185"/>
      <c r="UBF85" s="1185"/>
      <c r="UBG85" s="1185"/>
      <c r="UBH85" s="1185"/>
      <c r="UBI85" s="1185"/>
      <c r="UBJ85" s="1185"/>
      <c r="UBK85" s="1185"/>
      <c r="UBL85" s="1185"/>
      <c r="UBM85" s="1185"/>
      <c r="UBN85" s="1185"/>
      <c r="UBO85" s="1185"/>
      <c r="UBP85" s="1185"/>
      <c r="UBQ85" s="1185"/>
      <c r="UBR85" s="1185"/>
      <c r="UBS85" s="1185"/>
      <c r="UBT85" s="1185"/>
      <c r="UBU85" s="1185"/>
      <c r="UBV85" s="1185"/>
      <c r="UBW85" s="1185"/>
      <c r="UBX85" s="1185"/>
      <c r="UBY85" s="1185"/>
      <c r="UBZ85" s="1185"/>
      <c r="UCA85" s="1185"/>
      <c r="UCB85" s="1185"/>
      <c r="UCC85" s="1185"/>
      <c r="UCD85" s="1185"/>
      <c r="UCE85" s="1185"/>
      <c r="UCF85" s="1185"/>
      <c r="UCG85" s="1185"/>
      <c r="UCH85" s="1185"/>
      <c r="UCI85" s="1185"/>
      <c r="UCJ85" s="1185"/>
      <c r="UCK85" s="1185"/>
      <c r="UCL85" s="1185"/>
      <c r="UCM85" s="1185"/>
      <c r="UCN85" s="1185"/>
      <c r="UCO85" s="1185"/>
      <c r="UCP85" s="1185"/>
      <c r="UCQ85" s="1185"/>
      <c r="UCR85" s="1185"/>
      <c r="UCS85" s="1185"/>
      <c r="UCT85" s="1185"/>
      <c r="UCU85" s="1185"/>
      <c r="UCV85" s="1185"/>
      <c r="UCW85" s="1185"/>
      <c r="UCX85" s="1185"/>
      <c r="UCY85" s="1185"/>
      <c r="UCZ85" s="1185"/>
      <c r="UDA85" s="1185"/>
      <c r="UDB85" s="1185"/>
      <c r="UDC85" s="1185"/>
      <c r="UDD85" s="1185"/>
      <c r="UDE85" s="1185"/>
      <c r="UDF85" s="1185"/>
      <c r="UDG85" s="1185"/>
      <c r="UDH85" s="1185"/>
      <c r="UDI85" s="1185"/>
      <c r="UDJ85" s="1185"/>
      <c r="UDK85" s="1185"/>
      <c r="UDL85" s="1185"/>
      <c r="UDM85" s="1185"/>
      <c r="UDN85" s="1185"/>
      <c r="UDO85" s="1185"/>
      <c r="UDP85" s="1185"/>
      <c r="UDQ85" s="1185"/>
      <c r="UDR85" s="1185"/>
      <c r="UDS85" s="1185"/>
      <c r="UDT85" s="1185"/>
      <c r="UDU85" s="1185"/>
      <c r="UDV85" s="1185"/>
      <c r="UDW85" s="1185"/>
      <c r="UDX85" s="1185"/>
      <c r="UDY85" s="1185"/>
      <c r="UDZ85" s="1185"/>
      <c r="UEA85" s="1185"/>
      <c r="UEB85" s="1185"/>
      <c r="UEC85" s="1185"/>
      <c r="UED85" s="1185"/>
      <c r="UEE85" s="1185"/>
      <c r="UEF85" s="1185"/>
      <c r="UEG85" s="1185"/>
      <c r="UEH85" s="1185"/>
      <c r="UEI85" s="1185"/>
      <c r="UEJ85" s="1185"/>
      <c r="UEK85" s="1185"/>
      <c r="UEL85" s="1185"/>
      <c r="UEM85" s="1185"/>
      <c r="UEN85" s="1185"/>
      <c r="UEO85" s="1185"/>
      <c r="UEP85" s="1185"/>
      <c r="UEQ85" s="1185"/>
      <c r="UER85" s="1185"/>
      <c r="UES85" s="1185"/>
      <c r="UET85" s="1185"/>
      <c r="UEU85" s="1185"/>
      <c r="UEV85" s="1185"/>
      <c r="UEW85" s="1185"/>
      <c r="UEX85" s="1185"/>
      <c r="UEY85" s="1185"/>
      <c r="UEZ85" s="1185"/>
      <c r="UFA85" s="1185"/>
      <c r="UFB85" s="1185"/>
      <c r="UFC85" s="1185"/>
      <c r="UFD85" s="1185"/>
      <c r="UFE85" s="1185"/>
      <c r="UFF85" s="1185"/>
      <c r="UFG85" s="1185"/>
      <c r="UFH85" s="1185"/>
      <c r="UFI85" s="1185"/>
      <c r="UFJ85" s="1185"/>
      <c r="UFK85" s="1185"/>
      <c r="UFL85" s="1185"/>
      <c r="UFM85" s="1185"/>
      <c r="UFN85" s="1185"/>
      <c r="UFO85" s="1185"/>
      <c r="UFP85" s="1185"/>
      <c r="UFQ85" s="1185"/>
      <c r="UFR85" s="1185"/>
      <c r="UFS85" s="1185"/>
      <c r="UFT85" s="1185"/>
      <c r="UFU85" s="1185"/>
      <c r="UFV85" s="1185"/>
      <c r="UFW85" s="1185"/>
      <c r="UFX85" s="1185"/>
      <c r="UFY85" s="1185"/>
      <c r="UFZ85" s="1185"/>
      <c r="UGA85" s="1185"/>
      <c r="UGB85" s="1185"/>
      <c r="UGC85" s="1185"/>
      <c r="UGD85" s="1185"/>
      <c r="UGE85" s="1185"/>
      <c r="UGF85" s="1185"/>
      <c r="UGG85" s="1185"/>
      <c r="UGH85" s="1185"/>
      <c r="UGI85" s="1185"/>
      <c r="UGJ85" s="1185"/>
      <c r="UGK85" s="1185"/>
      <c r="UGL85" s="1185"/>
      <c r="UGM85" s="1185"/>
      <c r="UGN85" s="1185"/>
      <c r="UGO85" s="1185"/>
      <c r="UGP85" s="1185"/>
      <c r="UGQ85" s="1185"/>
      <c r="UGR85" s="1185"/>
      <c r="UGS85" s="1185"/>
      <c r="UGT85" s="1185"/>
      <c r="UGU85" s="1185"/>
      <c r="UGV85" s="1185"/>
      <c r="UGW85" s="1185"/>
      <c r="UGX85" s="1185"/>
      <c r="UGY85" s="1185"/>
      <c r="UGZ85" s="1185"/>
      <c r="UHA85" s="1185"/>
      <c r="UHB85" s="1185"/>
      <c r="UHC85" s="1185"/>
      <c r="UHD85" s="1185"/>
      <c r="UHE85" s="1185"/>
      <c r="UHF85" s="1185"/>
      <c r="UHG85" s="1185"/>
      <c r="UHH85" s="1185"/>
      <c r="UHI85" s="1185"/>
      <c r="UHJ85" s="1185"/>
      <c r="UHK85" s="1185"/>
      <c r="UHL85" s="1185"/>
      <c r="UHM85" s="1185"/>
      <c r="UHN85" s="1185"/>
      <c r="UHO85" s="1185"/>
      <c r="UHP85" s="1185"/>
      <c r="UHQ85" s="1185"/>
      <c r="UHR85" s="1185"/>
      <c r="UHS85" s="1185"/>
      <c r="UHT85" s="1185"/>
      <c r="UHU85" s="1185"/>
      <c r="UHV85" s="1185"/>
      <c r="UHW85" s="1185"/>
      <c r="UHX85" s="1185"/>
      <c r="UHY85" s="1185"/>
      <c r="UHZ85" s="1185"/>
      <c r="UIA85" s="1185"/>
      <c r="UIB85" s="1185"/>
      <c r="UIC85" s="1185"/>
      <c r="UID85" s="1185"/>
      <c r="UIE85" s="1185"/>
      <c r="UIF85" s="1185"/>
      <c r="UIG85" s="1185"/>
      <c r="UIH85" s="1185"/>
      <c r="UII85" s="1185"/>
      <c r="UIJ85" s="1185"/>
      <c r="UIK85" s="1185"/>
      <c r="UIL85" s="1185"/>
      <c r="UIM85" s="1185"/>
      <c r="UIN85" s="1185"/>
      <c r="UIO85" s="1185"/>
      <c r="UIP85" s="1185"/>
      <c r="UIQ85" s="1185"/>
      <c r="UIR85" s="1185"/>
      <c r="UIS85" s="1185"/>
      <c r="UIT85" s="1185"/>
      <c r="UIU85" s="1185"/>
      <c r="UIV85" s="1185"/>
      <c r="UIW85" s="1185"/>
      <c r="UIX85" s="1185"/>
      <c r="UIY85" s="1185"/>
      <c r="UIZ85" s="1185"/>
      <c r="UJA85" s="1185"/>
      <c r="UJB85" s="1185"/>
      <c r="UJC85" s="1185"/>
      <c r="UJD85" s="1185"/>
      <c r="UJE85" s="1185"/>
      <c r="UJF85" s="1185"/>
      <c r="UJG85" s="1185"/>
      <c r="UJH85" s="1185"/>
      <c r="UJI85" s="1185"/>
      <c r="UJJ85" s="1185"/>
      <c r="UJK85" s="1185"/>
      <c r="UJL85" s="1185"/>
      <c r="UJM85" s="1185"/>
      <c r="UJN85" s="1185"/>
      <c r="UJO85" s="1185"/>
      <c r="UJP85" s="1185"/>
      <c r="UJQ85" s="1185"/>
      <c r="UJR85" s="1185"/>
      <c r="UJS85" s="1185"/>
      <c r="UJT85" s="1185"/>
      <c r="UJU85" s="1185"/>
      <c r="UJV85" s="1185"/>
      <c r="UJW85" s="1185"/>
      <c r="UJX85" s="1185"/>
      <c r="UJY85" s="1185"/>
      <c r="UJZ85" s="1185"/>
      <c r="UKA85" s="1185"/>
      <c r="UKB85" s="1185"/>
      <c r="UKC85" s="1185"/>
      <c r="UKD85" s="1185"/>
      <c r="UKE85" s="1185"/>
      <c r="UKF85" s="1185"/>
      <c r="UKG85" s="1185"/>
      <c r="UKH85" s="1185"/>
      <c r="UKI85" s="1185"/>
      <c r="UKJ85" s="1185"/>
      <c r="UKK85" s="1185"/>
      <c r="UKL85" s="1185"/>
      <c r="UKM85" s="1185"/>
      <c r="UKN85" s="1185"/>
      <c r="UKO85" s="1185"/>
      <c r="UKP85" s="1185"/>
      <c r="UKQ85" s="1185"/>
      <c r="UKR85" s="1185"/>
      <c r="UKS85" s="1185"/>
      <c r="UKT85" s="1185"/>
      <c r="UKU85" s="1185"/>
      <c r="UKV85" s="1185"/>
      <c r="UKW85" s="1185"/>
      <c r="UKX85" s="1185"/>
      <c r="UKY85" s="1185"/>
      <c r="UKZ85" s="1185"/>
      <c r="ULA85" s="1185"/>
      <c r="ULB85" s="1185"/>
      <c r="ULC85" s="1185"/>
      <c r="ULD85" s="1185"/>
      <c r="ULE85" s="1185"/>
      <c r="ULF85" s="1185"/>
      <c r="ULG85" s="1185"/>
      <c r="ULH85" s="1185"/>
      <c r="ULI85" s="1185"/>
      <c r="ULJ85" s="1185"/>
      <c r="ULK85" s="1185"/>
      <c r="ULL85" s="1185"/>
      <c r="ULM85" s="1185"/>
      <c r="ULN85" s="1185"/>
      <c r="ULO85" s="1185"/>
      <c r="ULP85" s="1185"/>
      <c r="ULQ85" s="1185"/>
      <c r="ULR85" s="1185"/>
      <c r="ULS85" s="1185"/>
      <c r="ULT85" s="1185"/>
      <c r="ULU85" s="1185"/>
      <c r="ULV85" s="1185"/>
      <c r="ULW85" s="1185"/>
      <c r="ULX85" s="1185"/>
      <c r="ULY85" s="1185"/>
      <c r="ULZ85" s="1185"/>
      <c r="UMA85" s="1185"/>
      <c r="UMB85" s="1185"/>
      <c r="UMC85" s="1185"/>
      <c r="UMD85" s="1185"/>
      <c r="UME85" s="1185"/>
      <c r="UMF85" s="1185"/>
      <c r="UMG85" s="1185"/>
      <c r="UMH85" s="1185"/>
      <c r="UMI85" s="1185"/>
      <c r="UMJ85" s="1185"/>
      <c r="UMK85" s="1185"/>
      <c r="UML85" s="1185"/>
      <c r="UMM85" s="1185"/>
      <c r="UMN85" s="1185"/>
      <c r="UMO85" s="1185"/>
      <c r="UMP85" s="1185"/>
      <c r="UMQ85" s="1185"/>
      <c r="UMR85" s="1185"/>
      <c r="UMS85" s="1185"/>
      <c r="UMT85" s="1185"/>
      <c r="UMU85" s="1185"/>
      <c r="UMV85" s="1185"/>
      <c r="UMW85" s="1185"/>
      <c r="UMX85" s="1185"/>
      <c r="UMY85" s="1185"/>
      <c r="UMZ85" s="1185"/>
      <c r="UNA85" s="1185"/>
      <c r="UNB85" s="1185"/>
      <c r="UNC85" s="1185"/>
      <c r="UND85" s="1185"/>
      <c r="UNE85" s="1185"/>
      <c r="UNF85" s="1185"/>
      <c r="UNG85" s="1185"/>
      <c r="UNH85" s="1185"/>
      <c r="UNI85" s="1185"/>
      <c r="UNJ85" s="1185"/>
      <c r="UNK85" s="1185"/>
      <c r="UNL85" s="1185"/>
      <c r="UNM85" s="1185"/>
      <c r="UNN85" s="1185"/>
      <c r="UNO85" s="1185"/>
      <c r="UNP85" s="1185"/>
      <c r="UNQ85" s="1185"/>
      <c r="UNR85" s="1185"/>
      <c r="UNS85" s="1185"/>
      <c r="UNT85" s="1185"/>
      <c r="UNU85" s="1185"/>
      <c r="UNV85" s="1185"/>
      <c r="UNW85" s="1185"/>
      <c r="UNX85" s="1185"/>
      <c r="UNY85" s="1185"/>
      <c r="UNZ85" s="1185"/>
      <c r="UOA85" s="1185"/>
      <c r="UOB85" s="1185"/>
      <c r="UOC85" s="1185"/>
      <c r="UOD85" s="1185"/>
      <c r="UOE85" s="1185"/>
      <c r="UOF85" s="1185"/>
      <c r="UOG85" s="1185"/>
      <c r="UOH85" s="1185"/>
      <c r="UOI85" s="1185"/>
      <c r="UOJ85" s="1185"/>
      <c r="UOK85" s="1185"/>
      <c r="UOL85" s="1185"/>
      <c r="UOM85" s="1185"/>
      <c r="UON85" s="1185"/>
      <c r="UOO85" s="1185"/>
      <c r="UOP85" s="1185"/>
      <c r="UOQ85" s="1185"/>
      <c r="UOR85" s="1185"/>
      <c r="UOS85" s="1185"/>
      <c r="UOT85" s="1185"/>
      <c r="UOU85" s="1185"/>
      <c r="UOV85" s="1185"/>
      <c r="UOW85" s="1185"/>
      <c r="UOX85" s="1185"/>
      <c r="UOY85" s="1185"/>
      <c r="UOZ85" s="1185"/>
      <c r="UPA85" s="1185"/>
      <c r="UPB85" s="1185"/>
      <c r="UPC85" s="1185"/>
      <c r="UPD85" s="1185"/>
      <c r="UPE85" s="1185"/>
      <c r="UPF85" s="1185"/>
      <c r="UPG85" s="1185"/>
      <c r="UPH85" s="1185"/>
      <c r="UPI85" s="1185"/>
      <c r="UPJ85" s="1185"/>
      <c r="UPK85" s="1185"/>
      <c r="UPL85" s="1185"/>
      <c r="UPM85" s="1185"/>
      <c r="UPN85" s="1185"/>
      <c r="UPO85" s="1185"/>
      <c r="UPP85" s="1185"/>
      <c r="UPQ85" s="1185"/>
      <c r="UPR85" s="1185"/>
      <c r="UPS85" s="1185"/>
      <c r="UPT85" s="1185"/>
      <c r="UPU85" s="1185"/>
      <c r="UPV85" s="1185"/>
      <c r="UPW85" s="1185"/>
      <c r="UPX85" s="1185"/>
      <c r="UPY85" s="1185"/>
      <c r="UPZ85" s="1185"/>
      <c r="UQA85" s="1185"/>
      <c r="UQB85" s="1185"/>
      <c r="UQC85" s="1185"/>
      <c r="UQD85" s="1185"/>
      <c r="UQE85" s="1185"/>
      <c r="UQF85" s="1185"/>
      <c r="UQG85" s="1185"/>
      <c r="UQH85" s="1185"/>
      <c r="UQI85" s="1185"/>
      <c r="UQJ85" s="1185"/>
      <c r="UQK85" s="1185"/>
      <c r="UQL85" s="1185"/>
      <c r="UQM85" s="1185"/>
      <c r="UQN85" s="1185"/>
      <c r="UQO85" s="1185"/>
      <c r="UQP85" s="1185"/>
      <c r="UQQ85" s="1185"/>
      <c r="UQR85" s="1185"/>
      <c r="UQS85" s="1185"/>
      <c r="UQT85" s="1185"/>
      <c r="UQU85" s="1185"/>
      <c r="UQV85" s="1185"/>
      <c r="UQW85" s="1185"/>
      <c r="UQX85" s="1185"/>
      <c r="UQY85" s="1185"/>
      <c r="UQZ85" s="1185"/>
      <c r="URA85" s="1185"/>
      <c r="URB85" s="1185"/>
      <c r="URC85" s="1185"/>
      <c r="URD85" s="1185"/>
      <c r="URE85" s="1185"/>
      <c r="URF85" s="1185"/>
      <c r="URG85" s="1185"/>
      <c r="URH85" s="1185"/>
      <c r="URI85" s="1185"/>
      <c r="URJ85" s="1185"/>
      <c r="URK85" s="1185"/>
      <c r="URL85" s="1185"/>
      <c r="URM85" s="1185"/>
      <c r="URN85" s="1185"/>
      <c r="URO85" s="1185"/>
      <c r="URP85" s="1185"/>
      <c r="URQ85" s="1185"/>
      <c r="URR85" s="1185"/>
      <c r="URS85" s="1185"/>
      <c r="URT85" s="1185"/>
      <c r="URU85" s="1185"/>
      <c r="URV85" s="1185"/>
      <c r="URW85" s="1185"/>
      <c r="URX85" s="1185"/>
      <c r="URY85" s="1185"/>
      <c r="URZ85" s="1185"/>
      <c r="USA85" s="1185"/>
      <c r="USB85" s="1185"/>
      <c r="USC85" s="1185"/>
      <c r="USD85" s="1185"/>
      <c r="USE85" s="1185"/>
      <c r="USF85" s="1185"/>
      <c r="USG85" s="1185"/>
      <c r="USH85" s="1185"/>
      <c r="USI85" s="1185"/>
      <c r="USJ85" s="1185"/>
      <c r="USK85" s="1185"/>
      <c r="USL85" s="1185"/>
      <c r="USM85" s="1185"/>
      <c r="USN85" s="1185"/>
      <c r="USO85" s="1185"/>
      <c r="USP85" s="1185"/>
      <c r="USQ85" s="1185"/>
      <c r="USR85" s="1185"/>
      <c r="USS85" s="1185"/>
      <c r="UST85" s="1185"/>
      <c r="USU85" s="1185"/>
      <c r="USV85" s="1185"/>
      <c r="USW85" s="1185"/>
      <c r="USX85" s="1185"/>
      <c r="USY85" s="1185"/>
      <c r="USZ85" s="1185"/>
      <c r="UTA85" s="1185"/>
      <c r="UTB85" s="1185"/>
      <c r="UTC85" s="1185"/>
      <c r="UTD85" s="1185"/>
      <c r="UTE85" s="1185"/>
      <c r="UTF85" s="1185"/>
      <c r="UTG85" s="1185"/>
      <c r="UTH85" s="1185"/>
      <c r="UTI85" s="1185"/>
      <c r="UTJ85" s="1185"/>
      <c r="UTK85" s="1185"/>
      <c r="UTL85" s="1185"/>
      <c r="UTM85" s="1185"/>
      <c r="UTN85" s="1185"/>
      <c r="UTO85" s="1185"/>
      <c r="UTP85" s="1185"/>
      <c r="UTQ85" s="1185"/>
      <c r="UTR85" s="1185"/>
      <c r="UTS85" s="1185"/>
      <c r="UTT85" s="1185"/>
      <c r="UTU85" s="1185"/>
      <c r="UTV85" s="1185"/>
      <c r="UTW85" s="1185"/>
      <c r="UTX85" s="1185"/>
      <c r="UTY85" s="1185"/>
      <c r="UTZ85" s="1185"/>
      <c r="UUA85" s="1185"/>
      <c r="UUB85" s="1185"/>
      <c r="UUC85" s="1185"/>
      <c r="UUD85" s="1185"/>
      <c r="UUE85" s="1185"/>
      <c r="UUF85" s="1185"/>
      <c r="UUG85" s="1185"/>
      <c r="UUH85" s="1185"/>
      <c r="UUI85" s="1185"/>
      <c r="UUJ85" s="1185"/>
      <c r="UUK85" s="1185"/>
      <c r="UUL85" s="1185"/>
      <c r="UUM85" s="1185"/>
      <c r="UUN85" s="1185"/>
      <c r="UUO85" s="1185"/>
      <c r="UUP85" s="1185"/>
      <c r="UUQ85" s="1185"/>
      <c r="UUR85" s="1185"/>
      <c r="UUS85" s="1185"/>
      <c r="UUT85" s="1185"/>
      <c r="UUU85" s="1185"/>
      <c r="UUV85" s="1185"/>
      <c r="UUW85" s="1185"/>
      <c r="UUX85" s="1185"/>
      <c r="UUY85" s="1185"/>
      <c r="UUZ85" s="1185"/>
      <c r="UVA85" s="1185"/>
      <c r="UVB85" s="1185"/>
      <c r="UVC85" s="1185"/>
      <c r="UVD85" s="1185"/>
      <c r="UVE85" s="1185"/>
      <c r="UVF85" s="1185"/>
      <c r="UVG85" s="1185"/>
      <c r="UVH85" s="1185"/>
      <c r="UVI85" s="1185"/>
      <c r="UVJ85" s="1185"/>
      <c r="UVK85" s="1185"/>
      <c r="UVL85" s="1185"/>
      <c r="UVM85" s="1185"/>
      <c r="UVN85" s="1185"/>
      <c r="UVO85" s="1185"/>
      <c r="UVP85" s="1185"/>
      <c r="UVQ85" s="1185"/>
      <c r="UVR85" s="1185"/>
      <c r="UVS85" s="1185"/>
      <c r="UVT85" s="1185"/>
      <c r="UVU85" s="1185"/>
      <c r="UVV85" s="1185"/>
      <c r="UVW85" s="1185"/>
      <c r="UVX85" s="1185"/>
      <c r="UVY85" s="1185"/>
      <c r="UVZ85" s="1185"/>
      <c r="UWA85" s="1185"/>
      <c r="UWB85" s="1185"/>
      <c r="UWC85" s="1185"/>
      <c r="UWD85" s="1185"/>
      <c r="UWE85" s="1185"/>
      <c r="UWF85" s="1185"/>
      <c r="UWG85" s="1185"/>
      <c r="UWH85" s="1185"/>
      <c r="UWI85" s="1185"/>
      <c r="UWJ85" s="1185"/>
      <c r="UWK85" s="1185"/>
      <c r="UWL85" s="1185"/>
      <c r="UWM85" s="1185"/>
      <c r="UWN85" s="1185"/>
      <c r="UWO85" s="1185"/>
      <c r="UWP85" s="1185"/>
      <c r="UWQ85" s="1185"/>
      <c r="UWR85" s="1185"/>
      <c r="UWS85" s="1185"/>
      <c r="UWT85" s="1185"/>
      <c r="UWU85" s="1185"/>
      <c r="UWV85" s="1185"/>
      <c r="UWW85" s="1185"/>
      <c r="UWX85" s="1185"/>
      <c r="UWY85" s="1185"/>
      <c r="UWZ85" s="1185"/>
      <c r="UXA85" s="1185"/>
      <c r="UXB85" s="1185"/>
      <c r="UXC85" s="1185"/>
      <c r="UXD85" s="1185"/>
      <c r="UXE85" s="1185"/>
      <c r="UXF85" s="1185"/>
      <c r="UXG85" s="1185"/>
      <c r="UXH85" s="1185"/>
      <c r="UXI85" s="1185"/>
      <c r="UXJ85" s="1185"/>
      <c r="UXK85" s="1185"/>
      <c r="UXL85" s="1185"/>
      <c r="UXM85" s="1185"/>
      <c r="UXN85" s="1185"/>
      <c r="UXO85" s="1185"/>
      <c r="UXP85" s="1185"/>
      <c r="UXQ85" s="1185"/>
      <c r="UXR85" s="1185"/>
      <c r="UXS85" s="1185"/>
      <c r="UXT85" s="1185"/>
      <c r="UXU85" s="1185"/>
      <c r="UXV85" s="1185"/>
      <c r="UXW85" s="1185"/>
      <c r="UXX85" s="1185"/>
      <c r="UXY85" s="1185"/>
      <c r="UXZ85" s="1185"/>
      <c r="UYA85" s="1185"/>
      <c r="UYB85" s="1185"/>
      <c r="UYC85" s="1185"/>
      <c r="UYD85" s="1185"/>
      <c r="UYE85" s="1185"/>
      <c r="UYF85" s="1185"/>
      <c r="UYG85" s="1185"/>
      <c r="UYH85" s="1185"/>
      <c r="UYI85" s="1185"/>
      <c r="UYJ85" s="1185"/>
      <c r="UYK85" s="1185"/>
      <c r="UYL85" s="1185"/>
      <c r="UYM85" s="1185"/>
      <c r="UYN85" s="1185"/>
      <c r="UYO85" s="1185"/>
      <c r="UYP85" s="1185"/>
      <c r="UYQ85" s="1185"/>
      <c r="UYR85" s="1185"/>
      <c r="UYS85" s="1185"/>
      <c r="UYT85" s="1185"/>
      <c r="UYU85" s="1185"/>
      <c r="UYV85" s="1185"/>
      <c r="UYW85" s="1185"/>
      <c r="UYX85" s="1185"/>
      <c r="UYY85" s="1185"/>
      <c r="UYZ85" s="1185"/>
      <c r="UZA85" s="1185"/>
      <c r="UZB85" s="1185"/>
      <c r="UZC85" s="1185"/>
      <c r="UZD85" s="1185"/>
      <c r="UZE85" s="1185"/>
      <c r="UZF85" s="1185"/>
      <c r="UZG85" s="1185"/>
      <c r="UZH85" s="1185"/>
      <c r="UZI85" s="1185"/>
      <c r="UZJ85" s="1185"/>
      <c r="UZK85" s="1185"/>
      <c r="UZL85" s="1185"/>
      <c r="UZM85" s="1185"/>
      <c r="UZN85" s="1185"/>
      <c r="UZO85" s="1185"/>
      <c r="UZP85" s="1185"/>
      <c r="UZQ85" s="1185"/>
      <c r="UZR85" s="1185"/>
      <c r="UZS85" s="1185"/>
      <c r="UZT85" s="1185"/>
      <c r="UZU85" s="1185"/>
      <c r="UZV85" s="1185"/>
      <c r="UZW85" s="1185"/>
      <c r="UZX85" s="1185"/>
      <c r="UZY85" s="1185"/>
      <c r="UZZ85" s="1185"/>
      <c r="VAA85" s="1185"/>
      <c r="VAB85" s="1185"/>
      <c r="VAC85" s="1185"/>
      <c r="VAD85" s="1185"/>
      <c r="VAE85" s="1185"/>
      <c r="VAF85" s="1185"/>
      <c r="VAG85" s="1185"/>
      <c r="VAH85" s="1185"/>
      <c r="VAI85" s="1185"/>
      <c r="VAJ85" s="1185"/>
      <c r="VAK85" s="1185"/>
      <c r="VAL85" s="1185"/>
      <c r="VAM85" s="1185"/>
      <c r="VAN85" s="1185"/>
      <c r="VAO85" s="1185"/>
      <c r="VAP85" s="1185"/>
      <c r="VAQ85" s="1185"/>
      <c r="VAR85" s="1185"/>
      <c r="VAS85" s="1185"/>
      <c r="VAT85" s="1185"/>
      <c r="VAU85" s="1185"/>
      <c r="VAV85" s="1185"/>
      <c r="VAW85" s="1185"/>
      <c r="VAX85" s="1185"/>
      <c r="VAY85" s="1185"/>
      <c r="VAZ85" s="1185"/>
      <c r="VBA85" s="1185"/>
      <c r="VBB85" s="1185"/>
      <c r="VBC85" s="1185"/>
      <c r="VBD85" s="1185"/>
      <c r="VBE85" s="1185"/>
      <c r="VBF85" s="1185"/>
      <c r="VBG85" s="1185"/>
      <c r="VBH85" s="1185"/>
      <c r="VBI85" s="1185"/>
      <c r="VBJ85" s="1185"/>
      <c r="VBK85" s="1185"/>
      <c r="VBL85" s="1185"/>
      <c r="VBM85" s="1185"/>
      <c r="VBN85" s="1185"/>
      <c r="VBO85" s="1185"/>
      <c r="VBP85" s="1185"/>
      <c r="VBQ85" s="1185"/>
      <c r="VBR85" s="1185"/>
      <c r="VBS85" s="1185"/>
      <c r="VBT85" s="1185"/>
      <c r="VBU85" s="1185"/>
      <c r="VBV85" s="1185"/>
      <c r="VBW85" s="1185"/>
      <c r="VBX85" s="1185"/>
      <c r="VBY85" s="1185"/>
      <c r="VBZ85" s="1185"/>
      <c r="VCA85" s="1185"/>
      <c r="VCB85" s="1185"/>
      <c r="VCC85" s="1185"/>
      <c r="VCD85" s="1185"/>
      <c r="VCE85" s="1185"/>
      <c r="VCF85" s="1185"/>
      <c r="VCG85" s="1185"/>
      <c r="VCH85" s="1185"/>
      <c r="VCI85" s="1185"/>
      <c r="VCJ85" s="1185"/>
      <c r="VCK85" s="1185"/>
      <c r="VCL85" s="1185"/>
      <c r="VCM85" s="1185"/>
      <c r="VCN85" s="1185"/>
      <c r="VCO85" s="1185"/>
      <c r="VCP85" s="1185"/>
      <c r="VCQ85" s="1185"/>
      <c r="VCR85" s="1185"/>
      <c r="VCS85" s="1185"/>
      <c r="VCT85" s="1185"/>
      <c r="VCU85" s="1185"/>
      <c r="VCV85" s="1185"/>
      <c r="VCW85" s="1185"/>
      <c r="VCX85" s="1185"/>
      <c r="VCY85" s="1185"/>
      <c r="VCZ85" s="1185"/>
      <c r="VDA85" s="1185"/>
      <c r="VDB85" s="1185"/>
      <c r="VDC85" s="1185"/>
      <c r="VDD85" s="1185"/>
      <c r="VDE85" s="1185"/>
      <c r="VDF85" s="1185"/>
      <c r="VDG85" s="1185"/>
      <c r="VDH85" s="1185"/>
      <c r="VDI85" s="1185"/>
      <c r="VDJ85" s="1185"/>
      <c r="VDK85" s="1185"/>
      <c r="VDL85" s="1185"/>
      <c r="VDM85" s="1185"/>
      <c r="VDN85" s="1185"/>
      <c r="VDO85" s="1185"/>
      <c r="VDP85" s="1185"/>
      <c r="VDQ85" s="1185"/>
      <c r="VDR85" s="1185"/>
      <c r="VDS85" s="1185"/>
      <c r="VDT85" s="1185"/>
      <c r="VDU85" s="1185"/>
      <c r="VDV85" s="1185"/>
      <c r="VDW85" s="1185"/>
      <c r="VDX85" s="1185"/>
      <c r="VDY85" s="1185"/>
      <c r="VDZ85" s="1185"/>
      <c r="VEA85" s="1185"/>
      <c r="VEB85" s="1185"/>
      <c r="VEC85" s="1185"/>
      <c r="VED85" s="1185"/>
      <c r="VEE85" s="1185"/>
      <c r="VEF85" s="1185"/>
      <c r="VEG85" s="1185"/>
      <c r="VEH85" s="1185"/>
      <c r="VEI85" s="1185"/>
      <c r="VEJ85" s="1185"/>
      <c r="VEK85" s="1185"/>
      <c r="VEL85" s="1185"/>
      <c r="VEM85" s="1185"/>
      <c r="VEN85" s="1185"/>
      <c r="VEO85" s="1185"/>
      <c r="VEP85" s="1185"/>
      <c r="VEQ85" s="1185"/>
      <c r="VER85" s="1185"/>
      <c r="VES85" s="1185"/>
      <c r="VET85" s="1185"/>
      <c r="VEU85" s="1185"/>
      <c r="VEV85" s="1185"/>
      <c r="VEW85" s="1185"/>
      <c r="VEX85" s="1185"/>
      <c r="VEY85" s="1185"/>
      <c r="VEZ85" s="1185"/>
      <c r="VFA85" s="1185"/>
      <c r="VFB85" s="1185"/>
      <c r="VFC85" s="1185"/>
      <c r="VFD85" s="1185"/>
      <c r="VFE85" s="1185"/>
      <c r="VFF85" s="1185"/>
      <c r="VFG85" s="1185"/>
      <c r="VFH85" s="1185"/>
      <c r="VFI85" s="1185"/>
      <c r="VFJ85" s="1185"/>
      <c r="VFK85" s="1185"/>
      <c r="VFL85" s="1185"/>
      <c r="VFM85" s="1185"/>
      <c r="VFN85" s="1185"/>
      <c r="VFO85" s="1185"/>
      <c r="VFP85" s="1185"/>
      <c r="VFQ85" s="1185"/>
      <c r="VFR85" s="1185"/>
      <c r="VFS85" s="1185"/>
      <c r="VFT85" s="1185"/>
      <c r="VFU85" s="1185"/>
      <c r="VFV85" s="1185"/>
      <c r="VFW85" s="1185"/>
      <c r="VFX85" s="1185"/>
      <c r="VFY85" s="1185"/>
      <c r="VFZ85" s="1185"/>
      <c r="VGA85" s="1185"/>
      <c r="VGB85" s="1185"/>
      <c r="VGC85" s="1185"/>
      <c r="VGD85" s="1185"/>
      <c r="VGE85" s="1185"/>
      <c r="VGF85" s="1185"/>
      <c r="VGG85" s="1185"/>
      <c r="VGH85" s="1185"/>
      <c r="VGI85" s="1185"/>
      <c r="VGJ85" s="1185"/>
      <c r="VGK85" s="1185"/>
      <c r="VGL85" s="1185"/>
      <c r="VGM85" s="1185"/>
      <c r="VGN85" s="1185"/>
      <c r="VGO85" s="1185"/>
      <c r="VGP85" s="1185"/>
      <c r="VGQ85" s="1185"/>
      <c r="VGR85" s="1185"/>
      <c r="VGS85" s="1185"/>
      <c r="VGT85" s="1185"/>
      <c r="VGU85" s="1185"/>
      <c r="VGV85" s="1185"/>
      <c r="VGW85" s="1185"/>
      <c r="VGX85" s="1185"/>
      <c r="VGY85" s="1185"/>
      <c r="VGZ85" s="1185"/>
      <c r="VHA85" s="1185"/>
      <c r="VHB85" s="1185"/>
      <c r="VHC85" s="1185"/>
      <c r="VHD85" s="1185"/>
      <c r="VHE85" s="1185"/>
      <c r="VHF85" s="1185"/>
      <c r="VHG85" s="1185"/>
      <c r="VHH85" s="1185"/>
      <c r="VHI85" s="1185"/>
      <c r="VHJ85" s="1185"/>
      <c r="VHK85" s="1185"/>
      <c r="VHL85" s="1185"/>
      <c r="VHM85" s="1185"/>
      <c r="VHN85" s="1185"/>
      <c r="VHO85" s="1185"/>
      <c r="VHP85" s="1185"/>
      <c r="VHQ85" s="1185"/>
      <c r="VHR85" s="1185"/>
      <c r="VHS85" s="1185"/>
      <c r="VHT85" s="1185"/>
      <c r="VHU85" s="1185"/>
      <c r="VHV85" s="1185"/>
      <c r="VHW85" s="1185"/>
      <c r="VHX85" s="1185"/>
      <c r="VHY85" s="1185"/>
      <c r="VHZ85" s="1185"/>
      <c r="VIA85" s="1185"/>
      <c r="VIB85" s="1185"/>
      <c r="VIC85" s="1185"/>
      <c r="VID85" s="1185"/>
      <c r="VIE85" s="1185"/>
      <c r="VIF85" s="1185"/>
      <c r="VIG85" s="1185"/>
      <c r="VIH85" s="1185"/>
      <c r="VII85" s="1185"/>
      <c r="VIJ85" s="1185"/>
      <c r="VIK85" s="1185"/>
      <c r="VIL85" s="1185"/>
      <c r="VIM85" s="1185"/>
      <c r="VIN85" s="1185"/>
      <c r="VIO85" s="1185"/>
      <c r="VIP85" s="1185"/>
      <c r="VIQ85" s="1185"/>
      <c r="VIR85" s="1185"/>
      <c r="VIS85" s="1185"/>
      <c r="VIT85" s="1185"/>
      <c r="VIU85" s="1185"/>
      <c r="VIV85" s="1185"/>
      <c r="VIW85" s="1185"/>
      <c r="VIX85" s="1185"/>
      <c r="VIY85" s="1185"/>
      <c r="VIZ85" s="1185"/>
      <c r="VJA85" s="1185"/>
      <c r="VJB85" s="1185"/>
      <c r="VJC85" s="1185"/>
      <c r="VJD85" s="1185"/>
      <c r="VJE85" s="1185"/>
      <c r="VJF85" s="1185"/>
      <c r="VJG85" s="1185"/>
      <c r="VJH85" s="1185"/>
      <c r="VJI85" s="1185"/>
      <c r="VJJ85" s="1185"/>
      <c r="VJK85" s="1185"/>
      <c r="VJL85" s="1185"/>
      <c r="VJM85" s="1185"/>
      <c r="VJN85" s="1185"/>
      <c r="VJO85" s="1185"/>
      <c r="VJP85" s="1185"/>
      <c r="VJQ85" s="1185"/>
      <c r="VJR85" s="1185"/>
      <c r="VJS85" s="1185"/>
      <c r="VJT85" s="1185"/>
      <c r="VJU85" s="1185"/>
      <c r="VJV85" s="1185"/>
      <c r="VJW85" s="1185"/>
      <c r="VJX85" s="1185"/>
      <c r="VJY85" s="1185"/>
      <c r="VJZ85" s="1185"/>
      <c r="VKA85" s="1185"/>
      <c r="VKB85" s="1185"/>
      <c r="VKC85" s="1185"/>
      <c r="VKD85" s="1185"/>
      <c r="VKE85" s="1185"/>
      <c r="VKF85" s="1185"/>
      <c r="VKG85" s="1185"/>
      <c r="VKH85" s="1185"/>
      <c r="VKI85" s="1185"/>
      <c r="VKJ85" s="1185"/>
      <c r="VKK85" s="1185"/>
      <c r="VKL85" s="1185"/>
      <c r="VKM85" s="1185"/>
      <c r="VKN85" s="1185"/>
      <c r="VKO85" s="1185"/>
      <c r="VKP85" s="1185"/>
      <c r="VKQ85" s="1185"/>
      <c r="VKR85" s="1185"/>
      <c r="VKS85" s="1185"/>
      <c r="VKT85" s="1185"/>
      <c r="VKU85" s="1185"/>
      <c r="VKV85" s="1185"/>
      <c r="VKW85" s="1185"/>
      <c r="VKX85" s="1185"/>
      <c r="VKY85" s="1185"/>
      <c r="VKZ85" s="1185"/>
      <c r="VLA85" s="1185"/>
      <c r="VLB85" s="1185"/>
      <c r="VLC85" s="1185"/>
      <c r="VLD85" s="1185"/>
      <c r="VLE85" s="1185"/>
      <c r="VLF85" s="1185"/>
      <c r="VLG85" s="1185"/>
      <c r="VLH85" s="1185"/>
      <c r="VLI85" s="1185"/>
      <c r="VLJ85" s="1185"/>
      <c r="VLK85" s="1185"/>
      <c r="VLL85" s="1185"/>
      <c r="VLM85" s="1185"/>
      <c r="VLN85" s="1185"/>
      <c r="VLO85" s="1185"/>
      <c r="VLP85" s="1185"/>
      <c r="VLQ85" s="1185"/>
      <c r="VLR85" s="1185"/>
      <c r="VLS85" s="1185"/>
      <c r="VLT85" s="1185"/>
      <c r="VLU85" s="1185"/>
      <c r="VLV85" s="1185"/>
      <c r="VLW85" s="1185"/>
      <c r="VLX85" s="1185"/>
      <c r="VLY85" s="1185"/>
      <c r="VLZ85" s="1185"/>
      <c r="VMA85" s="1185"/>
      <c r="VMB85" s="1185"/>
      <c r="VMC85" s="1185"/>
      <c r="VMD85" s="1185"/>
      <c r="VME85" s="1185"/>
      <c r="VMF85" s="1185"/>
      <c r="VMG85" s="1185"/>
      <c r="VMH85" s="1185"/>
      <c r="VMI85" s="1185"/>
      <c r="VMJ85" s="1185"/>
      <c r="VMK85" s="1185"/>
      <c r="VML85" s="1185"/>
      <c r="VMM85" s="1185"/>
      <c r="VMN85" s="1185"/>
      <c r="VMO85" s="1185"/>
      <c r="VMP85" s="1185"/>
      <c r="VMQ85" s="1185"/>
      <c r="VMR85" s="1185"/>
      <c r="VMS85" s="1185"/>
      <c r="VMT85" s="1185"/>
      <c r="VMU85" s="1185"/>
      <c r="VMV85" s="1185"/>
      <c r="VMW85" s="1185"/>
      <c r="VMX85" s="1185"/>
      <c r="VMY85" s="1185"/>
      <c r="VMZ85" s="1185"/>
      <c r="VNA85" s="1185"/>
      <c r="VNB85" s="1185"/>
      <c r="VNC85" s="1185"/>
      <c r="VND85" s="1185"/>
      <c r="VNE85" s="1185"/>
      <c r="VNF85" s="1185"/>
      <c r="VNG85" s="1185"/>
      <c r="VNH85" s="1185"/>
      <c r="VNI85" s="1185"/>
      <c r="VNJ85" s="1185"/>
      <c r="VNK85" s="1185"/>
      <c r="VNL85" s="1185"/>
      <c r="VNM85" s="1185"/>
      <c r="VNN85" s="1185"/>
      <c r="VNO85" s="1185"/>
      <c r="VNP85" s="1185"/>
      <c r="VNQ85" s="1185"/>
      <c r="VNR85" s="1185"/>
      <c r="VNS85" s="1185"/>
      <c r="VNT85" s="1185"/>
      <c r="VNU85" s="1185"/>
      <c r="VNV85" s="1185"/>
      <c r="VNW85" s="1185"/>
      <c r="VNX85" s="1185"/>
      <c r="VNY85" s="1185"/>
      <c r="VNZ85" s="1185"/>
      <c r="VOA85" s="1185"/>
      <c r="VOB85" s="1185"/>
      <c r="VOC85" s="1185"/>
      <c r="VOD85" s="1185"/>
      <c r="VOE85" s="1185"/>
      <c r="VOF85" s="1185"/>
      <c r="VOG85" s="1185"/>
      <c r="VOH85" s="1185"/>
      <c r="VOI85" s="1185"/>
      <c r="VOJ85" s="1185"/>
      <c r="VOK85" s="1185"/>
      <c r="VOL85" s="1185"/>
      <c r="VOM85" s="1185"/>
      <c r="VON85" s="1185"/>
      <c r="VOO85" s="1185"/>
      <c r="VOP85" s="1185"/>
      <c r="VOQ85" s="1185"/>
      <c r="VOR85" s="1185"/>
      <c r="VOS85" s="1185"/>
      <c r="VOT85" s="1185"/>
      <c r="VOU85" s="1185"/>
      <c r="VOV85" s="1185"/>
      <c r="VOW85" s="1185"/>
      <c r="VOX85" s="1185"/>
      <c r="VOY85" s="1185"/>
      <c r="VOZ85" s="1185"/>
      <c r="VPA85" s="1185"/>
      <c r="VPB85" s="1185"/>
      <c r="VPC85" s="1185"/>
      <c r="VPD85" s="1185"/>
      <c r="VPE85" s="1185"/>
      <c r="VPF85" s="1185"/>
      <c r="VPG85" s="1185"/>
      <c r="VPH85" s="1185"/>
      <c r="VPI85" s="1185"/>
      <c r="VPJ85" s="1185"/>
      <c r="VPK85" s="1185"/>
      <c r="VPL85" s="1185"/>
      <c r="VPM85" s="1185"/>
      <c r="VPN85" s="1185"/>
      <c r="VPO85" s="1185"/>
      <c r="VPP85" s="1185"/>
      <c r="VPQ85" s="1185"/>
      <c r="VPR85" s="1185"/>
      <c r="VPS85" s="1185"/>
      <c r="VPT85" s="1185"/>
      <c r="VPU85" s="1185"/>
      <c r="VPV85" s="1185"/>
      <c r="VPW85" s="1185"/>
      <c r="VPX85" s="1185"/>
      <c r="VPY85" s="1185"/>
      <c r="VPZ85" s="1185"/>
      <c r="VQA85" s="1185"/>
      <c r="VQB85" s="1185"/>
      <c r="VQC85" s="1185"/>
      <c r="VQD85" s="1185"/>
      <c r="VQE85" s="1185"/>
      <c r="VQF85" s="1185"/>
      <c r="VQG85" s="1185"/>
      <c r="VQH85" s="1185"/>
      <c r="VQI85" s="1185"/>
      <c r="VQJ85" s="1185"/>
      <c r="VQK85" s="1185"/>
      <c r="VQL85" s="1185"/>
      <c r="VQM85" s="1185"/>
      <c r="VQN85" s="1185"/>
      <c r="VQO85" s="1185"/>
      <c r="VQP85" s="1185"/>
      <c r="VQQ85" s="1185"/>
      <c r="VQR85" s="1185"/>
      <c r="VQS85" s="1185"/>
      <c r="VQT85" s="1185"/>
      <c r="VQU85" s="1185"/>
      <c r="VQV85" s="1185"/>
      <c r="VQW85" s="1185"/>
      <c r="VQX85" s="1185"/>
      <c r="VQY85" s="1185"/>
      <c r="VQZ85" s="1185"/>
      <c r="VRA85" s="1185"/>
      <c r="VRB85" s="1185"/>
      <c r="VRC85" s="1185"/>
      <c r="VRD85" s="1185"/>
      <c r="VRE85" s="1185"/>
      <c r="VRF85" s="1185"/>
      <c r="VRG85" s="1185"/>
      <c r="VRH85" s="1185"/>
      <c r="VRI85" s="1185"/>
      <c r="VRJ85" s="1185"/>
      <c r="VRK85" s="1185"/>
      <c r="VRL85" s="1185"/>
      <c r="VRM85" s="1185"/>
      <c r="VRN85" s="1185"/>
      <c r="VRO85" s="1185"/>
      <c r="VRP85" s="1185"/>
      <c r="VRQ85" s="1185"/>
      <c r="VRR85" s="1185"/>
      <c r="VRS85" s="1185"/>
      <c r="VRT85" s="1185"/>
      <c r="VRU85" s="1185"/>
      <c r="VRV85" s="1185"/>
      <c r="VRW85" s="1185"/>
      <c r="VRX85" s="1185"/>
      <c r="VRY85" s="1185"/>
      <c r="VRZ85" s="1185"/>
      <c r="VSA85" s="1185"/>
      <c r="VSB85" s="1185"/>
      <c r="VSC85" s="1185"/>
      <c r="VSD85" s="1185"/>
      <c r="VSE85" s="1185"/>
      <c r="VSF85" s="1185"/>
      <c r="VSG85" s="1185"/>
      <c r="VSH85" s="1185"/>
      <c r="VSI85" s="1185"/>
      <c r="VSJ85" s="1185"/>
      <c r="VSK85" s="1185"/>
      <c r="VSL85" s="1185"/>
      <c r="VSM85" s="1185"/>
      <c r="VSN85" s="1185"/>
      <c r="VSO85" s="1185"/>
      <c r="VSP85" s="1185"/>
      <c r="VSQ85" s="1185"/>
      <c r="VSR85" s="1185"/>
      <c r="VSS85" s="1185"/>
      <c r="VST85" s="1185"/>
      <c r="VSU85" s="1185"/>
      <c r="VSV85" s="1185"/>
      <c r="VSW85" s="1185"/>
      <c r="VSX85" s="1185"/>
      <c r="VSY85" s="1185"/>
      <c r="VSZ85" s="1185"/>
      <c r="VTA85" s="1185"/>
      <c r="VTB85" s="1185"/>
      <c r="VTC85" s="1185"/>
      <c r="VTD85" s="1185"/>
      <c r="VTE85" s="1185"/>
      <c r="VTF85" s="1185"/>
      <c r="VTG85" s="1185"/>
      <c r="VTH85" s="1185"/>
      <c r="VTI85" s="1185"/>
      <c r="VTJ85" s="1185"/>
      <c r="VTK85" s="1185"/>
      <c r="VTL85" s="1185"/>
      <c r="VTM85" s="1185"/>
      <c r="VTN85" s="1185"/>
      <c r="VTO85" s="1185"/>
      <c r="VTP85" s="1185"/>
      <c r="VTQ85" s="1185"/>
      <c r="VTR85" s="1185"/>
      <c r="VTS85" s="1185"/>
      <c r="VTT85" s="1185"/>
      <c r="VTU85" s="1185"/>
      <c r="VTV85" s="1185"/>
      <c r="VTW85" s="1185"/>
      <c r="VTX85" s="1185"/>
      <c r="VTY85" s="1185"/>
      <c r="VTZ85" s="1185"/>
      <c r="VUA85" s="1185"/>
      <c r="VUB85" s="1185"/>
      <c r="VUC85" s="1185"/>
      <c r="VUD85" s="1185"/>
      <c r="VUE85" s="1185"/>
      <c r="VUF85" s="1185"/>
      <c r="VUG85" s="1185"/>
      <c r="VUH85" s="1185"/>
      <c r="VUI85" s="1185"/>
      <c r="VUJ85" s="1185"/>
      <c r="VUK85" s="1185"/>
      <c r="VUL85" s="1185"/>
      <c r="VUM85" s="1185"/>
      <c r="VUN85" s="1185"/>
      <c r="VUO85" s="1185"/>
      <c r="VUP85" s="1185"/>
      <c r="VUQ85" s="1185"/>
      <c r="VUR85" s="1185"/>
      <c r="VUS85" s="1185"/>
      <c r="VUT85" s="1185"/>
      <c r="VUU85" s="1185"/>
      <c r="VUV85" s="1185"/>
      <c r="VUW85" s="1185"/>
      <c r="VUX85" s="1185"/>
      <c r="VUY85" s="1185"/>
      <c r="VUZ85" s="1185"/>
      <c r="VVA85" s="1185"/>
      <c r="VVB85" s="1185"/>
      <c r="VVC85" s="1185"/>
      <c r="VVD85" s="1185"/>
      <c r="VVE85" s="1185"/>
      <c r="VVF85" s="1185"/>
      <c r="VVG85" s="1185"/>
      <c r="VVH85" s="1185"/>
      <c r="VVI85" s="1185"/>
      <c r="VVJ85" s="1185"/>
      <c r="VVK85" s="1185"/>
      <c r="VVL85" s="1185"/>
      <c r="VVM85" s="1185"/>
      <c r="VVN85" s="1185"/>
      <c r="VVO85" s="1185"/>
      <c r="VVP85" s="1185"/>
      <c r="VVQ85" s="1185"/>
      <c r="VVR85" s="1185"/>
      <c r="VVS85" s="1185"/>
      <c r="VVT85" s="1185"/>
      <c r="VVU85" s="1185"/>
      <c r="VVV85" s="1185"/>
      <c r="VVW85" s="1185"/>
      <c r="VVX85" s="1185"/>
      <c r="VVY85" s="1185"/>
      <c r="VVZ85" s="1185"/>
      <c r="VWA85" s="1185"/>
      <c r="VWB85" s="1185"/>
      <c r="VWC85" s="1185"/>
      <c r="VWD85" s="1185"/>
      <c r="VWE85" s="1185"/>
      <c r="VWF85" s="1185"/>
      <c r="VWG85" s="1185"/>
      <c r="VWH85" s="1185"/>
      <c r="VWI85" s="1185"/>
      <c r="VWJ85" s="1185"/>
      <c r="VWK85" s="1185"/>
      <c r="VWL85" s="1185"/>
      <c r="VWM85" s="1185"/>
      <c r="VWN85" s="1185"/>
      <c r="VWO85" s="1185"/>
      <c r="VWP85" s="1185"/>
      <c r="VWQ85" s="1185"/>
      <c r="VWR85" s="1185"/>
      <c r="VWS85" s="1185"/>
      <c r="VWT85" s="1185"/>
      <c r="VWU85" s="1185"/>
      <c r="VWV85" s="1185"/>
      <c r="VWW85" s="1185"/>
      <c r="VWX85" s="1185"/>
      <c r="VWY85" s="1185"/>
      <c r="VWZ85" s="1185"/>
      <c r="VXA85" s="1185"/>
      <c r="VXB85" s="1185"/>
      <c r="VXC85" s="1185"/>
      <c r="VXD85" s="1185"/>
      <c r="VXE85" s="1185"/>
      <c r="VXF85" s="1185"/>
      <c r="VXG85" s="1185"/>
      <c r="VXH85" s="1185"/>
      <c r="VXI85" s="1185"/>
      <c r="VXJ85" s="1185"/>
      <c r="VXK85" s="1185"/>
      <c r="VXL85" s="1185"/>
      <c r="VXM85" s="1185"/>
      <c r="VXN85" s="1185"/>
      <c r="VXO85" s="1185"/>
      <c r="VXP85" s="1185"/>
      <c r="VXQ85" s="1185"/>
      <c r="VXR85" s="1185"/>
      <c r="VXS85" s="1185"/>
      <c r="VXT85" s="1185"/>
      <c r="VXU85" s="1185"/>
      <c r="VXV85" s="1185"/>
      <c r="VXW85" s="1185"/>
      <c r="VXX85" s="1185"/>
      <c r="VXY85" s="1185"/>
      <c r="VXZ85" s="1185"/>
      <c r="VYA85" s="1185"/>
      <c r="VYB85" s="1185"/>
      <c r="VYC85" s="1185"/>
      <c r="VYD85" s="1185"/>
      <c r="VYE85" s="1185"/>
      <c r="VYF85" s="1185"/>
      <c r="VYG85" s="1185"/>
      <c r="VYH85" s="1185"/>
      <c r="VYI85" s="1185"/>
      <c r="VYJ85" s="1185"/>
      <c r="VYK85" s="1185"/>
      <c r="VYL85" s="1185"/>
      <c r="VYM85" s="1185"/>
      <c r="VYN85" s="1185"/>
      <c r="VYO85" s="1185"/>
      <c r="VYP85" s="1185"/>
      <c r="VYQ85" s="1185"/>
      <c r="VYR85" s="1185"/>
      <c r="VYS85" s="1185"/>
      <c r="VYT85" s="1185"/>
      <c r="VYU85" s="1185"/>
      <c r="VYV85" s="1185"/>
      <c r="VYW85" s="1185"/>
      <c r="VYX85" s="1185"/>
      <c r="VYY85" s="1185"/>
      <c r="VYZ85" s="1185"/>
      <c r="VZA85" s="1185"/>
      <c r="VZB85" s="1185"/>
      <c r="VZC85" s="1185"/>
      <c r="VZD85" s="1185"/>
      <c r="VZE85" s="1185"/>
      <c r="VZF85" s="1185"/>
      <c r="VZG85" s="1185"/>
      <c r="VZH85" s="1185"/>
      <c r="VZI85" s="1185"/>
      <c r="VZJ85" s="1185"/>
      <c r="VZK85" s="1185"/>
      <c r="VZL85" s="1185"/>
      <c r="VZM85" s="1185"/>
      <c r="VZN85" s="1185"/>
      <c r="VZO85" s="1185"/>
      <c r="VZP85" s="1185"/>
      <c r="VZQ85" s="1185"/>
      <c r="VZR85" s="1185"/>
      <c r="VZS85" s="1185"/>
      <c r="VZT85" s="1185"/>
      <c r="VZU85" s="1185"/>
      <c r="VZV85" s="1185"/>
      <c r="VZW85" s="1185"/>
      <c r="VZX85" s="1185"/>
      <c r="VZY85" s="1185"/>
      <c r="VZZ85" s="1185"/>
      <c r="WAA85" s="1185"/>
      <c r="WAB85" s="1185"/>
      <c r="WAC85" s="1185"/>
      <c r="WAD85" s="1185"/>
      <c r="WAE85" s="1185"/>
      <c r="WAF85" s="1185"/>
      <c r="WAG85" s="1185"/>
      <c r="WAH85" s="1185"/>
      <c r="WAI85" s="1185"/>
      <c r="WAJ85" s="1185"/>
      <c r="WAK85" s="1185"/>
      <c r="WAL85" s="1185"/>
      <c r="WAM85" s="1185"/>
      <c r="WAN85" s="1185"/>
      <c r="WAO85" s="1185"/>
      <c r="WAP85" s="1185"/>
      <c r="WAQ85" s="1185"/>
      <c r="WAR85" s="1185"/>
      <c r="WAS85" s="1185"/>
      <c r="WAT85" s="1185"/>
      <c r="WAU85" s="1185"/>
      <c r="WAV85" s="1185"/>
      <c r="WAW85" s="1185"/>
      <c r="WAX85" s="1185"/>
      <c r="WAY85" s="1185"/>
      <c r="WAZ85" s="1185"/>
      <c r="WBA85" s="1185"/>
      <c r="WBB85" s="1185"/>
      <c r="WBC85" s="1185"/>
      <c r="WBD85" s="1185"/>
      <c r="WBE85" s="1185"/>
      <c r="WBF85" s="1185"/>
      <c r="WBG85" s="1185"/>
      <c r="WBH85" s="1185"/>
      <c r="WBI85" s="1185"/>
      <c r="WBJ85" s="1185"/>
      <c r="WBK85" s="1185"/>
      <c r="WBL85" s="1185"/>
      <c r="WBM85" s="1185"/>
      <c r="WBN85" s="1185"/>
      <c r="WBO85" s="1185"/>
      <c r="WBP85" s="1185"/>
      <c r="WBQ85" s="1185"/>
      <c r="WBR85" s="1185"/>
      <c r="WBS85" s="1185"/>
      <c r="WBT85" s="1185"/>
      <c r="WBU85" s="1185"/>
      <c r="WBV85" s="1185"/>
      <c r="WBW85" s="1185"/>
      <c r="WBX85" s="1185"/>
      <c r="WBY85" s="1185"/>
      <c r="WBZ85" s="1185"/>
      <c r="WCA85" s="1185"/>
      <c r="WCB85" s="1185"/>
      <c r="WCC85" s="1185"/>
      <c r="WCD85" s="1185"/>
      <c r="WCE85" s="1185"/>
      <c r="WCF85" s="1185"/>
      <c r="WCG85" s="1185"/>
      <c r="WCH85" s="1185"/>
      <c r="WCI85" s="1185"/>
      <c r="WCJ85" s="1185"/>
      <c r="WCK85" s="1185"/>
      <c r="WCL85" s="1185"/>
      <c r="WCM85" s="1185"/>
      <c r="WCN85" s="1185"/>
      <c r="WCO85" s="1185"/>
      <c r="WCP85" s="1185"/>
      <c r="WCQ85" s="1185"/>
      <c r="WCR85" s="1185"/>
      <c r="WCS85" s="1185"/>
      <c r="WCT85" s="1185"/>
      <c r="WCU85" s="1185"/>
      <c r="WCV85" s="1185"/>
      <c r="WCW85" s="1185"/>
      <c r="WCX85" s="1185"/>
      <c r="WCY85" s="1185"/>
      <c r="WCZ85" s="1185"/>
      <c r="WDA85" s="1185"/>
      <c r="WDB85" s="1185"/>
      <c r="WDC85" s="1185"/>
      <c r="WDD85" s="1185"/>
      <c r="WDE85" s="1185"/>
      <c r="WDF85" s="1185"/>
      <c r="WDG85" s="1185"/>
      <c r="WDH85" s="1185"/>
      <c r="WDI85" s="1185"/>
      <c r="WDJ85" s="1185"/>
      <c r="WDK85" s="1185"/>
      <c r="WDL85" s="1185"/>
      <c r="WDM85" s="1185"/>
      <c r="WDN85" s="1185"/>
      <c r="WDO85" s="1185"/>
      <c r="WDP85" s="1185"/>
      <c r="WDQ85" s="1185"/>
      <c r="WDR85" s="1185"/>
      <c r="WDS85" s="1185"/>
      <c r="WDT85" s="1185"/>
      <c r="WDU85" s="1185"/>
      <c r="WDV85" s="1185"/>
      <c r="WDW85" s="1185"/>
      <c r="WDX85" s="1185"/>
      <c r="WDY85" s="1185"/>
      <c r="WDZ85" s="1185"/>
      <c r="WEA85" s="1185"/>
      <c r="WEB85" s="1185"/>
      <c r="WEC85" s="1185"/>
      <c r="WED85" s="1185"/>
      <c r="WEE85" s="1185"/>
      <c r="WEF85" s="1185"/>
      <c r="WEG85" s="1185"/>
      <c r="WEH85" s="1185"/>
      <c r="WEI85" s="1185"/>
      <c r="WEJ85" s="1185"/>
      <c r="WEK85" s="1185"/>
      <c r="WEL85" s="1185"/>
      <c r="WEM85" s="1185"/>
      <c r="WEN85" s="1185"/>
      <c r="WEO85" s="1185"/>
      <c r="WEP85" s="1185"/>
      <c r="WEQ85" s="1185"/>
      <c r="WER85" s="1185"/>
      <c r="WES85" s="1185"/>
      <c r="WET85" s="1185"/>
      <c r="WEU85" s="1185"/>
      <c r="WEV85" s="1185"/>
      <c r="WEW85" s="1185"/>
      <c r="WEX85" s="1185"/>
      <c r="WEY85" s="1185"/>
      <c r="WEZ85" s="1185"/>
      <c r="WFA85" s="1185"/>
      <c r="WFB85" s="1185"/>
      <c r="WFC85" s="1185"/>
      <c r="WFD85" s="1185"/>
      <c r="WFE85" s="1185"/>
      <c r="WFF85" s="1185"/>
      <c r="WFG85" s="1185"/>
      <c r="WFH85" s="1185"/>
      <c r="WFI85" s="1185"/>
      <c r="WFJ85" s="1185"/>
      <c r="WFK85" s="1185"/>
      <c r="WFL85" s="1185"/>
      <c r="WFM85" s="1185"/>
      <c r="WFN85" s="1185"/>
      <c r="WFO85" s="1185"/>
      <c r="WFP85" s="1185"/>
      <c r="WFQ85" s="1185"/>
      <c r="WFR85" s="1185"/>
      <c r="WFS85" s="1185"/>
      <c r="WFT85" s="1185"/>
      <c r="WFU85" s="1185"/>
      <c r="WFV85" s="1185"/>
      <c r="WFW85" s="1185"/>
      <c r="WFX85" s="1185"/>
      <c r="WFY85" s="1185"/>
      <c r="WFZ85" s="1185"/>
      <c r="WGA85" s="1185"/>
      <c r="WGB85" s="1185"/>
      <c r="WGC85" s="1185"/>
      <c r="WGD85" s="1185"/>
      <c r="WGE85" s="1185"/>
      <c r="WGF85" s="1185"/>
      <c r="WGG85" s="1185"/>
      <c r="WGH85" s="1185"/>
      <c r="WGI85" s="1185"/>
      <c r="WGJ85" s="1185"/>
      <c r="WGK85" s="1185"/>
      <c r="WGL85" s="1185"/>
      <c r="WGM85" s="1185"/>
      <c r="WGN85" s="1185"/>
      <c r="WGO85" s="1185"/>
      <c r="WGP85" s="1185"/>
      <c r="WGQ85" s="1185"/>
      <c r="WGR85" s="1185"/>
      <c r="WGS85" s="1185"/>
      <c r="WGT85" s="1185"/>
      <c r="WGU85" s="1185"/>
      <c r="WGV85" s="1185"/>
      <c r="WGW85" s="1185"/>
      <c r="WGX85" s="1185"/>
      <c r="WGY85" s="1185"/>
      <c r="WGZ85" s="1185"/>
      <c r="WHA85" s="1185"/>
      <c r="WHB85" s="1185"/>
      <c r="WHC85" s="1185"/>
      <c r="WHD85" s="1185"/>
      <c r="WHE85" s="1185"/>
      <c r="WHF85" s="1185"/>
      <c r="WHG85" s="1185"/>
      <c r="WHH85" s="1185"/>
      <c r="WHI85" s="1185"/>
      <c r="WHJ85" s="1185"/>
      <c r="WHK85" s="1185"/>
      <c r="WHL85" s="1185"/>
      <c r="WHM85" s="1185"/>
      <c r="WHN85" s="1185"/>
      <c r="WHO85" s="1185"/>
      <c r="WHP85" s="1185"/>
      <c r="WHQ85" s="1185"/>
      <c r="WHR85" s="1185"/>
      <c r="WHS85" s="1185"/>
      <c r="WHT85" s="1185"/>
      <c r="WHU85" s="1185"/>
      <c r="WHV85" s="1185"/>
      <c r="WHW85" s="1185"/>
      <c r="WHX85" s="1185"/>
      <c r="WHY85" s="1185"/>
      <c r="WHZ85" s="1185"/>
      <c r="WIA85" s="1185"/>
      <c r="WIB85" s="1185"/>
      <c r="WIC85" s="1185"/>
      <c r="WID85" s="1185"/>
      <c r="WIE85" s="1185"/>
      <c r="WIF85" s="1185"/>
      <c r="WIG85" s="1185"/>
      <c r="WIH85" s="1185"/>
      <c r="WII85" s="1185"/>
      <c r="WIJ85" s="1185"/>
      <c r="WIK85" s="1185"/>
      <c r="WIL85" s="1185"/>
      <c r="WIM85" s="1185"/>
      <c r="WIN85" s="1185"/>
      <c r="WIO85" s="1185"/>
      <c r="WIP85" s="1185"/>
      <c r="WIQ85" s="1185"/>
      <c r="WIR85" s="1185"/>
      <c r="WIS85" s="1185"/>
      <c r="WIT85" s="1185"/>
      <c r="WIU85" s="1185"/>
      <c r="WIV85" s="1185"/>
      <c r="WIW85" s="1185"/>
      <c r="WIX85" s="1185"/>
      <c r="WIY85" s="1185"/>
      <c r="WIZ85" s="1185"/>
      <c r="WJA85" s="1185"/>
      <c r="WJB85" s="1185"/>
      <c r="WJC85" s="1185"/>
      <c r="WJD85" s="1185"/>
      <c r="WJE85" s="1185"/>
      <c r="WJF85" s="1185"/>
      <c r="WJG85" s="1185"/>
      <c r="WJH85" s="1185"/>
      <c r="WJI85" s="1185"/>
      <c r="WJJ85" s="1185"/>
      <c r="WJK85" s="1185"/>
      <c r="WJL85" s="1185"/>
      <c r="WJM85" s="1185"/>
      <c r="WJN85" s="1185"/>
      <c r="WJO85" s="1185"/>
      <c r="WJP85" s="1185"/>
      <c r="WJQ85" s="1185"/>
      <c r="WJR85" s="1185"/>
      <c r="WJS85" s="1185"/>
      <c r="WJT85" s="1185"/>
      <c r="WJU85" s="1185"/>
      <c r="WJV85" s="1185"/>
      <c r="WJW85" s="1185"/>
      <c r="WJX85" s="1185"/>
      <c r="WJY85" s="1185"/>
      <c r="WJZ85" s="1185"/>
      <c r="WKA85" s="1185"/>
      <c r="WKB85" s="1185"/>
      <c r="WKC85" s="1185"/>
      <c r="WKD85" s="1185"/>
      <c r="WKE85" s="1185"/>
      <c r="WKF85" s="1185"/>
      <c r="WKG85" s="1185"/>
      <c r="WKH85" s="1185"/>
      <c r="WKI85" s="1185"/>
      <c r="WKJ85" s="1185"/>
      <c r="WKK85" s="1185"/>
      <c r="WKL85" s="1185"/>
      <c r="WKM85" s="1185"/>
      <c r="WKN85" s="1185"/>
      <c r="WKO85" s="1185"/>
      <c r="WKP85" s="1185"/>
      <c r="WKQ85" s="1185"/>
      <c r="WKR85" s="1185"/>
      <c r="WKS85" s="1185"/>
      <c r="WKT85" s="1185"/>
      <c r="WKU85" s="1185"/>
      <c r="WKV85" s="1185"/>
      <c r="WKW85" s="1185"/>
      <c r="WKX85" s="1185"/>
      <c r="WKY85" s="1185"/>
      <c r="WKZ85" s="1185"/>
      <c r="WLA85" s="1185"/>
      <c r="WLB85" s="1185"/>
      <c r="WLC85" s="1185"/>
      <c r="WLD85" s="1185"/>
      <c r="WLE85" s="1185"/>
      <c r="WLF85" s="1185"/>
      <c r="WLG85" s="1185"/>
      <c r="WLH85" s="1185"/>
      <c r="WLI85" s="1185"/>
      <c r="WLJ85" s="1185"/>
      <c r="WLK85" s="1185"/>
      <c r="WLL85" s="1185"/>
      <c r="WLM85" s="1185"/>
      <c r="WLN85" s="1185"/>
      <c r="WLO85" s="1185"/>
      <c r="WLP85" s="1185"/>
      <c r="WLQ85" s="1185"/>
      <c r="WLR85" s="1185"/>
      <c r="WLS85" s="1185"/>
      <c r="WLT85" s="1185"/>
      <c r="WLU85" s="1185"/>
      <c r="WLV85" s="1185"/>
      <c r="WLW85" s="1185"/>
      <c r="WLX85" s="1185"/>
      <c r="WLY85" s="1185"/>
      <c r="WLZ85" s="1185"/>
      <c r="WMA85" s="1185"/>
      <c r="WMB85" s="1185"/>
      <c r="WMC85" s="1185"/>
      <c r="WMD85" s="1185"/>
      <c r="WME85" s="1185"/>
      <c r="WMF85" s="1185"/>
      <c r="WMG85" s="1185"/>
      <c r="WMH85" s="1185"/>
      <c r="WMI85" s="1185"/>
      <c r="WMJ85" s="1185"/>
      <c r="WMK85" s="1185"/>
      <c r="WML85" s="1185"/>
      <c r="WMM85" s="1185"/>
      <c r="WMN85" s="1185"/>
      <c r="WMO85" s="1185"/>
      <c r="WMP85" s="1185"/>
      <c r="WMQ85" s="1185"/>
      <c r="WMR85" s="1185"/>
      <c r="WMS85" s="1185"/>
      <c r="WMT85" s="1185"/>
      <c r="WMU85" s="1185"/>
      <c r="WMV85" s="1185"/>
      <c r="WMW85" s="1185"/>
      <c r="WMX85" s="1185"/>
      <c r="WMY85" s="1185"/>
      <c r="WMZ85" s="1185"/>
      <c r="WNA85" s="1185"/>
      <c r="WNB85" s="1185"/>
      <c r="WNC85" s="1185"/>
      <c r="WND85" s="1185"/>
      <c r="WNE85" s="1185"/>
      <c r="WNF85" s="1185"/>
      <c r="WNG85" s="1185"/>
      <c r="WNH85" s="1185"/>
      <c r="WNI85" s="1185"/>
      <c r="WNJ85" s="1185"/>
      <c r="WNK85" s="1185"/>
      <c r="WNL85" s="1185"/>
      <c r="WNM85" s="1185"/>
      <c r="WNN85" s="1185"/>
      <c r="WNO85" s="1185"/>
      <c r="WNP85" s="1185"/>
      <c r="WNQ85" s="1185"/>
      <c r="WNR85" s="1185"/>
      <c r="WNS85" s="1185"/>
      <c r="WNT85" s="1185"/>
      <c r="WNU85" s="1185"/>
      <c r="WNV85" s="1185"/>
      <c r="WNW85" s="1185"/>
      <c r="WNX85" s="1185"/>
      <c r="WNY85" s="1185"/>
      <c r="WNZ85" s="1185"/>
      <c r="WOA85" s="1185"/>
      <c r="WOB85" s="1185"/>
      <c r="WOC85" s="1185"/>
      <c r="WOD85" s="1185"/>
      <c r="WOE85" s="1185"/>
      <c r="WOF85" s="1185"/>
      <c r="WOG85" s="1185"/>
      <c r="WOH85" s="1185"/>
      <c r="WOI85" s="1185"/>
      <c r="WOJ85" s="1185"/>
      <c r="WOK85" s="1185"/>
      <c r="WOL85" s="1185"/>
      <c r="WOM85" s="1185"/>
      <c r="WON85" s="1185"/>
      <c r="WOO85" s="1185"/>
      <c r="WOP85" s="1185"/>
      <c r="WOQ85" s="1185"/>
      <c r="WOR85" s="1185"/>
      <c r="WOS85" s="1185"/>
      <c r="WOT85" s="1185"/>
      <c r="WOU85" s="1185"/>
      <c r="WOV85" s="1185"/>
      <c r="WOW85" s="1185"/>
      <c r="WOX85" s="1185"/>
      <c r="WOY85" s="1185"/>
      <c r="WOZ85" s="1185"/>
      <c r="WPA85" s="1185"/>
      <c r="WPB85" s="1185"/>
      <c r="WPC85" s="1185"/>
      <c r="WPD85" s="1185"/>
      <c r="WPE85" s="1185"/>
      <c r="WPF85" s="1185"/>
      <c r="WPG85" s="1185"/>
      <c r="WPH85" s="1185"/>
      <c r="WPI85" s="1185"/>
      <c r="WPJ85" s="1185"/>
      <c r="WPK85" s="1185"/>
      <c r="WPL85" s="1185"/>
      <c r="WPM85" s="1185"/>
      <c r="WPN85" s="1185"/>
      <c r="WPO85" s="1185"/>
      <c r="WPP85" s="1185"/>
      <c r="WPQ85" s="1185"/>
      <c r="WPR85" s="1185"/>
      <c r="WPS85" s="1185"/>
      <c r="WPT85" s="1185"/>
      <c r="WPU85" s="1185"/>
      <c r="WPV85" s="1185"/>
      <c r="WPW85" s="1185"/>
      <c r="WPX85" s="1185"/>
      <c r="WPY85" s="1185"/>
      <c r="WPZ85" s="1185"/>
      <c r="WQA85" s="1185"/>
      <c r="WQB85" s="1185"/>
      <c r="WQC85" s="1185"/>
      <c r="WQD85" s="1185"/>
      <c r="WQE85" s="1185"/>
      <c r="WQF85" s="1185"/>
      <c r="WQG85" s="1185"/>
      <c r="WQH85" s="1185"/>
      <c r="WQI85" s="1185"/>
      <c r="WQJ85" s="1185"/>
      <c r="WQK85" s="1185"/>
      <c r="WQL85" s="1185"/>
      <c r="WQM85" s="1185"/>
      <c r="WQN85" s="1185"/>
      <c r="WQO85" s="1185"/>
      <c r="WQP85" s="1185"/>
      <c r="WQQ85" s="1185"/>
      <c r="WQR85" s="1185"/>
      <c r="WQS85" s="1185"/>
      <c r="WQT85" s="1185"/>
      <c r="WQU85" s="1185"/>
      <c r="WQV85" s="1185"/>
      <c r="WQW85" s="1185"/>
      <c r="WQX85" s="1185"/>
      <c r="WQY85" s="1185"/>
      <c r="WQZ85" s="1185"/>
      <c r="WRA85" s="1185"/>
      <c r="WRB85" s="1185"/>
      <c r="WRC85" s="1185"/>
      <c r="WRD85" s="1185"/>
      <c r="WRE85" s="1185"/>
      <c r="WRF85" s="1185"/>
      <c r="WRG85" s="1185"/>
      <c r="WRH85" s="1185"/>
      <c r="WRI85" s="1185"/>
      <c r="WRJ85" s="1185"/>
      <c r="WRK85" s="1185"/>
      <c r="WRL85" s="1185"/>
      <c r="WRM85" s="1185"/>
      <c r="WRN85" s="1185"/>
      <c r="WRO85" s="1185"/>
      <c r="WRP85" s="1185"/>
      <c r="WRQ85" s="1185"/>
      <c r="WRR85" s="1185"/>
      <c r="WRS85" s="1185"/>
      <c r="WRT85" s="1185"/>
      <c r="WRU85" s="1185"/>
      <c r="WRV85" s="1185"/>
      <c r="WRW85" s="1185"/>
      <c r="WRX85" s="1185"/>
      <c r="WRY85" s="1185"/>
      <c r="WRZ85" s="1185"/>
      <c r="WSA85" s="1185"/>
      <c r="WSB85" s="1185"/>
      <c r="WSC85" s="1185"/>
      <c r="WSD85" s="1185"/>
      <c r="WSE85" s="1185"/>
      <c r="WSF85" s="1185"/>
      <c r="WSG85" s="1185"/>
      <c r="WSH85" s="1185"/>
      <c r="WSI85" s="1185"/>
      <c r="WSJ85" s="1185"/>
      <c r="WSK85" s="1185"/>
      <c r="WSL85" s="1185"/>
      <c r="WSM85" s="1185"/>
      <c r="WSN85" s="1185"/>
      <c r="WSO85" s="1185"/>
      <c r="WSP85" s="1185"/>
      <c r="WSQ85" s="1185"/>
      <c r="WSR85" s="1185"/>
      <c r="WSS85" s="1185"/>
      <c r="WST85" s="1185"/>
      <c r="WSU85" s="1185"/>
      <c r="WSV85" s="1185"/>
      <c r="WSW85" s="1185"/>
      <c r="WSX85" s="1185"/>
      <c r="WSY85" s="1185"/>
      <c r="WSZ85" s="1185"/>
      <c r="WTA85" s="1185"/>
      <c r="WTB85" s="1185"/>
      <c r="WTC85" s="1185"/>
      <c r="WTD85" s="1185"/>
      <c r="WTE85" s="1185"/>
      <c r="WTF85" s="1185"/>
      <c r="WTG85" s="1185"/>
      <c r="WTH85" s="1185"/>
      <c r="WTI85" s="1185"/>
      <c r="WTJ85" s="1185"/>
      <c r="WTK85" s="1185"/>
      <c r="WTL85" s="1185"/>
      <c r="WTM85" s="1185"/>
      <c r="WTN85" s="1185"/>
      <c r="WTO85" s="1185"/>
      <c r="WTP85" s="1185"/>
      <c r="WTQ85" s="1185"/>
      <c r="WTR85" s="1185"/>
      <c r="WTS85" s="1185"/>
      <c r="WTT85" s="1185"/>
      <c r="WTU85" s="1185"/>
      <c r="WTV85" s="1185"/>
      <c r="WTW85" s="1185"/>
      <c r="WTX85" s="1185"/>
      <c r="WTY85" s="1185"/>
      <c r="WTZ85" s="1185"/>
      <c r="WUA85" s="1185"/>
      <c r="WUB85" s="1185"/>
      <c r="WUC85" s="1185"/>
      <c r="WUD85" s="1185"/>
      <c r="WUE85" s="1185"/>
      <c r="WUF85" s="1185"/>
      <c r="WUG85" s="1185"/>
      <c r="WUH85" s="1185"/>
      <c r="WUI85" s="1185"/>
      <c r="WUJ85" s="1185"/>
      <c r="WUK85" s="1185"/>
      <c r="WUL85" s="1185"/>
      <c r="WUM85" s="1185"/>
      <c r="WUN85" s="1185"/>
      <c r="WUO85" s="1185"/>
      <c r="WUP85" s="1185"/>
      <c r="WUQ85" s="1185"/>
      <c r="WUR85" s="1185"/>
      <c r="WUS85" s="1185"/>
      <c r="WUT85" s="1185"/>
      <c r="WUU85" s="1185"/>
      <c r="WUV85" s="1185"/>
      <c r="WUW85" s="1185"/>
      <c r="WUX85" s="1185"/>
      <c r="WUY85" s="1185"/>
      <c r="WUZ85" s="1185"/>
      <c r="WVA85" s="1185"/>
      <c r="WVB85" s="1185"/>
      <c r="WVC85" s="1185"/>
      <c r="WVD85" s="1185"/>
      <c r="WVE85" s="1185"/>
      <c r="WVF85" s="1185"/>
      <c r="WVG85" s="1185"/>
      <c r="WVH85" s="1185"/>
      <c r="WVI85" s="1185"/>
      <c r="WVJ85" s="1185"/>
      <c r="WVK85" s="1185"/>
      <c r="WVL85" s="1185"/>
      <c r="WVM85" s="1185"/>
      <c r="WVN85" s="1185"/>
      <c r="WVO85" s="1185"/>
      <c r="WVP85" s="1185"/>
      <c r="WVQ85" s="1185"/>
      <c r="WVR85" s="1185"/>
      <c r="WVS85" s="1185"/>
      <c r="WVT85" s="1185"/>
      <c r="WVU85" s="1185"/>
      <c r="WVV85" s="1185"/>
      <c r="WVW85" s="1185"/>
      <c r="WVX85" s="1185"/>
      <c r="WVY85" s="1185"/>
      <c r="WVZ85" s="1185"/>
      <c r="WWA85" s="1185"/>
      <c r="WWB85" s="1185"/>
      <c r="WWC85" s="1185"/>
      <c r="WWD85" s="1185"/>
      <c r="WWE85" s="1185"/>
      <c r="WWF85" s="1185"/>
      <c r="WWG85" s="1185"/>
      <c r="WWH85" s="1185"/>
      <c r="WWI85" s="1185"/>
      <c r="WWJ85" s="1185"/>
      <c r="WWK85" s="1185"/>
      <c r="WWL85" s="1185"/>
      <c r="WWM85" s="1185"/>
      <c r="WWN85" s="1185"/>
      <c r="WWO85" s="1185"/>
      <c r="WWP85" s="1185"/>
      <c r="WWQ85" s="1185"/>
      <c r="WWR85" s="1185"/>
      <c r="WWS85" s="1185"/>
      <c r="WWT85" s="1185"/>
      <c r="WWU85" s="1185"/>
      <c r="WWV85" s="1185"/>
      <c r="WWW85" s="1185"/>
      <c r="WWX85" s="1185"/>
      <c r="WWY85" s="1185"/>
      <c r="WWZ85" s="1185"/>
      <c r="WXA85" s="1185"/>
      <c r="WXB85" s="1185"/>
      <c r="WXC85" s="1185"/>
      <c r="WXD85" s="1185"/>
      <c r="WXE85" s="1185"/>
      <c r="WXF85" s="1185"/>
      <c r="WXG85" s="1185"/>
      <c r="WXH85" s="1185"/>
      <c r="WXI85" s="1185"/>
      <c r="WXJ85" s="1185"/>
      <c r="WXK85" s="1185"/>
      <c r="WXL85" s="1185"/>
      <c r="WXM85" s="1185"/>
      <c r="WXN85" s="1185"/>
      <c r="WXO85" s="1185"/>
      <c r="WXP85" s="1185"/>
      <c r="WXQ85" s="1185"/>
      <c r="WXR85" s="1185"/>
      <c r="WXS85" s="1185"/>
      <c r="WXT85" s="1185"/>
      <c r="WXU85" s="1185"/>
      <c r="WXV85" s="1185"/>
      <c r="WXW85" s="1185"/>
      <c r="WXX85" s="1185"/>
      <c r="WXY85" s="1185"/>
      <c r="WXZ85" s="1185"/>
      <c r="WYA85" s="1185"/>
      <c r="WYB85" s="1185"/>
      <c r="WYC85" s="1185"/>
      <c r="WYD85" s="1185"/>
      <c r="WYE85" s="1185"/>
      <c r="WYF85" s="1185"/>
      <c r="WYG85" s="1185"/>
      <c r="WYH85" s="1185"/>
      <c r="WYI85" s="1185"/>
      <c r="WYJ85" s="1185"/>
      <c r="WYK85" s="1185"/>
      <c r="WYL85" s="1185"/>
      <c r="WYM85" s="1185"/>
      <c r="WYN85" s="1185"/>
      <c r="WYO85" s="1185"/>
      <c r="WYP85" s="1185"/>
      <c r="WYQ85" s="1185"/>
      <c r="WYR85" s="1185"/>
      <c r="WYS85" s="1185"/>
      <c r="WYT85" s="1185"/>
      <c r="WYU85" s="1185"/>
      <c r="WYV85" s="1185"/>
      <c r="WYW85" s="1185"/>
      <c r="WYX85" s="1185"/>
      <c r="WYY85" s="1185"/>
      <c r="WYZ85" s="1185"/>
      <c r="WZA85" s="1185"/>
      <c r="WZB85" s="1185"/>
      <c r="WZC85" s="1185"/>
      <c r="WZD85" s="1185"/>
      <c r="WZE85" s="1185"/>
      <c r="WZF85" s="1185"/>
      <c r="WZG85" s="1185"/>
      <c r="WZH85" s="1185"/>
      <c r="WZI85" s="1185"/>
      <c r="WZJ85" s="1185"/>
      <c r="WZK85" s="1185"/>
      <c r="WZL85" s="1185"/>
      <c r="WZM85" s="1185"/>
      <c r="WZN85" s="1185"/>
      <c r="WZO85" s="1185"/>
      <c r="WZP85" s="1185"/>
      <c r="WZQ85" s="1185"/>
      <c r="WZR85" s="1185"/>
      <c r="WZS85" s="1185"/>
      <c r="WZT85" s="1185"/>
      <c r="WZU85" s="1185"/>
      <c r="WZV85" s="1185"/>
      <c r="WZW85" s="1185"/>
      <c r="WZX85" s="1185"/>
      <c r="WZY85" s="1185"/>
      <c r="WZZ85" s="1185"/>
      <c r="XAA85" s="1185"/>
      <c r="XAB85" s="1185"/>
      <c r="XAC85" s="1185"/>
      <c r="XAD85" s="1185"/>
      <c r="XAE85" s="1185"/>
      <c r="XAF85" s="1185"/>
      <c r="XAG85" s="1185"/>
      <c r="XAH85" s="1185"/>
      <c r="XAI85" s="1185"/>
      <c r="XAJ85" s="1185"/>
      <c r="XAK85" s="1185"/>
      <c r="XAL85" s="1185"/>
      <c r="XAM85" s="1185"/>
      <c r="XAN85" s="1185"/>
      <c r="XAO85" s="1185"/>
      <c r="XAP85" s="1185"/>
      <c r="XAQ85" s="1185"/>
      <c r="XAR85" s="1185"/>
      <c r="XAS85" s="1185"/>
      <c r="XAT85" s="1185"/>
      <c r="XAU85" s="1185"/>
      <c r="XAV85" s="1185"/>
      <c r="XAW85" s="1185"/>
      <c r="XAX85" s="1185"/>
      <c r="XAY85" s="1185"/>
      <c r="XAZ85" s="1185"/>
      <c r="XBA85" s="1185"/>
      <c r="XBB85" s="1185"/>
      <c r="XBC85" s="1185"/>
      <c r="XBD85" s="1185"/>
      <c r="XBE85" s="1185"/>
      <c r="XBF85" s="1185"/>
      <c r="XBG85" s="1185"/>
      <c r="XBH85" s="1185"/>
      <c r="XBI85" s="1185"/>
      <c r="XBJ85" s="1185"/>
      <c r="XBK85" s="1185"/>
      <c r="XBL85" s="1185"/>
      <c r="XBM85" s="1185"/>
      <c r="XBN85" s="1185"/>
      <c r="XBO85" s="1185"/>
      <c r="XBP85" s="1185"/>
      <c r="XBQ85" s="1185"/>
      <c r="XBR85" s="1185"/>
      <c r="XBS85" s="1185"/>
      <c r="XBT85" s="1185"/>
      <c r="XBU85" s="1185"/>
      <c r="XBV85" s="1185"/>
      <c r="XBW85" s="1185"/>
      <c r="XBX85" s="1185"/>
      <c r="XBY85" s="1185"/>
      <c r="XBZ85" s="1185"/>
      <c r="XCA85" s="1185"/>
      <c r="XCB85" s="1185"/>
      <c r="XCC85" s="1185"/>
      <c r="XCD85" s="1185"/>
      <c r="XCE85" s="1185"/>
      <c r="XCF85" s="1185"/>
      <c r="XCG85" s="1185"/>
      <c r="XCH85" s="1185"/>
      <c r="XCI85" s="1185"/>
      <c r="XCJ85" s="1185"/>
      <c r="XCK85" s="1185"/>
      <c r="XCL85" s="1185"/>
      <c r="XCM85" s="1185"/>
    </row>
    <row r="86" spans="1:16315" s="1186" customFormat="1" ht="23" customHeight="1">
      <c r="B86" s="2144" t="s">
        <v>1460</v>
      </c>
      <c r="C86" s="2145"/>
      <c r="D86" s="2145"/>
      <c r="E86" s="2145"/>
      <c r="F86" s="2145"/>
      <c r="G86" s="2145"/>
      <c r="H86" s="2146"/>
      <c r="I86" s="1195"/>
    </row>
    <row r="87" spans="1:16315" s="1186" customFormat="1" ht="23" customHeight="1">
      <c r="B87" s="1248" t="s">
        <v>1461</v>
      </c>
      <c r="C87" s="1246"/>
      <c r="D87" s="1246"/>
      <c r="E87" s="1246"/>
      <c r="F87" s="1246"/>
      <c r="G87" s="1246"/>
      <c r="H87" s="1247"/>
      <c r="I87" s="1195"/>
    </row>
    <row r="88" spans="1:16315" s="1186" customFormat="1" ht="6.75" customHeight="1">
      <c r="B88" s="1245"/>
      <c r="C88" s="1246"/>
      <c r="D88" s="1246"/>
      <c r="E88" s="1246"/>
      <c r="F88" s="1246"/>
      <c r="G88" s="1246"/>
      <c r="H88" s="1247"/>
      <c r="I88" s="1195"/>
    </row>
    <row r="89" spans="1:16315" s="1186" customFormat="1" ht="23" customHeight="1" thickBot="1">
      <c r="B89" s="2137" t="s">
        <v>1462</v>
      </c>
      <c r="C89" s="2138"/>
      <c r="D89" s="2138"/>
      <c r="E89" s="2138"/>
      <c r="F89" s="2138"/>
      <c r="G89" s="2138"/>
      <c r="H89" s="2139"/>
      <c r="I89" s="1195"/>
    </row>
    <row r="90" spans="1:16315" s="1186" customFormat="1" ht="9" customHeight="1" thickBot="1">
      <c r="A90" s="1249"/>
      <c r="B90" s="2140"/>
      <c r="C90" s="2140"/>
      <c r="D90" s="2140"/>
      <c r="E90" s="2140"/>
      <c r="F90" s="2140"/>
      <c r="G90" s="2140"/>
      <c r="H90" s="2140"/>
      <c r="I90" s="1242"/>
    </row>
    <row r="91" spans="1:16315" s="1186" customFormat="1" ht="10.25" customHeight="1">
      <c r="B91" s="1192"/>
      <c r="C91" s="1193"/>
      <c r="D91" s="1193"/>
      <c r="E91" s="1194"/>
    </row>
    <row r="92" spans="1:16315" s="1186" customFormat="1">
      <c r="B92" s="1192"/>
      <c r="C92" s="1193"/>
      <c r="D92" s="1193"/>
      <c r="E92" s="1194"/>
    </row>
    <row r="93" spans="1:16315" s="1186" customFormat="1">
      <c r="B93" s="1192"/>
      <c r="C93" s="1193"/>
      <c r="D93" s="1193"/>
      <c r="E93" s="1194"/>
    </row>
    <row r="94" spans="1:16315" s="1186" customFormat="1">
      <c r="B94" s="1192"/>
      <c r="C94" s="1193"/>
      <c r="D94" s="1193"/>
      <c r="E94" s="1194"/>
    </row>
    <row r="95" spans="1:16315" s="1186" customFormat="1">
      <c r="B95" s="1192"/>
      <c r="C95" s="1193"/>
      <c r="D95" s="1193"/>
      <c r="E95" s="1194"/>
    </row>
    <row r="96" spans="1:16315" s="1186" customFormat="1">
      <c r="B96" s="1192"/>
      <c r="C96" s="1193"/>
      <c r="D96" s="1193"/>
      <c r="E96" s="1194"/>
    </row>
    <row r="97" spans="2:5" s="1186" customFormat="1">
      <c r="B97" s="1192"/>
      <c r="C97" s="1193"/>
      <c r="D97" s="1193"/>
      <c r="E97" s="1194"/>
    </row>
    <row r="98" spans="2:5" s="1186" customFormat="1">
      <c r="B98" s="1192"/>
      <c r="C98" s="1193"/>
      <c r="D98" s="1193"/>
      <c r="E98" s="1194"/>
    </row>
    <row r="99" spans="2:5" s="1186" customFormat="1">
      <c r="B99" s="1192"/>
      <c r="C99" s="1193"/>
      <c r="D99" s="1193"/>
      <c r="E99" s="1194"/>
    </row>
    <row r="100" spans="2:5" s="1186" customFormat="1">
      <c r="B100" s="1192"/>
      <c r="C100" s="1193"/>
      <c r="D100" s="1193"/>
      <c r="E100" s="1194"/>
    </row>
    <row r="101" spans="2:5" s="1186" customFormat="1">
      <c r="B101" s="1192"/>
      <c r="C101" s="1193"/>
      <c r="D101" s="1193"/>
      <c r="E101" s="1194"/>
    </row>
    <row r="102" spans="2:5" s="1186" customFormat="1">
      <c r="B102" s="1192"/>
      <c r="C102" s="1193"/>
      <c r="D102" s="1193"/>
      <c r="E102" s="1194"/>
    </row>
    <row r="103" spans="2:5" s="1186" customFormat="1">
      <c r="B103" s="1192"/>
      <c r="C103" s="1193"/>
      <c r="D103" s="1193"/>
      <c r="E103" s="1194"/>
    </row>
    <row r="104" spans="2:5" s="1186" customFormat="1">
      <c r="B104" s="1192"/>
      <c r="C104" s="1193"/>
      <c r="D104" s="1193"/>
      <c r="E104" s="1194"/>
    </row>
    <row r="105" spans="2:5" s="1186" customFormat="1">
      <c r="B105" s="1192"/>
      <c r="C105" s="1193"/>
      <c r="D105" s="1193"/>
      <c r="E105" s="1194"/>
    </row>
    <row r="106" spans="2:5" s="1186" customFormat="1">
      <c r="B106" s="1192"/>
      <c r="C106" s="1193"/>
      <c r="D106" s="1193"/>
      <c r="E106" s="1194"/>
    </row>
    <row r="107" spans="2:5" s="1186" customFormat="1">
      <c r="B107" s="1192"/>
      <c r="C107" s="1193"/>
      <c r="D107" s="1193"/>
      <c r="E107" s="1194"/>
    </row>
    <row r="108" spans="2:5" s="1186" customFormat="1">
      <c r="B108" s="1192"/>
      <c r="C108" s="1193"/>
      <c r="D108" s="1193"/>
      <c r="E108" s="1194"/>
    </row>
    <row r="109" spans="2:5" s="1186" customFormat="1">
      <c r="B109" s="1192"/>
      <c r="C109" s="1193"/>
      <c r="D109" s="1193"/>
      <c r="E109" s="1194"/>
    </row>
    <row r="110" spans="2:5" s="1186" customFormat="1">
      <c r="B110" s="1192"/>
      <c r="C110" s="1193"/>
      <c r="D110" s="1193"/>
      <c r="E110" s="1194"/>
    </row>
    <row r="111" spans="2:5" s="1186" customFormat="1">
      <c r="B111" s="1192"/>
      <c r="C111" s="1193"/>
      <c r="D111" s="1193"/>
      <c r="E111" s="1194"/>
    </row>
    <row r="112" spans="2:5" s="1186" customFormat="1">
      <c r="B112" s="1192"/>
      <c r="C112" s="1193"/>
      <c r="D112" s="1193"/>
      <c r="E112" s="1194"/>
    </row>
    <row r="113" spans="2:5" s="1186" customFormat="1">
      <c r="B113" s="1192"/>
      <c r="C113" s="1193"/>
      <c r="D113" s="1193"/>
      <c r="E113" s="1194"/>
    </row>
    <row r="114" spans="2:5" s="1186" customFormat="1">
      <c r="B114" s="1192"/>
      <c r="C114" s="1193"/>
      <c r="D114" s="1193"/>
      <c r="E114" s="1194"/>
    </row>
    <row r="115" spans="2:5" s="1186" customFormat="1">
      <c r="B115" s="1192"/>
      <c r="C115" s="1193"/>
      <c r="D115" s="1193"/>
      <c r="E115" s="1194"/>
    </row>
    <row r="116" spans="2:5" s="1186" customFormat="1">
      <c r="B116" s="1192"/>
      <c r="C116" s="1193"/>
      <c r="D116" s="1193"/>
      <c r="E116" s="1194"/>
    </row>
    <row r="117" spans="2:5" s="1186" customFormat="1">
      <c r="B117" s="1192"/>
      <c r="C117" s="1193"/>
      <c r="D117" s="1193"/>
      <c r="E117" s="1194"/>
    </row>
    <row r="118" spans="2:5" s="1186" customFormat="1">
      <c r="B118" s="1192"/>
      <c r="C118" s="1193"/>
      <c r="D118" s="1193"/>
      <c r="E118" s="1194"/>
    </row>
    <row r="119" spans="2:5" s="1186" customFormat="1">
      <c r="B119" s="1192"/>
      <c r="C119" s="1193"/>
      <c r="D119" s="1193"/>
      <c r="E119" s="1194"/>
    </row>
    <row r="120" spans="2:5" s="1186" customFormat="1">
      <c r="B120" s="1192"/>
      <c r="C120" s="1193"/>
      <c r="D120" s="1193"/>
      <c r="E120" s="1194"/>
    </row>
    <row r="121" spans="2:5" s="1186" customFormat="1">
      <c r="B121" s="1192"/>
      <c r="C121" s="1193"/>
      <c r="D121" s="1193"/>
      <c r="E121" s="1194"/>
    </row>
    <row r="122" spans="2:5" s="1186" customFormat="1">
      <c r="B122" s="1192"/>
      <c r="C122" s="1193"/>
      <c r="D122" s="1193"/>
      <c r="E122" s="1194"/>
    </row>
    <row r="123" spans="2:5" s="1186" customFormat="1">
      <c r="B123" s="1192"/>
      <c r="C123" s="1193"/>
      <c r="D123" s="1193"/>
      <c r="E123" s="1194"/>
    </row>
    <row r="124" spans="2:5" s="1186" customFormat="1">
      <c r="B124" s="1192"/>
      <c r="C124" s="1193"/>
      <c r="D124" s="1193"/>
      <c r="E124" s="1194"/>
    </row>
    <row r="125" spans="2:5" s="1186" customFormat="1">
      <c r="B125" s="1192"/>
      <c r="C125" s="1193"/>
      <c r="D125" s="1193"/>
      <c r="E125" s="1194"/>
    </row>
    <row r="126" spans="2:5" s="1186" customFormat="1">
      <c r="B126" s="1192"/>
      <c r="C126" s="1193"/>
      <c r="D126" s="1193"/>
      <c r="E126" s="1194"/>
    </row>
    <row r="127" spans="2:5" s="1186" customFormat="1">
      <c r="B127" s="1192"/>
      <c r="C127" s="1193"/>
      <c r="D127" s="1193"/>
      <c r="E127" s="1194"/>
    </row>
    <row r="128" spans="2:5" s="1186" customFormat="1">
      <c r="B128" s="1192"/>
      <c r="C128" s="1193"/>
      <c r="D128" s="1193"/>
      <c r="E128" s="1194"/>
    </row>
    <row r="129" spans="2:5" s="1186" customFormat="1">
      <c r="B129" s="1192"/>
      <c r="C129" s="1193"/>
      <c r="D129" s="1193"/>
      <c r="E129" s="1194"/>
    </row>
    <row r="130" spans="2:5" s="1186" customFormat="1">
      <c r="B130" s="1192"/>
      <c r="C130" s="1193"/>
      <c r="D130" s="1193"/>
      <c r="E130" s="1194"/>
    </row>
    <row r="131" spans="2:5" s="1186" customFormat="1">
      <c r="B131" s="1192"/>
      <c r="C131" s="1193"/>
      <c r="D131" s="1193"/>
      <c r="E131" s="1194"/>
    </row>
    <row r="132" spans="2:5" s="1186" customFormat="1">
      <c r="B132" s="1192"/>
      <c r="C132" s="1193"/>
      <c r="D132" s="1193"/>
      <c r="E132" s="1194"/>
    </row>
    <row r="133" spans="2:5" s="1186" customFormat="1">
      <c r="B133" s="1192"/>
      <c r="C133" s="1193"/>
      <c r="D133" s="1193"/>
      <c r="E133" s="1194"/>
    </row>
    <row r="134" spans="2:5" s="1186" customFormat="1">
      <c r="B134" s="1192"/>
      <c r="C134" s="1193"/>
      <c r="D134" s="1193"/>
      <c r="E134" s="1194"/>
    </row>
    <row r="135" spans="2:5" s="1186" customFormat="1">
      <c r="B135" s="1192"/>
      <c r="C135" s="1193"/>
      <c r="D135" s="1193"/>
      <c r="E135" s="1194"/>
    </row>
    <row r="136" spans="2:5" s="1186" customFormat="1">
      <c r="B136" s="1192"/>
      <c r="C136" s="1193"/>
      <c r="D136" s="1193"/>
      <c r="E136" s="1194"/>
    </row>
    <row r="137" spans="2:5" s="1186" customFormat="1">
      <c r="B137" s="1192"/>
      <c r="C137" s="1193"/>
      <c r="D137" s="1193"/>
      <c r="E137" s="1194"/>
    </row>
    <row r="138" spans="2:5" s="1186" customFormat="1">
      <c r="B138" s="1192"/>
      <c r="C138" s="1193"/>
      <c r="D138" s="1193"/>
      <c r="E138" s="1194"/>
    </row>
    <row r="139" spans="2:5" s="1186" customFormat="1">
      <c r="B139" s="1192"/>
      <c r="C139" s="1193"/>
      <c r="D139" s="1193"/>
      <c r="E139" s="1194"/>
    </row>
    <row r="140" spans="2:5" s="1186" customFormat="1">
      <c r="B140" s="1192"/>
      <c r="C140" s="1193"/>
      <c r="D140" s="1193"/>
      <c r="E140" s="1194"/>
    </row>
    <row r="141" spans="2:5" s="1186" customFormat="1">
      <c r="B141" s="1192"/>
      <c r="C141" s="1193"/>
      <c r="D141" s="1193"/>
      <c r="E141" s="1194"/>
    </row>
    <row r="142" spans="2:5" s="1186" customFormat="1">
      <c r="B142" s="1192"/>
      <c r="C142" s="1193"/>
      <c r="D142" s="1193"/>
      <c r="E142" s="1194"/>
    </row>
    <row r="143" spans="2:5" s="1186" customFormat="1">
      <c r="B143" s="1192"/>
      <c r="C143" s="1193"/>
      <c r="D143" s="1193"/>
      <c r="E143" s="1194"/>
    </row>
    <row r="144" spans="2:5" s="1186" customFormat="1">
      <c r="B144" s="1192"/>
      <c r="C144" s="1193"/>
      <c r="D144" s="1193"/>
      <c r="E144" s="1194"/>
    </row>
    <row r="145" spans="2:5" s="1186" customFormat="1">
      <c r="B145" s="1192"/>
      <c r="C145" s="1193"/>
      <c r="D145" s="1193"/>
      <c r="E145" s="1194"/>
    </row>
    <row r="146" spans="2:5" s="1186" customFormat="1">
      <c r="B146" s="1192"/>
      <c r="C146" s="1193"/>
      <c r="D146" s="1193"/>
      <c r="E146" s="1194"/>
    </row>
    <row r="147" spans="2:5" s="1186" customFormat="1">
      <c r="B147" s="1192"/>
      <c r="C147" s="1193"/>
      <c r="D147" s="1193"/>
      <c r="E147" s="1194"/>
    </row>
    <row r="148" spans="2:5" s="1186" customFormat="1">
      <c r="B148" s="1192"/>
      <c r="C148" s="1193"/>
      <c r="D148" s="1193"/>
      <c r="E148" s="1194"/>
    </row>
    <row r="149" spans="2:5" s="1186" customFormat="1">
      <c r="B149" s="1192"/>
      <c r="C149" s="1193"/>
      <c r="D149" s="1193"/>
      <c r="E149" s="1194"/>
    </row>
    <row r="150" spans="2:5" s="1186" customFormat="1">
      <c r="B150" s="1192"/>
      <c r="C150" s="1193"/>
      <c r="D150" s="1193"/>
      <c r="E150" s="1194"/>
    </row>
    <row r="151" spans="2:5" s="1186" customFormat="1">
      <c r="B151" s="1192"/>
      <c r="C151" s="1193"/>
      <c r="D151" s="1193"/>
      <c r="E151" s="1194"/>
    </row>
    <row r="152" spans="2:5" s="1186" customFormat="1">
      <c r="B152" s="1192"/>
      <c r="C152" s="1193"/>
      <c r="D152" s="1193"/>
      <c r="E152" s="1194"/>
    </row>
    <row r="153" spans="2:5" s="1186" customFormat="1">
      <c r="B153" s="1192"/>
      <c r="C153" s="1193"/>
      <c r="D153" s="1193"/>
      <c r="E153" s="1194"/>
    </row>
    <row r="154" spans="2:5" s="1186" customFormat="1">
      <c r="B154" s="1192"/>
      <c r="C154" s="1193"/>
      <c r="D154" s="1193"/>
      <c r="E154" s="1194"/>
    </row>
    <row r="155" spans="2:5" s="1186" customFormat="1">
      <c r="B155" s="1192"/>
      <c r="C155" s="1193"/>
      <c r="D155" s="1193"/>
      <c r="E155" s="1194"/>
    </row>
    <row r="156" spans="2:5" s="1186" customFormat="1">
      <c r="B156" s="1192"/>
      <c r="C156" s="1193"/>
      <c r="D156" s="1193"/>
      <c r="E156" s="1194"/>
    </row>
    <row r="157" spans="2:5" s="1186" customFormat="1">
      <c r="B157" s="1192"/>
      <c r="C157" s="1193"/>
      <c r="D157" s="1193"/>
      <c r="E157" s="1194"/>
    </row>
    <row r="158" spans="2:5" s="1186" customFormat="1">
      <c r="B158" s="1192"/>
      <c r="C158" s="1193"/>
      <c r="D158" s="1193"/>
      <c r="E158" s="1194"/>
    </row>
    <row r="159" spans="2:5" s="1186" customFormat="1">
      <c r="B159" s="1192"/>
      <c r="C159" s="1193"/>
      <c r="D159" s="1193"/>
      <c r="E159" s="1194"/>
    </row>
    <row r="160" spans="2:5" s="1186" customFormat="1">
      <c r="B160" s="1192"/>
      <c r="C160" s="1193"/>
      <c r="D160" s="1193"/>
      <c r="E160" s="1194"/>
    </row>
    <row r="161" spans="2:5" s="1186" customFormat="1">
      <c r="B161" s="1192"/>
      <c r="C161" s="1193"/>
      <c r="D161" s="1193"/>
      <c r="E161" s="1194"/>
    </row>
    <row r="162" spans="2:5" s="1186" customFormat="1">
      <c r="B162" s="1192"/>
      <c r="C162" s="1193"/>
      <c r="D162" s="1193"/>
      <c r="E162" s="1194"/>
    </row>
    <row r="163" spans="2:5" s="1186" customFormat="1">
      <c r="B163" s="1192"/>
      <c r="C163" s="1193"/>
      <c r="D163" s="1193"/>
      <c r="E163" s="1194"/>
    </row>
    <row r="164" spans="2:5" s="1186" customFormat="1">
      <c r="B164" s="1192"/>
      <c r="C164" s="1193"/>
      <c r="D164" s="1193"/>
      <c r="E164" s="1194"/>
    </row>
    <row r="165" spans="2:5" s="1186" customFormat="1">
      <c r="B165" s="1192"/>
      <c r="C165" s="1193"/>
      <c r="D165" s="1193"/>
      <c r="E165" s="1194"/>
    </row>
    <row r="166" spans="2:5" s="1186" customFormat="1">
      <c r="B166" s="1192"/>
      <c r="C166" s="1193"/>
      <c r="D166" s="1193"/>
      <c r="E166" s="1194"/>
    </row>
    <row r="167" spans="2:5" s="1186" customFormat="1">
      <c r="B167" s="1192"/>
      <c r="C167" s="1193"/>
      <c r="D167" s="1193"/>
      <c r="E167" s="1194"/>
    </row>
    <row r="168" spans="2:5" s="1186" customFormat="1">
      <c r="B168" s="1192"/>
      <c r="C168" s="1193"/>
      <c r="D168" s="1193"/>
      <c r="E168" s="1194"/>
    </row>
    <row r="169" spans="2:5" s="1186" customFormat="1">
      <c r="B169" s="1192"/>
      <c r="C169" s="1193"/>
      <c r="D169" s="1193"/>
      <c r="E169" s="1194"/>
    </row>
    <row r="170" spans="2:5" s="1186" customFormat="1">
      <c r="B170" s="1192"/>
      <c r="C170" s="1193"/>
      <c r="D170" s="1193"/>
      <c r="E170" s="1194"/>
    </row>
    <row r="171" spans="2:5" s="1186" customFormat="1">
      <c r="B171" s="1192"/>
      <c r="C171" s="1193"/>
      <c r="D171" s="1193"/>
      <c r="E171" s="1194"/>
    </row>
    <row r="172" spans="2:5" s="1186" customFormat="1">
      <c r="B172" s="1192"/>
      <c r="C172" s="1193"/>
      <c r="D172" s="1193"/>
      <c r="E172" s="1194"/>
    </row>
    <row r="173" spans="2:5" s="1186" customFormat="1">
      <c r="B173" s="1192"/>
      <c r="C173" s="1193"/>
      <c r="D173" s="1193"/>
      <c r="E173" s="1194"/>
    </row>
    <row r="174" spans="2:5" s="1186" customFormat="1">
      <c r="B174" s="1192"/>
      <c r="C174" s="1193"/>
      <c r="D174" s="1193"/>
      <c r="E174" s="1194"/>
    </row>
    <row r="175" spans="2:5" s="1186" customFormat="1">
      <c r="B175" s="1192"/>
      <c r="C175" s="1193"/>
      <c r="D175" s="1193"/>
      <c r="E175" s="1194"/>
    </row>
    <row r="176" spans="2:5" s="1186" customFormat="1">
      <c r="B176" s="1192"/>
      <c r="C176" s="1193"/>
      <c r="D176" s="1193"/>
      <c r="E176" s="1194"/>
    </row>
    <row r="177" spans="2:5" s="1186" customFormat="1">
      <c r="B177" s="1192"/>
      <c r="C177" s="1193"/>
      <c r="D177" s="1193"/>
      <c r="E177" s="1194"/>
    </row>
    <row r="178" spans="2:5" s="1186" customFormat="1">
      <c r="B178" s="1192"/>
      <c r="C178" s="1193"/>
      <c r="D178" s="1193"/>
      <c r="E178" s="1194"/>
    </row>
    <row r="179" spans="2:5" s="1186" customFormat="1">
      <c r="B179" s="1192"/>
      <c r="C179" s="1193"/>
      <c r="D179" s="1193"/>
      <c r="E179" s="1194"/>
    </row>
    <row r="180" spans="2:5" s="1186" customFormat="1">
      <c r="B180" s="1192"/>
      <c r="C180" s="1193"/>
      <c r="D180" s="1193"/>
      <c r="E180" s="1194"/>
    </row>
    <row r="181" spans="2:5" s="1186" customFormat="1">
      <c r="B181" s="1192"/>
      <c r="C181" s="1193"/>
      <c r="D181" s="1193"/>
      <c r="E181" s="1194"/>
    </row>
    <row r="182" spans="2:5" s="1186" customFormat="1">
      <c r="B182" s="1192"/>
      <c r="C182" s="1193"/>
      <c r="D182" s="1193"/>
      <c r="E182" s="1194"/>
    </row>
    <row r="183" spans="2:5" s="1186" customFormat="1">
      <c r="B183" s="1192"/>
      <c r="C183" s="1193"/>
      <c r="D183" s="1193"/>
      <c r="E183" s="1194"/>
    </row>
    <row r="184" spans="2:5" s="1186" customFormat="1">
      <c r="B184" s="1192"/>
      <c r="C184" s="1193"/>
      <c r="D184" s="1193"/>
      <c r="E184" s="1194"/>
    </row>
    <row r="185" spans="2:5" s="1186" customFormat="1">
      <c r="B185" s="1192"/>
      <c r="C185" s="1193"/>
      <c r="D185" s="1193"/>
      <c r="E185" s="1194"/>
    </row>
    <row r="186" spans="2:5" s="1186" customFormat="1">
      <c r="B186" s="1192"/>
      <c r="C186" s="1193"/>
      <c r="D186" s="1193"/>
      <c r="E186" s="1194"/>
    </row>
    <row r="187" spans="2:5" s="1186" customFormat="1">
      <c r="B187" s="1192"/>
      <c r="C187" s="1193"/>
      <c r="D187" s="1193"/>
      <c r="E187" s="1194"/>
    </row>
    <row r="188" spans="2:5" s="1186" customFormat="1">
      <c r="B188" s="1192"/>
      <c r="C188" s="1193"/>
      <c r="D188" s="1193"/>
      <c r="E188" s="1194"/>
    </row>
    <row r="189" spans="2:5" s="1186" customFormat="1">
      <c r="B189" s="1192"/>
      <c r="C189" s="1193"/>
      <c r="D189" s="1193"/>
      <c r="E189" s="1194"/>
    </row>
    <row r="190" spans="2:5" s="1186" customFormat="1">
      <c r="B190" s="1192"/>
      <c r="C190" s="1193"/>
      <c r="D190" s="1193"/>
      <c r="E190" s="1194"/>
    </row>
    <row r="191" spans="2:5" s="1186" customFormat="1">
      <c r="B191" s="1192"/>
      <c r="C191" s="1193"/>
      <c r="D191" s="1193"/>
      <c r="E191" s="1194"/>
    </row>
    <row r="192" spans="2:5" s="1186" customFormat="1">
      <c r="B192" s="1192"/>
      <c r="C192" s="1193"/>
      <c r="D192" s="1193"/>
      <c r="E192" s="1194"/>
    </row>
    <row r="193" spans="2:5" s="1186" customFormat="1">
      <c r="B193" s="1192"/>
      <c r="C193" s="1193"/>
      <c r="D193" s="1193"/>
      <c r="E193" s="1194"/>
    </row>
    <row r="194" spans="2:5" s="1186" customFormat="1">
      <c r="B194" s="1192"/>
      <c r="C194" s="1193"/>
      <c r="D194" s="1193"/>
      <c r="E194" s="1194"/>
    </row>
    <row r="195" spans="2:5" s="1186" customFormat="1">
      <c r="B195" s="1192"/>
      <c r="C195" s="1193"/>
      <c r="D195" s="1193"/>
      <c r="E195" s="1194"/>
    </row>
    <row r="196" spans="2:5" s="1186" customFormat="1">
      <c r="B196" s="1192"/>
      <c r="C196" s="1193"/>
      <c r="D196" s="1193"/>
      <c r="E196" s="1194"/>
    </row>
    <row r="197" spans="2:5" s="1186" customFormat="1">
      <c r="B197" s="1192"/>
      <c r="C197" s="1193"/>
      <c r="D197" s="1193"/>
      <c r="E197" s="1194"/>
    </row>
    <row r="198" spans="2:5" s="1186" customFormat="1">
      <c r="B198" s="1192"/>
      <c r="C198" s="1193"/>
      <c r="D198" s="1193"/>
      <c r="E198" s="1194"/>
    </row>
    <row r="199" spans="2:5" s="1186" customFormat="1">
      <c r="B199" s="1192"/>
      <c r="C199" s="1193"/>
      <c r="D199" s="1193"/>
      <c r="E199" s="1194"/>
    </row>
    <row r="200" spans="2:5" s="1186" customFormat="1">
      <c r="B200" s="1192"/>
      <c r="C200" s="1193"/>
      <c r="D200" s="1193"/>
      <c r="E200" s="1194"/>
    </row>
    <row r="201" spans="2:5" s="1186" customFormat="1">
      <c r="B201" s="1192"/>
      <c r="C201" s="1193"/>
      <c r="D201" s="1193"/>
      <c r="E201" s="1194"/>
    </row>
    <row r="202" spans="2:5" s="1186" customFormat="1">
      <c r="B202" s="1192"/>
      <c r="C202" s="1193"/>
      <c r="D202" s="1193"/>
      <c r="E202" s="1194"/>
    </row>
    <row r="203" spans="2:5" s="1186" customFormat="1">
      <c r="B203" s="1192"/>
      <c r="C203" s="1193"/>
      <c r="D203" s="1193"/>
      <c r="E203" s="1194"/>
    </row>
    <row r="204" spans="2:5" s="1186" customFormat="1">
      <c r="B204" s="1192"/>
      <c r="C204" s="1193"/>
      <c r="D204" s="1193"/>
      <c r="E204" s="1194"/>
    </row>
    <row r="205" spans="2:5" s="1186" customFormat="1">
      <c r="B205" s="1192"/>
      <c r="C205" s="1193"/>
      <c r="D205" s="1193"/>
      <c r="E205" s="1194"/>
    </row>
    <row r="206" spans="2:5" s="1186" customFormat="1">
      <c r="B206" s="1192"/>
      <c r="C206" s="1193"/>
      <c r="D206" s="1193"/>
      <c r="E206" s="1194"/>
    </row>
    <row r="207" spans="2:5" s="1186" customFormat="1">
      <c r="B207" s="1192"/>
      <c r="C207" s="1193"/>
      <c r="D207" s="1193"/>
      <c r="E207" s="1194"/>
    </row>
    <row r="208" spans="2:5" s="1186" customFormat="1">
      <c r="B208" s="1192"/>
      <c r="C208" s="1193"/>
      <c r="D208" s="1193"/>
      <c r="E208" s="1194"/>
    </row>
    <row r="209" spans="2:5" s="1186" customFormat="1">
      <c r="B209" s="1192"/>
      <c r="C209" s="1193"/>
      <c r="D209" s="1193"/>
      <c r="E209" s="1194"/>
    </row>
    <row r="210" spans="2:5" s="1186" customFormat="1">
      <c r="B210" s="1192"/>
      <c r="C210" s="1193"/>
      <c r="D210" s="1193"/>
      <c r="E210" s="1194"/>
    </row>
    <row r="211" spans="2:5" s="1186" customFormat="1">
      <c r="B211" s="1192"/>
      <c r="C211" s="1193"/>
      <c r="D211" s="1193"/>
      <c r="E211" s="1194"/>
    </row>
    <row r="212" spans="2:5" s="1186" customFormat="1">
      <c r="B212" s="1192"/>
      <c r="C212" s="1193"/>
      <c r="D212" s="1193"/>
      <c r="E212" s="1194"/>
    </row>
    <row r="213" spans="2:5" s="1186" customFormat="1">
      <c r="B213" s="1192"/>
      <c r="C213" s="1193"/>
      <c r="D213" s="1193"/>
      <c r="E213" s="1194"/>
    </row>
    <row r="214" spans="2:5" s="1186" customFormat="1">
      <c r="B214" s="1192"/>
      <c r="C214" s="1193"/>
      <c r="D214" s="1193"/>
      <c r="E214" s="1194"/>
    </row>
    <row r="215" spans="2:5" s="1186" customFormat="1">
      <c r="B215" s="1192"/>
      <c r="C215" s="1193"/>
      <c r="D215" s="1193"/>
      <c r="E215" s="1194"/>
    </row>
    <row r="216" spans="2:5" s="1186" customFormat="1">
      <c r="B216" s="1192"/>
      <c r="C216" s="1193"/>
      <c r="D216" s="1193"/>
      <c r="E216" s="1194"/>
    </row>
    <row r="217" spans="2:5" s="1186" customFormat="1">
      <c r="B217" s="1192"/>
      <c r="C217" s="1193"/>
      <c r="D217" s="1193"/>
      <c r="E217" s="1194"/>
    </row>
    <row r="218" spans="2:5" s="1186" customFormat="1">
      <c r="B218" s="1192"/>
      <c r="C218" s="1193"/>
      <c r="D218" s="1193"/>
      <c r="E218" s="1194"/>
    </row>
    <row r="219" spans="2:5" s="1186" customFormat="1">
      <c r="B219" s="1192"/>
      <c r="C219" s="1193"/>
      <c r="D219" s="1193"/>
      <c r="E219" s="1194"/>
    </row>
    <row r="220" spans="2:5" s="1186" customFormat="1">
      <c r="B220" s="1192"/>
      <c r="C220" s="1193"/>
      <c r="D220" s="1193"/>
      <c r="E220" s="1194"/>
    </row>
    <row r="221" spans="2:5" s="1186" customFormat="1">
      <c r="B221" s="1192"/>
      <c r="C221" s="1193"/>
      <c r="D221" s="1193"/>
      <c r="E221" s="1194"/>
    </row>
    <row r="222" spans="2:5" s="1186" customFormat="1">
      <c r="B222" s="1192"/>
      <c r="C222" s="1193"/>
      <c r="D222" s="1193"/>
      <c r="E222" s="1194"/>
    </row>
    <row r="223" spans="2:5" s="1186" customFormat="1">
      <c r="B223" s="1192"/>
      <c r="C223" s="1193"/>
      <c r="D223" s="1193"/>
      <c r="E223" s="1194"/>
    </row>
    <row r="224" spans="2:5" s="1186" customFormat="1">
      <c r="B224" s="1192"/>
      <c r="C224" s="1193"/>
      <c r="D224" s="1193"/>
      <c r="E224" s="1194"/>
    </row>
    <row r="225" spans="2:5" s="1186" customFormat="1">
      <c r="B225" s="1192"/>
      <c r="C225" s="1193"/>
      <c r="D225" s="1193"/>
      <c r="E225" s="1194"/>
    </row>
    <row r="226" spans="2:5" s="1186" customFormat="1">
      <c r="B226" s="1192"/>
      <c r="C226" s="1193"/>
      <c r="D226" s="1193"/>
      <c r="E226" s="1194"/>
    </row>
    <row r="227" spans="2:5" s="1186" customFormat="1">
      <c r="B227" s="1192"/>
      <c r="C227" s="1193"/>
      <c r="D227" s="1193"/>
      <c r="E227" s="1194"/>
    </row>
    <row r="228" spans="2:5" s="1186" customFormat="1">
      <c r="B228" s="1192"/>
      <c r="C228" s="1193"/>
      <c r="D228" s="1193"/>
      <c r="E228" s="1194"/>
    </row>
    <row r="229" spans="2:5" s="1186" customFormat="1">
      <c r="B229" s="1192"/>
      <c r="C229" s="1193"/>
      <c r="D229" s="1193"/>
      <c r="E229" s="1194"/>
    </row>
    <row r="230" spans="2:5" s="1186" customFormat="1">
      <c r="B230" s="1192"/>
      <c r="C230" s="1193"/>
      <c r="D230" s="1193"/>
      <c r="E230" s="1194"/>
    </row>
    <row r="231" spans="2:5" s="1186" customFormat="1">
      <c r="B231" s="1192"/>
      <c r="C231" s="1193"/>
      <c r="D231" s="1193"/>
      <c r="E231" s="1194"/>
    </row>
    <row r="232" spans="2:5" s="1186" customFormat="1">
      <c r="B232" s="1192"/>
      <c r="C232" s="1193"/>
      <c r="D232" s="1193"/>
      <c r="E232" s="1194"/>
    </row>
    <row r="233" spans="2:5" s="1186" customFormat="1">
      <c r="B233" s="1192"/>
      <c r="C233" s="1193"/>
      <c r="D233" s="1193"/>
      <c r="E233" s="1194"/>
    </row>
    <row r="234" spans="2:5" s="1186" customFormat="1">
      <c r="B234" s="1192"/>
      <c r="C234" s="1193"/>
      <c r="D234" s="1193"/>
      <c r="E234" s="1194"/>
    </row>
    <row r="235" spans="2:5" s="1186" customFormat="1">
      <c r="B235" s="1192"/>
      <c r="C235" s="1193"/>
      <c r="D235" s="1193"/>
      <c r="E235" s="1194"/>
    </row>
    <row r="236" spans="2:5" s="1186" customFormat="1">
      <c r="B236" s="1192"/>
      <c r="C236" s="1193"/>
      <c r="D236" s="1193"/>
      <c r="E236" s="1194"/>
    </row>
    <row r="237" spans="2:5" s="1186" customFormat="1">
      <c r="B237" s="1192"/>
      <c r="C237" s="1193"/>
      <c r="D237" s="1193"/>
      <c r="E237" s="1194"/>
    </row>
    <row r="238" spans="2:5" s="1186" customFormat="1">
      <c r="B238" s="1192"/>
      <c r="C238" s="1193"/>
      <c r="D238" s="1193"/>
      <c r="E238" s="1194"/>
    </row>
    <row r="239" spans="2:5" s="1186" customFormat="1">
      <c r="B239" s="1192"/>
      <c r="C239" s="1193"/>
      <c r="D239" s="1193"/>
      <c r="E239" s="1194"/>
    </row>
    <row r="240" spans="2:5" s="1186" customFormat="1">
      <c r="B240" s="1192"/>
      <c r="C240" s="1193"/>
      <c r="D240" s="1193"/>
      <c r="E240" s="1194"/>
    </row>
    <row r="241" spans="2:5" s="1186" customFormat="1">
      <c r="B241" s="1192"/>
      <c r="C241" s="1193"/>
      <c r="D241" s="1193"/>
      <c r="E241" s="1194"/>
    </row>
    <row r="242" spans="2:5" s="1186" customFormat="1">
      <c r="B242" s="1192"/>
      <c r="C242" s="1193"/>
      <c r="D242" s="1193"/>
      <c r="E242" s="1194"/>
    </row>
    <row r="243" spans="2:5" s="1186" customFormat="1">
      <c r="B243" s="1192"/>
      <c r="C243" s="1193"/>
      <c r="D243" s="1193"/>
      <c r="E243" s="1194"/>
    </row>
    <row r="244" spans="2:5" s="1186" customFormat="1">
      <c r="B244" s="1192"/>
      <c r="C244" s="1193"/>
      <c r="D244" s="1193"/>
      <c r="E244" s="1194"/>
    </row>
    <row r="245" spans="2:5" s="1186" customFormat="1">
      <c r="B245" s="1192"/>
      <c r="C245" s="1193"/>
      <c r="D245" s="1193"/>
      <c r="E245" s="1194"/>
    </row>
    <row r="246" spans="2:5" s="1186" customFormat="1">
      <c r="B246" s="1192"/>
      <c r="C246" s="1193"/>
      <c r="D246" s="1193"/>
      <c r="E246" s="1194"/>
    </row>
    <row r="247" spans="2:5" s="1186" customFormat="1">
      <c r="B247" s="1192"/>
      <c r="C247" s="1193"/>
      <c r="D247" s="1193"/>
      <c r="E247" s="1194"/>
    </row>
    <row r="248" spans="2:5" s="1186" customFormat="1">
      <c r="B248" s="1192"/>
      <c r="C248" s="1193"/>
      <c r="D248" s="1193"/>
      <c r="E248" s="1194"/>
    </row>
    <row r="249" spans="2:5" s="1186" customFormat="1">
      <c r="B249" s="1192"/>
      <c r="C249" s="1193"/>
      <c r="D249" s="1193"/>
      <c r="E249" s="1194"/>
    </row>
    <row r="250" spans="2:5" s="1186" customFormat="1">
      <c r="B250" s="1192"/>
      <c r="C250" s="1193"/>
      <c r="D250" s="1193"/>
      <c r="E250" s="1194"/>
    </row>
    <row r="251" spans="2:5" s="1186" customFormat="1">
      <c r="B251" s="1192"/>
      <c r="C251" s="1193"/>
      <c r="D251" s="1193"/>
      <c r="E251" s="1194"/>
    </row>
    <row r="252" spans="2:5" s="1186" customFormat="1">
      <c r="B252" s="1192"/>
      <c r="C252" s="1193"/>
      <c r="D252" s="1193"/>
      <c r="E252" s="1194"/>
    </row>
    <row r="253" spans="2:5" s="1186" customFormat="1">
      <c r="B253" s="1192"/>
      <c r="C253" s="1193"/>
      <c r="D253" s="1193"/>
      <c r="E253" s="1194"/>
    </row>
    <row r="254" spans="2:5" s="1186" customFormat="1">
      <c r="B254" s="1192"/>
      <c r="C254" s="1193"/>
      <c r="D254" s="1193"/>
      <c r="E254" s="1194"/>
    </row>
    <row r="255" spans="2:5" s="1186" customFormat="1">
      <c r="B255" s="1192"/>
      <c r="C255" s="1193"/>
      <c r="D255" s="1193"/>
      <c r="E255" s="1194"/>
    </row>
    <row r="256" spans="2:5" s="1186" customFormat="1">
      <c r="B256" s="1192"/>
      <c r="C256" s="1193"/>
      <c r="D256" s="1193"/>
      <c r="E256" s="1194"/>
    </row>
    <row r="257" spans="2:5" s="1186" customFormat="1">
      <c r="B257" s="1192"/>
      <c r="C257" s="1193"/>
      <c r="D257" s="1193"/>
      <c r="E257" s="1194"/>
    </row>
    <row r="258" spans="2:5" s="1186" customFormat="1">
      <c r="B258" s="1192"/>
      <c r="C258" s="1193"/>
      <c r="D258" s="1193"/>
      <c r="E258" s="1194"/>
    </row>
    <row r="259" spans="2:5" s="1186" customFormat="1">
      <c r="B259" s="1192"/>
      <c r="C259" s="1193"/>
      <c r="D259" s="1193"/>
      <c r="E259" s="1194"/>
    </row>
    <row r="260" spans="2:5" s="1186" customFormat="1">
      <c r="B260" s="1192"/>
      <c r="C260" s="1193"/>
      <c r="D260" s="1193"/>
      <c r="E260" s="1194"/>
    </row>
    <row r="261" spans="2:5" s="1186" customFormat="1">
      <c r="B261" s="1192"/>
      <c r="C261" s="1193"/>
      <c r="D261" s="1193"/>
      <c r="E261" s="1194"/>
    </row>
    <row r="262" spans="2:5" s="1186" customFormat="1">
      <c r="B262" s="1192"/>
      <c r="C262" s="1193"/>
      <c r="D262" s="1193"/>
      <c r="E262" s="1194"/>
    </row>
    <row r="263" spans="2:5" s="1186" customFormat="1">
      <c r="B263" s="1192"/>
      <c r="C263" s="1193"/>
      <c r="D263" s="1193"/>
      <c r="E263" s="1194"/>
    </row>
    <row r="264" spans="2:5" s="1186" customFormat="1">
      <c r="B264" s="1192"/>
      <c r="C264" s="1193"/>
      <c r="D264" s="1193"/>
      <c r="E264" s="1194"/>
    </row>
    <row r="265" spans="2:5" s="1186" customFormat="1">
      <c r="B265" s="1192"/>
      <c r="C265" s="1193"/>
      <c r="D265" s="1193"/>
      <c r="E265" s="1194"/>
    </row>
    <row r="266" spans="2:5" s="1186" customFormat="1">
      <c r="B266" s="1192"/>
      <c r="C266" s="1193"/>
      <c r="D266" s="1193"/>
      <c r="E266" s="1194"/>
    </row>
    <row r="267" spans="2:5" s="1186" customFormat="1">
      <c r="B267" s="1192"/>
      <c r="C267" s="1193"/>
      <c r="D267" s="1193"/>
      <c r="E267" s="1194"/>
    </row>
    <row r="268" spans="2:5" s="1186" customFormat="1">
      <c r="B268" s="1192"/>
      <c r="C268" s="1193"/>
      <c r="D268" s="1193"/>
      <c r="E268" s="1194"/>
    </row>
    <row r="269" spans="2:5" s="1186" customFormat="1">
      <c r="B269" s="1192"/>
      <c r="C269" s="1193"/>
      <c r="D269" s="1193"/>
      <c r="E269" s="1194"/>
    </row>
    <row r="270" spans="2:5" s="1186" customFormat="1">
      <c r="B270" s="1192"/>
      <c r="C270" s="1193"/>
      <c r="D270" s="1193"/>
      <c r="E270" s="1194"/>
    </row>
    <row r="271" spans="2:5" s="1186" customFormat="1">
      <c r="B271" s="1192"/>
      <c r="C271" s="1193"/>
      <c r="D271" s="1193"/>
      <c r="E271" s="1194"/>
    </row>
    <row r="272" spans="2:5" s="1186" customFormat="1">
      <c r="B272" s="1192"/>
      <c r="C272" s="1193"/>
      <c r="D272" s="1193"/>
      <c r="E272" s="1194"/>
    </row>
    <row r="273" spans="2:5" s="1186" customFormat="1">
      <c r="B273" s="1192"/>
      <c r="C273" s="1193"/>
      <c r="D273" s="1193"/>
      <c r="E273" s="1194"/>
    </row>
    <row r="274" spans="2:5" s="1186" customFormat="1">
      <c r="B274" s="1192"/>
      <c r="C274" s="1193"/>
      <c r="D274" s="1193"/>
      <c r="E274" s="1194"/>
    </row>
    <row r="275" spans="2:5" s="1186" customFormat="1">
      <c r="B275" s="1192"/>
      <c r="C275" s="1193"/>
      <c r="D275" s="1193"/>
      <c r="E275" s="1194"/>
    </row>
    <row r="276" spans="2:5" s="1186" customFormat="1">
      <c r="B276" s="1192"/>
      <c r="C276" s="1193"/>
      <c r="D276" s="1193"/>
      <c r="E276" s="1194"/>
    </row>
    <row r="277" spans="2:5" s="1186" customFormat="1">
      <c r="B277" s="1192"/>
      <c r="C277" s="1193"/>
      <c r="D277" s="1193"/>
      <c r="E277" s="1194"/>
    </row>
    <row r="278" spans="2:5" s="1186" customFormat="1">
      <c r="B278" s="1192"/>
      <c r="C278" s="1193"/>
      <c r="D278" s="1193"/>
      <c r="E278" s="1194"/>
    </row>
    <row r="279" spans="2:5" s="1186" customFormat="1">
      <c r="B279" s="1192"/>
      <c r="C279" s="1193"/>
      <c r="D279" s="1193"/>
      <c r="E279" s="1194"/>
    </row>
    <row r="280" spans="2:5" s="1186" customFormat="1">
      <c r="B280" s="1192"/>
      <c r="C280" s="1193"/>
      <c r="D280" s="1193"/>
      <c r="E280" s="1194"/>
    </row>
    <row r="281" spans="2:5" s="1186" customFormat="1">
      <c r="B281" s="1192"/>
      <c r="C281" s="1193"/>
      <c r="D281" s="1193"/>
      <c r="E281" s="1194"/>
    </row>
    <row r="282" spans="2:5" s="1186" customFormat="1">
      <c r="B282" s="1192"/>
      <c r="C282" s="1193"/>
      <c r="D282" s="1193"/>
      <c r="E282" s="1194"/>
    </row>
    <row r="283" spans="2:5" s="1186" customFormat="1">
      <c r="B283" s="1192"/>
      <c r="C283" s="1193"/>
      <c r="D283" s="1193"/>
      <c r="E283" s="1194"/>
    </row>
    <row r="284" spans="2:5" s="1186" customFormat="1">
      <c r="B284" s="1192"/>
      <c r="C284" s="1193"/>
      <c r="D284" s="1193"/>
      <c r="E284" s="1194"/>
    </row>
    <row r="285" spans="2:5" s="1186" customFormat="1">
      <c r="B285" s="1192"/>
      <c r="C285" s="1193"/>
      <c r="D285" s="1193"/>
      <c r="E285" s="1194"/>
    </row>
    <row r="286" spans="2:5" s="1186" customFormat="1">
      <c r="B286" s="1192"/>
      <c r="C286" s="1193"/>
      <c r="D286" s="1193"/>
      <c r="E286" s="1194"/>
    </row>
    <row r="287" spans="2:5" s="1186" customFormat="1">
      <c r="B287" s="1192"/>
      <c r="C287" s="1193"/>
      <c r="D287" s="1193"/>
      <c r="E287" s="1194"/>
    </row>
    <row r="288" spans="2:5" s="1186" customFormat="1">
      <c r="B288" s="1192"/>
      <c r="C288" s="1193"/>
      <c r="D288" s="1193"/>
      <c r="E288" s="1194"/>
    </row>
    <row r="289" spans="2:5" s="1186" customFormat="1">
      <c r="B289" s="1192"/>
      <c r="C289" s="1193"/>
      <c r="D289" s="1193"/>
      <c r="E289" s="1194"/>
    </row>
    <row r="290" spans="2:5" s="1186" customFormat="1">
      <c r="B290" s="1192"/>
      <c r="C290" s="1193"/>
      <c r="D290" s="1193"/>
      <c r="E290" s="1194"/>
    </row>
    <row r="291" spans="2:5" s="1186" customFormat="1">
      <c r="B291" s="1192"/>
      <c r="C291" s="1193"/>
      <c r="D291" s="1193"/>
      <c r="E291" s="1194"/>
    </row>
    <row r="292" spans="2:5" s="1186" customFormat="1">
      <c r="B292" s="1192"/>
      <c r="C292" s="1193"/>
      <c r="D292" s="1193"/>
      <c r="E292" s="1194"/>
    </row>
    <row r="293" spans="2:5" s="1186" customFormat="1">
      <c r="B293" s="1192"/>
      <c r="C293" s="1193"/>
      <c r="D293" s="1193"/>
      <c r="E293" s="1194"/>
    </row>
    <row r="294" spans="2:5" s="1186" customFormat="1">
      <c r="B294" s="1192"/>
      <c r="C294" s="1193"/>
      <c r="D294" s="1193"/>
      <c r="E294" s="1194"/>
    </row>
    <row r="295" spans="2:5" s="1186" customFormat="1">
      <c r="B295" s="1192"/>
      <c r="C295" s="1193"/>
      <c r="D295" s="1193"/>
      <c r="E295" s="1194"/>
    </row>
    <row r="296" spans="2:5" s="1186" customFormat="1">
      <c r="B296" s="1192"/>
      <c r="C296" s="1193"/>
      <c r="D296" s="1193"/>
      <c r="E296" s="1194"/>
    </row>
    <row r="297" spans="2:5" s="1186" customFormat="1">
      <c r="B297" s="1192"/>
      <c r="C297" s="1193"/>
      <c r="D297" s="1193"/>
      <c r="E297" s="1194"/>
    </row>
    <row r="298" spans="2:5" s="1186" customFormat="1">
      <c r="B298" s="1192"/>
      <c r="C298" s="1193"/>
      <c r="D298" s="1193"/>
      <c r="E298" s="1194"/>
    </row>
    <row r="299" spans="2:5" s="1186" customFormat="1">
      <c r="B299" s="1192"/>
      <c r="C299" s="1193"/>
      <c r="D299" s="1193"/>
      <c r="E299" s="1194"/>
    </row>
    <row r="300" spans="2:5" s="1186" customFormat="1">
      <c r="B300" s="1192"/>
      <c r="C300" s="1193"/>
      <c r="D300" s="1193"/>
      <c r="E300" s="1194"/>
    </row>
    <row r="301" spans="2:5" s="1186" customFormat="1">
      <c r="B301" s="1192"/>
      <c r="C301" s="1193"/>
      <c r="D301" s="1193"/>
      <c r="E301" s="1194"/>
    </row>
    <row r="302" spans="2:5" s="1186" customFormat="1">
      <c r="B302" s="1192"/>
      <c r="C302" s="1193"/>
      <c r="D302" s="1193"/>
      <c r="E302" s="1194"/>
    </row>
    <row r="303" spans="2:5" s="1186" customFormat="1">
      <c r="B303" s="1192"/>
      <c r="C303" s="1193"/>
      <c r="D303" s="1193"/>
      <c r="E303" s="1194"/>
    </row>
    <row r="304" spans="2:5" s="1186" customFormat="1">
      <c r="B304" s="1192"/>
      <c r="C304" s="1193"/>
      <c r="D304" s="1193"/>
      <c r="E304" s="1194"/>
    </row>
    <row r="305" spans="2:5" s="1186" customFormat="1">
      <c r="B305" s="1192"/>
      <c r="C305" s="1193"/>
      <c r="D305" s="1193"/>
      <c r="E305" s="1194"/>
    </row>
    <row r="306" spans="2:5" s="1186" customFormat="1">
      <c r="B306" s="1192"/>
      <c r="C306" s="1193"/>
      <c r="D306" s="1193"/>
      <c r="E306" s="1194"/>
    </row>
    <row r="307" spans="2:5" s="1186" customFormat="1">
      <c r="B307" s="1192"/>
      <c r="C307" s="1193"/>
      <c r="D307" s="1193"/>
      <c r="E307" s="1194"/>
    </row>
    <row r="308" spans="2:5" s="1186" customFormat="1">
      <c r="B308" s="1192"/>
      <c r="C308" s="1193"/>
      <c r="D308" s="1193"/>
      <c r="E308" s="1194"/>
    </row>
    <row r="309" spans="2:5" s="1186" customFormat="1">
      <c r="B309" s="1192"/>
      <c r="C309" s="1193"/>
      <c r="D309" s="1193"/>
      <c r="E309" s="1194"/>
    </row>
    <row r="310" spans="2:5" s="1186" customFormat="1">
      <c r="B310" s="1192"/>
      <c r="C310" s="1193"/>
      <c r="D310" s="1193"/>
      <c r="E310" s="1194"/>
    </row>
    <row r="311" spans="2:5" s="1186" customFormat="1">
      <c r="B311" s="1192"/>
      <c r="C311" s="1193"/>
      <c r="D311" s="1193"/>
      <c r="E311" s="1194"/>
    </row>
    <row r="312" spans="2:5" s="1186" customFormat="1">
      <c r="B312" s="1192"/>
      <c r="C312" s="1193"/>
      <c r="D312" s="1193"/>
      <c r="E312" s="1194"/>
    </row>
    <row r="313" spans="2:5" s="1186" customFormat="1">
      <c r="B313" s="1192"/>
      <c r="C313" s="1193"/>
      <c r="D313" s="1193"/>
      <c r="E313" s="1194"/>
    </row>
    <row r="314" spans="2:5" s="1186" customFormat="1">
      <c r="B314" s="1192"/>
      <c r="C314" s="1193"/>
      <c r="D314" s="1193"/>
      <c r="E314" s="1194"/>
    </row>
    <row r="315" spans="2:5" s="1186" customFormat="1">
      <c r="B315" s="1192"/>
      <c r="C315" s="1193"/>
      <c r="D315" s="1193"/>
      <c r="E315" s="1194"/>
    </row>
    <row r="316" spans="2:5" s="1186" customFormat="1">
      <c r="B316" s="1192"/>
      <c r="C316" s="1193"/>
      <c r="D316" s="1193"/>
      <c r="E316" s="1194"/>
    </row>
    <row r="317" spans="2:5" s="1186" customFormat="1">
      <c r="B317" s="1192"/>
      <c r="C317" s="1193"/>
      <c r="D317" s="1193"/>
      <c r="E317" s="1194"/>
    </row>
    <row r="318" spans="2:5" s="1186" customFormat="1">
      <c r="B318" s="1192"/>
      <c r="C318" s="1193"/>
      <c r="D318" s="1193"/>
      <c r="E318" s="1194"/>
    </row>
    <row r="319" spans="2:5" s="1186" customFormat="1">
      <c r="B319" s="1192"/>
      <c r="C319" s="1193"/>
      <c r="D319" s="1193"/>
      <c r="E319" s="1194"/>
    </row>
    <row r="320" spans="2:5" s="1186" customFormat="1">
      <c r="B320" s="1192"/>
      <c r="C320" s="1193"/>
      <c r="D320" s="1193"/>
      <c r="E320" s="1194"/>
    </row>
    <row r="321" spans="2:5" s="1186" customFormat="1">
      <c r="B321" s="1192"/>
      <c r="C321" s="1193"/>
      <c r="D321" s="1193"/>
      <c r="E321" s="1194"/>
    </row>
    <row r="322" spans="2:5" s="1186" customFormat="1">
      <c r="B322" s="1192"/>
      <c r="C322" s="1193"/>
      <c r="D322" s="1193"/>
      <c r="E322" s="1194"/>
    </row>
    <row r="323" spans="2:5" s="1186" customFormat="1">
      <c r="B323" s="1192"/>
      <c r="C323" s="1193"/>
      <c r="D323" s="1193"/>
      <c r="E323" s="1194"/>
    </row>
    <row r="324" spans="2:5" s="1186" customFormat="1">
      <c r="B324" s="1192"/>
      <c r="C324" s="1193"/>
      <c r="D324" s="1193"/>
      <c r="E324" s="1194"/>
    </row>
    <row r="325" spans="2:5" s="1186" customFormat="1">
      <c r="B325" s="1192"/>
      <c r="C325" s="1193"/>
      <c r="D325" s="1193"/>
      <c r="E325" s="1194"/>
    </row>
    <row r="326" spans="2:5" s="1186" customFormat="1">
      <c r="B326" s="1192"/>
      <c r="C326" s="1193"/>
      <c r="D326" s="1193"/>
      <c r="E326" s="1194"/>
    </row>
    <row r="327" spans="2:5" s="1186" customFormat="1">
      <c r="B327" s="1192"/>
      <c r="C327" s="1193"/>
      <c r="D327" s="1193"/>
      <c r="E327" s="1194"/>
    </row>
    <row r="328" spans="2:5" s="1186" customFormat="1">
      <c r="B328" s="1192"/>
      <c r="C328" s="1193"/>
      <c r="D328" s="1193"/>
      <c r="E328" s="1194"/>
    </row>
    <row r="329" spans="2:5" s="1186" customFormat="1">
      <c r="B329" s="1192"/>
      <c r="C329" s="1193"/>
      <c r="D329" s="1193"/>
      <c r="E329" s="1194"/>
    </row>
    <row r="330" spans="2:5" s="1186" customFormat="1">
      <c r="B330" s="1192"/>
      <c r="C330" s="1193"/>
      <c r="D330" s="1193"/>
      <c r="E330" s="1194"/>
    </row>
    <row r="331" spans="2:5" s="1186" customFormat="1">
      <c r="B331" s="1192"/>
      <c r="C331" s="1193"/>
      <c r="D331" s="1193"/>
      <c r="E331" s="1194"/>
    </row>
    <row r="332" spans="2:5" s="1186" customFormat="1">
      <c r="B332" s="1192"/>
      <c r="C332" s="1193"/>
      <c r="D332" s="1193"/>
      <c r="E332" s="1194"/>
    </row>
    <row r="333" spans="2:5" s="1186" customFormat="1">
      <c r="B333" s="1192"/>
      <c r="C333" s="1193"/>
      <c r="D333" s="1193"/>
      <c r="E333" s="1194"/>
    </row>
    <row r="334" spans="2:5" s="1186" customFormat="1">
      <c r="B334" s="1192"/>
      <c r="C334" s="1193"/>
      <c r="D334" s="1193"/>
      <c r="E334" s="1194"/>
    </row>
    <row r="335" spans="2:5" s="1186" customFormat="1">
      <c r="B335" s="1192"/>
      <c r="C335" s="1193"/>
      <c r="D335" s="1193"/>
      <c r="E335" s="1194"/>
    </row>
    <row r="336" spans="2:5" s="1186" customFormat="1">
      <c r="B336" s="1192"/>
      <c r="C336" s="1193"/>
      <c r="D336" s="1193"/>
      <c r="E336" s="1194"/>
    </row>
    <row r="337" spans="2:5" s="1186" customFormat="1">
      <c r="B337" s="1192"/>
      <c r="C337" s="1193"/>
      <c r="D337" s="1193"/>
      <c r="E337" s="1194"/>
    </row>
    <row r="338" spans="2:5" s="1186" customFormat="1">
      <c r="B338" s="1192"/>
      <c r="C338" s="1193"/>
      <c r="D338" s="1193"/>
      <c r="E338" s="1194"/>
    </row>
    <row r="339" spans="2:5" s="1186" customFormat="1">
      <c r="B339" s="1192"/>
      <c r="C339" s="1193"/>
      <c r="D339" s="1193"/>
      <c r="E339" s="1194"/>
    </row>
    <row r="340" spans="2:5" s="1186" customFormat="1">
      <c r="B340" s="1192"/>
      <c r="C340" s="1193"/>
      <c r="D340" s="1193"/>
      <c r="E340" s="1194"/>
    </row>
    <row r="341" spans="2:5" s="1186" customFormat="1">
      <c r="B341" s="1192"/>
      <c r="C341" s="1193"/>
      <c r="D341" s="1193"/>
      <c r="E341" s="1194"/>
    </row>
    <row r="342" spans="2:5" s="1186" customFormat="1">
      <c r="B342" s="1192"/>
      <c r="C342" s="1193"/>
      <c r="D342" s="1193"/>
      <c r="E342" s="1194"/>
    </row>
    <row r="343" spans="2:5" s="1186" customFormat="1">
      <c r="B343" s="1192"/>
      <c r="C343" s="1193"/>
      <c r="D343" s="1193"/>
      <c r="E343" s="1194"/>
    </row>
    <row r="344" spans="2:5" s="1186" customFormat="1">
      <c r="B344" s="1192"/>
      <c r="C344" s="1193"/>
      <c r="D344" s="1193"/>
      <c r="E344" s="1194"/>
    </row>
    <row r="345" spans="2:5" s="1186" customFormat="1">
      <c r="B345" s="1192"/>
      <c r="C345" s="1193"/>
      <c r="D345" s="1193"/>
      <c r="E345" s="1194"/>
    </row>
    <row r="346" spans="2:5" s="1186" customFormat="1">
      <c r="B346" s="1192"/>
      <c r="C346" s="1193"/>
      <c r="D346" s="1193"/>
      <c r="E346" s="1194"/>
    </row>
    <row r="347" spans="2:5" s="1186" customFormat="1">
      <c r="B347" s="1192"/>
      <c r="C347" s="1193"/>
      <c r="D347" s="1193"/>
      <c r="E347" s="1194"/>
    </row>
    <row r="348" spans="2:5" s="1186" customFormat="1">
      <c r="B348" s="1192"/>
      <c r="C348" s="1193"/>
      <c r="D348" s="1193"/>
      <c r="E348" s="1194"/>
    </row>
    <row r="349" spans="2:5" s="1186" customFormat="1">
      <c r="B349" s="1192"/>
      <c r="C349" s="1193"/>
      <c r="D349" s="1193"/>
      <c r="E349" s="1194"/>
    </row>
    <row r="350" spans="2:5" s="1186" customFormat="1">
      <c r="B350" s="1192"/>
      <c r="C350" s="1193"/>
      <c r="D350" s="1193"/>
      <c r="E350" s="1194"/>
    </row>
    <row r="351" spans="2:5" s="1186" customFormat="1">
      <c r="B351" s="1192"/>
      <c r="C351" s="1193"/>
      <c r="D351" s="1193"/>
      <c r="E351" s="1194"/>
    </row>
    <row r="352" spans="2:5" s="1186" customFormat="1">
      <c r="B352" s="1192"/>
      <c r="C352" s="1193"/>
      <c r="D352" s="1193"/>
      <c r="E352" s="1194"/>
    </row>
    <row r="353" spans="2:5" s="1186" customFormat="1">
      <c r="B353" s="1192"/>
      <c r="C353" s="1193"/>
      <c r="D353" s="1193"/>
      <c r="E353" s="1194"/>
    </row>
    <row r="354" spans="2:5" s="1186" customFormat="1">
      <c r="B354" s="1192"/>
      <c r="C354" s="1193"/>
      <c r="D354" s="1193"/>
      <c r="E354" s="1194"/>
    </row>
    <row r="355" spans="2:5" s="1186" customFormat="1">
      <c r="B355" s="1192"/>
      <c r="C355" s="1193"/>
      <c r="D355" s="1193"/>
      <c r="E355" s="1194"/>
    </row>
    <row r="356" spans="2:5" s="1186" customFormat="1">
      <c r="B356" s="1192"/>
      <c r="C356" s="1193"/>
      <c r="D356" s="1193"/>
      <c r="E356" s="1194"/>
    </row>
    <row r="357" spans="2:5" s="1186" customFormat="1">
      <c r="B357" s="1192"/>
      <c r="C357" s="1193"/>
      <c r="D357" s="1193"/>
      <c r="E357" s="1194"/>
    </row>
    <row r="358" spans="2:5" s="1186" customFormat="1">
      <c r="B358" s="1192"/>
      <c r="C358" s="1193"/>
      <c r="D358" s="1193"/>
      <c r="E358" s="1194"/>
    </row>
    <row r="359" spans="2:5" s="1186" customFormat="1">
      <c r="B359" s="1192"/>
      <c r="C359" s="1193"/>
      <c r="D359" s="1193"/>
      <c r="E359" s="1194"/>
    </row>
    <row r="360" spans="2:5" s="1186" customFormat="1">
      <c r="B360" s="1192"/>
      <c r="C360" s="1193"/>
      <c r="D360" s="1193"/>
      <c r="E360" s="1194"/>
    </row>
    <row r="361" spans="2:5" s="1186" customFormat="1">
      <c r="B361" s="1192"/>
      <c r="C361" s="1193"/>
      <c r="D361" s="1193"/>
      <c r="E361" s="1194"/>
    </row>
    <row r="362" spans="2:5" s="1186" customFormat="1">
      <c r="B362" s="1192"/>
      <c r="C362" s="1193"/>
      <c r="D362" s="1193"/>
      <c r="E362" s="1194"/>
    </row>
    <row r="363" spans="2:5" s="1186" customFormat="1">
      <c r="B363" s="1192"/>
      <c r="C363" s="1193"/>
      <c r="D363" s="1193"/>
      <c r="E363" s="1194"/>
    </row>
    <row r="364" spans="2:5" s="1186" customFormat="1">
      <c r="B364" s="1192"/>
      <c r="C364" s="1193"/>
      <c r="D364" s="1193"/>
      <c r="E364" s="1194"/>
    </row>
    <row r="365" spans="2:5" s="1186" customFormat="1">
      <c r="B365" s="1192"/>
      <c r="C365" s="1193"/>
      <c r="D365" s="1193"/>
      <c r="E365" s="1194"/>
    </row>
    <row r="366" spans="2:5" s="1186" customFormat="1">
      <c r="B366" s="1192"/>
      <c r="C366" s="1193"/>
      <c r="D366" s="1193"/>
      <c r="E366" s="1194"/>
    </row>
    <row r="367" spans="2:5" s="1186" customFormat="1">
      <c r="B367" s="1192"/>
      <c r="C367" s="1193"/>
      <c r="D367" s="1193"/>
      <c r="E367" s="1194"/>
    </row>
    <row r="368" spans="2:5" s="1186" customFormat="1">
      <c r="B368" s="1192"/>
      <c r="C368" s="1193"/>
      <c r="D368" s="1193"/>
      <c r="E368" s="1194"/>
    </row>
    <row r="369" spans="2:5" s="1186" customFormat="1">
      <c r="B369" s="1192"/>
      <c r="C369" s="1193"/>
      <c r="D369" s="1193"/>
      <c r="E369" s="1194"/>
    </row>
    <row r="370" spans="2:5" s="1186" customFormat="1">
      <c r="B370" s="1192"/>
      <c r="C370" s="1193"/>
      <c r="D370" s="1193"/>
      <c r="E370" s="1194"/>
    </row>
    <row r="371" spans="2:5" s="1186" customFormat="1">
      <c r="B371" s="1192"/>
      <c r="C371" s="1193"/>
      <c r="D371" s="1193"/>
      <c r="E371" s="1194"/>
    </row>
    <row r="372" spans="2:5" s="1186" customFormat="1">
      <c r="B372" s="1192"/>
      <c r="C372" s="1193"/>
      <c r="D372" s="1193"/>
      <c r="E372" s="1194"/>
    </row>
    <row r="373" spans="2:5" s="1186" customFormat="1">
      <c r="B373" s="1192"/>
      <c r="C373" s="1193"/>
      <c r="D373" s="1193"/>
      <c r="E373" s="1194"/>
    </row>
    <row r="374" spans="2:5" s="1186" customFormat="1">
      <c r="B374" s="1192"/>
      <c r="C374" s="1193"/>
      <c r="D374" s="1193"/>
      <c r="E374" s="1194"/>
    </row>
    <row r="375" spans="2:5" s="1186" customFormat="1">
      <c r="B375" s="1192"/>
      <c r="C375" s="1193"/>
      <c r="D375" s="1193"/>
      <c r="E375" s="1194"/>
    </row>
    <row r="376" spans="2:5" s="1186" customFormat="1">
      <c r="B376" s="1192"/>
      <c r="C376" s="1193"/>
      <c r="D376" s="1193"/>
      <c r="E376" s="1194"/>
    </row>
    <row r="377" spans="2:5" s="1186" customFormat="1">
      <c r="B377" s="1192"/>
      <c r="C377" s="1193"/>
      <c r="D377" s="1193"/>
      <c r="E377" s="1194"/>
    </row>
    <row r="378" spans="2:5" s="1186" customFormat="1">
      <c r="B378" s="1192"/>
      <c r="C378" s="1193"/>
      <c r="D378" s="1193"/>
      <c r="E378" s="1194"/>
    </row>
    <row r="379" spans="2:5" s="1186" customFormat="1">
      <c r="B379" s="1192"/>
      <c r="C379" s="1193"/>
      <c r="D379" s="1193"/>
      <c r="E379" s="1194"/>
    </row>
    <row r="380" spans="2:5" s="1186" customFormat="1">
      <c r="B380" s="1192"/>
      <c r="C380" s="1193"/>
      <c r="D380" s="1193"/>
      <c r="E380" s="1194"/>
    </row>
    <row r="381" spans="2:5" s="1186" customFormat="1">
      <c r="B381" s="1192"/>
      <c r="C381" s="1193"/>
      <c r="D381" s="1193"/>
      <c r="E381" s="1194"/>
    </row>
    <row r="382" spans="2:5" s="1186" customFormat="1">
      <c r="B382" s="1192"/>
      <c r="C382" s="1193"/>
      <c r="D382" s="1193"/>
      <c r="E382" s="1194"/>
    </row>
    <row r="383" spans="2:5" s="1186" customFormat="1">
      <c r="B383" s="1192"/>
      <c r="C383" s="1193"/>
      <c r="D383" s="1193"/>
      <c r="E383" s="1194"/>
    </row>
    <row r="384" spans="2:5" s="1186" customFormat="1">
      <c r="B384" s="1192"/>
      <c r="C384" s="1193"/>
      <c r="D384" s="1193"/>
      <c r="E384" s="1194"/>
    </row>
    <row r="385" spans="2:16315" s="1186" customFormat="1">
      <c r="B385" s="1192"/>
      <c r="C385" s="1193"/>
      <c r="D385" s="1193"/>
      <c r="E385" s="1194"/>
    </row>
    <row r="386" spans="2:16315" s="1186" customFormat="1">
      <c r="B386" s="1192"/>
      <c r="C386" s="1193"/>
      <c r="D386" s="1193"/>
      <c r="E386" s="1194"/>
    </row>
    <row r="387" spans="2:16315" s="1186" customFormat="1">
      <c r="B387" s="1192"/>
      <c r="C387" s="1193"/>
      <c r="D387" s="1193"/>
      <c r="E387" s="1194"/>
      <c r="I387" s="1250"/>
      <c r="GF387" s="1185"/>
      <c r="GG387" s="1185"/>
      <c r="GH387" s="1185"/>
      <c r="GI387" s="1185"/>
      <c r="GJ387" s="1185"/>
      <c r="GK387" s="1185"/>
      <c r="GL387" s="1185"/>
      <c r="GM387" s="1185"/>
      <c r="GN387" s="1185"/>
      <c r="GO387" s="1185"/>
      <c r="GP387" s="1185"/>
      <c r="GQ387" s="1185"/>
      <c r="GR387" s="1185"/>
      <c r="GS387" s="1185"/>
      <c r="GT387" s="1185"/>
      <c r="GU387" s="1185"/>
      <c r="GV387" s="1185"/>
      <c r="GW387" s="1185"/>
      <c r="GX387" s="1185"/>
      <c r="GY387" s="1185"/>
      <c r="GZ387" s="1185"/>
      <c r="HA387" s="1185"/>
      <c r="HB387" s="1185"/>
      <c r="HC387" s="1185"/>
      <c r="HD387" s="1185"/>
      <c r="HE387" s="1185"/>
      <c r="HF387" s="1185"/>
      <c r="HG387" s="1185"/>
      <c r="HH387" s="1185"/>
      <c r="HI387" s="1185"/>
      <c r="HJ387" s="1185"/>
      <c r="HK387" s="1185"/>
      <c r="HL387" s="1185"/>
      <c r="HM387" s="1185"/>
      <c r="HN387" s="1185"/>
      <c r="HO387" s="1185"/>
      <c r="HP387" s="1185"/>
      <c r="HQ387" s="1185"/>
      <c r="HR387" s="1185"/>
      <c r="HS387" s="1185"/>
      <c r="HT387" s="1185"/>
      <c r="HU387" s="1185"/>
      <c r="HV387" s="1185"/>
      <c r="HW387" s="1185"/>
      <c r="HX387" s="1185"/>
      <c r="HY387" s="1185"/>
      <c r="HZ387" s="1185"/>
      <c r="IA387" s="1185"/>
      <c r="IB387" s="1185"/>
      <c r="IC387" s="1185"/>
      <c r="ID387" s="1185"/>
      <c r="IE387" s="1185"/>
      <c r="IF387" s="1185"/>
      <c r="IG387" s="1185"/>
      <c r="IH387" s="1185"/>
      <c r="II387" s="1185"/>
      <c r="IJ387" s="1185"/>
      <c r="IK387" s="1185"/>
      <c r="IL387" s="1185"/>
      <c r="IM387" s="1185"/>
      <c r="IN387" s="1185"/>
      <c r="IO387" s="1185"/>
      <c r="IP387" s="1185"/>
      <c r="IQ387" s="1185"/>
      <c r="IR387" s="1185"/>
      <c r="IS387" s="1185"/>
      <c r="IT387" s="1185"/>
      <c r="IU387" s="1185"/>
      <c r="IV387" s="1185"/>
      <c r="IW387" s="1185"/>
      <c r="IX387" s="1185"/>
      <c r="IY387" s="1185"/>
      <c r="IZ387" s="1185"/>
      <c r="JA387" s="1185"/>
      <c r="JB387" s="1185"/>
      <c r="JC387" s="1185"/>
      <c r="JD387" s="1185"/>
      <c r="JE387" s="1185"/>
      <c r="JF387" s="1185"/>
      <c r="JG387" s="1185"/>
      <c r="JH387" s="1185"/>
      <c r="JI387" s="1185"/>
      <c r="JJ387" s="1185"/>
      <c r="JK387" s="1185"/>
      <c r="JL387" s="1185"/>
      <c r="JM387" s="1185"/>
      <c r="JN387" s="1185"/>
      <c r="JO387" s="1185"/>
      <c r="JP387" s="1185"/>
      <c r="JQ387" s="1185"/>
      <c r="JR387" s="1185"/>
      <c r="JS387" s="1185"/>
      <c r="JT387" s="1185"/>
      <c r="JU387" s="1185"/>
      <c r="JV387" s="1185"/>
      <c r="JW387" s="1185"/>
      <c r="JX387" s="1185"/>
      <c r="JY387" s="1185"/>
      <c r="JZ387" s="1185"/>
      <c r="KA387" s="1185"/>
      <c r="KB387" s="1185"/>
      <c r="KC387" s="1185"/>
      <c r="KD387" s="1185"/>
      <c r="KE387" s="1185"/>
      <c r="KF387" s="1185"/>
      <c r="KG387" s="1185"/>
      <c r="KH387" s="1185"/>
      <c r="KI387" s="1185"/>
      <c r="KJ387" s="1185"/>
      <c r="KK387" s="1185"/>
      <c r="KL387" s="1185"/>
      <c r="KM387" s="1185"/>
      <c r="KN387" s="1185"/>
      <c r="KO387" s="1185"/>
      <c r="KP387" s="1185"/>
      <c r="KQ387" s="1185"/>
      <c r="KR387" s="1185"/>
      <c r="KS387" s="1185"/>
      <c r="KT387" s="1185"/>
      <c r="KU387" s="1185"/>
      <c r="KV387" s="1185"/>
      <c r="KW387" s="1185"/>
      <c r="KX387" s="1185"/>
      <c r="KY387" s="1185"/>
      <c r="KZ387" s="1185"/>
      <c r="LA387" s="1185"/>
      <c r="LB387" s="1185"/>
      <c r="LC387" s="1185"/>
      <c r="LD387" s="1185"/>
      <c r="LE387" s="1185"/>
      <c r="LF387" s="1185"/>
      <c r="LG387" s="1185"/>
      <c r="LH387" s="1185"/>
      <c r="LI387" s="1185"/>
      <c r="LJ387" s="1185"/>
      <c r="LK387" s="1185"/>
      <c r="LL387" s="1185"/>
      <c r="LM387" s="1185"/>
      <c r="LN387" s="1185"/>
      <c r="LO387" s="1185"/>
      <c r="LP387" s="1185"/>
      <c r="LQ387" s="1185"/>
      <c r="LR387" s="1185"/>
      <c r="LS387" s="1185"/>
      <c r="LT387" s="1185"/>
      <c r="LU387" s="1185"/>
      <c r="LV387" s="1185"/>
      <c r="LW387" s="1185"/>
      <c r="LX387" s="1185"/>
      <c r="LY387" s="1185"/>
      <c r="LZ387" s="1185"/>
      <c r="MA387" s="1185"/>
      <c r="MB387" s="1185"/>
      <c r="MC387" s="1185"/>
      <c r="MD387" s="1185"/>
      <c r="ME387" s="1185"/>
      <c r="MF387" s="1185"/>
      <c r="MG387" s="1185"/>
      <c r="MH387" s="1185"/>
      <c r="MI387" s="1185"/>
      <c r="MJ387" s="1185"/>
      <c r="MK387" s="1185"/>
      <c r="ML387" s="1185"/>
      <c r="MM387" s="1185"/>
      <c r="MN387" s="1185"/>
      <c r="MO387" s="1185"/>
      <c r="MP387" s="1185"/>
      <c r="MQ387" s="1185"/>
      <c r="MR387" s="1185"/>
      <c r="MS387" s="1185"/>
      <c r="MT387" s="1185"/>
      <c r="MU387" s="1185"/>
      <c r="MV387" s="1185"/>
      <c r="MW387" s="1185"/>
      <c r="MX387" s="1185"/>
      <c r="MY387" s="1185"/>
      <c r="MZ387" s="1185"/>
      <c r="NA387" s="1185"/>
      <c r="NB387" s="1185"/>
      <c r="NC387" s="1185"/>
      <c r="ND387" s="1185"/>
      <c r="NE387" s="1185"/>
      <c r="NF387" s="1185"/>
      <c r="NG387" s="1185"/>
      <c r="NH387" s="1185"/>
      <c r="NI387" s="1185"/>
      <c r="NJ387" s="1185"/>
      <c r="NK387" s="1185"/>
      <c r="NL387" s="1185"/>
      <c r="NM387" s="1185"/>
      <c r="NN387" s="1185"/>
      <c r="NO387" s="1185"/>
      <c r="NP387" s="1185"/>
      <c r="NQ387" s="1185"/>
      <c r="NR387" s="1185"/>
      <c r="NS387" s="1185"/>
      <c r="NT387" s="1185"/>
      <c r="NU387" s="1185"/>
      <c r="NV387" s="1185"/>
      <c r="NW387" s="1185"/>
      <c r="NX387" s="1185"/>
      <c r="NY387" s="1185"/>
      <c r="NZ387" s="1185"/>
      <c r="OA387" s="1185"/>
      <c r="OB387" s="1185"/>
      <c r="OC387" s="1185"/>
      <c r="OD387" s="1185"/>
      <c r="OE387" s="1185"/>
      <c r="OF387" s="1185"/>
      <c r="OG387" s="1185"/>
      <c r="OH387" s="1185"/>
      <c r="OI387" s="1185"/>
      <c r="OJ387" s="1185"/>
      <c r="OK387" s="1185"/>
      <c r="OL387" s="1185"/>
      <c r="OM387" s="1185"/>
      <c r="ON387" s="1185"/>
      <c r="OO387" s="1185"/>
      <c r="OP387" s="1185"/>
      <c r="OQ387" s="1185"/>
      <c r="OR387" s="1185"/>
      <c r="OS387" s="1185"/>
      <c r="OT387" s="1185"/>
      <c r="OU387" s="1185"/>
      <c r="OV387" s="1185"/>
      <c r="OW387" s="1185"/>
      <c r="OX387" s="1185"/>
      <c r="OY387" s="1185"/>
      <c r="OZ387" s="1185"/>
      <c r="PA387" s="1185"/>
      <c r="PB387" s="1185"/>
      <c r="PC387" s="1185"/>
      <c r="PD387" s="1185"/>
      <c r="PE387" s="1185"/>
      <c r="PF387" s="1185"/>
      <c r="PG387" s="1185"/>
      <c r="PH387" s="1185"/>
      <c r="PI387" s="1185"/>
      <c r="PJ387" s="1185"/>
      <c r="PK387" s="1185"/>
      <c r="PL387" s="1185"/>
      <c r="PM387" s="1185"/>
      <c r="PN387" s="1185"/>
      <c r="PO387" s="1185"/>
      <c r="PP387" s="1185"/>
      <c r="PQ387" s="1185"/>
      <c r="PR387" s="1185"/>
      <c r="PS387" s="1185"/>
      <c r="PT387" s="1185"/>
      <c r="PU387" s="1185"/>
      <c r="PV387" s="1185"/>
      <c r="PW387" s="1185"/>
      <c r="PX387" s="1185"/>
      <c r="PY387" s="1185"/>
      <c r="PZ387" s="1185"/>
      <c r="QA387" s="1185"/>
      <c r="QB387" s="1185"/>
      <c r="QC387" s="1185"/>
      <c r="QD387" s="1185"/>
      <c r="QE387" s="1185"/>
      <c r="QF387" s="1185"/>
      <c r="QG387" s="1185"/>
      <c r="QH387" s="1185"/>
      <c r="QI387" s="1185"/>
      <c r="QJ387" s="1185"/>
      <c r="QK387" s="1185"/>
      <c r="QL387" s="1185"/>
      <c r="QM387" s="1185"/>
      <c r="QN387" s="1185"/>
      <c r="QO387" s="1185"/>
      <c r="QP387" s="1185"/>
      <c r="QQ387" s="1185"/>
      <c r="QR387" s="1185"/>
      <c r="QS387" s="1185"/>
      <c r="QT387" s="1185"/>
      <c r="QU387" s="1185"/>
      <c r="QV387" s="1185"/>
      <c r="QW387" s="1185"/>
      <c r="QX387" s="1185"/>
      <c r="QY387" s="1185"/>
      <c r="QZ387" s="1185"/>
      <c r="RA387" s="1185"/>
      <c r="RB387" s="1185"/>
      <c r="RC387" s="1185"/>
      <c r="RD387" s="1185"/>
      <c r="RE387" s="1185"/>
      <c r="RF387" s="1185"/>
      <c r="RG387" s="1185"/>
      <c r="RH387" s="1185"/>
      <c r="RI387" s="1185"/>
      <c r="RJ387" s="1185"/>
      <c r="RK387" s="1185"/>
      <c r="RL387" s="1185"/>
      <c r="RM387" s="1185"/>
      <c r="RN387" s="1185"/>
      <c r="RO387" s="1185"/>
      <c r="RP387" s="1185"/>
      <c r="RQ387" s="1185"/>
      <c r="RR387" s="1185"/>
      <c r="RS387" s="1185"/>
      <c r="RT387" s="1185"/>
      <c r="RU387" s="1185"/>
      <c r="RV387" s="1185"/>
      <c r="RW387" s="1185"/>
      <c r="RX387" s="1185"/>
      <c r="RY387" s="1185"/>
      <c r="RZ387" s="1185"/>
      <c r="SA387" s="1185"/>
      <c r="SB387" s="1185"/>
      <c r="SC387" s="1185"/>
      <c r="SD387" s="1185"/>
      <c r="SE387" s="1185"/>
      <c r="SF387" s="1185"/>
      <c r="SG387" s="1185"/>
      <c r="SH387" s="1185"/>
      <c r="SI387" s="1185"/>
      <c r="SJ387" s="1185"/>
      <c r="SK387" s="1185"/>
      <c r="SL387" s="1185"/>
      <c r="SM387" s="1185"/>
      <c r="SN387" s="1185"/>
      <c r="SO387" s="1185"/>
      <c r="SP387" s="1185"/>
      <c r="SQ387" s="1185"/>
      <c r="SR387" s="1185"/>
      <c r="SS387" s="1185"/>
      <c r="ST387" s="1185"/>
      <c r="SU387" s="1185"/>
      <c r="SV387" s="1185"/>
      <c r="SW387" s="1185"/>
      <c r="SX387" s="1185"/>
      <c r="SY387" s="1185"/>
      <c r="SZ387" s="1185"/>
      <c r="TA387" s="1185"/>
      <c r="TB387" s="1185"/>
      <c r="TC387" s="1185"/>
      <c r="TD387" s="1185"/>
      <c r="TE387" s="1185"/>
      <c r="TF387" s="1185"/>
      <c r="TG387" s="1185"/>
      <c r="TH387" s="1185"/>
      <c r="TI387" s="1185"/>
      <c r="TJ387" s="1185"/>
      <c r="TK387" s="1185"/>
      <c r="TL387" s="1185"/>
      <c r="TM387" s="1185"/>
      <c r="TN387" s="1185"/>
      <c r="TO387" s="1185"/>
      <c r="TP387" s="1185"/>
      <c r="TQ387" s="1185"/>
      <c r="TR387" s="1185"/>
      <c r="TS387" s="1185"/>
      <c r="TT387" s="1185"/>
      <c r="TU387" s="1185"/>
      <c r="TV387" s="1185"/>
      <c r="TW387" s="1185"/>
      <c r="TX387" s="1185"/>
      <c r="TY387" s="1185"/>
      <c r="TZ387" s="1185"/>
      <c r="UA387" s="1185"/>
      <c r="UB387" s="1185"/>
      <c r="UC387" s="1185"/>
      <c r="UD387" s="1185"/>
      <c r="UE387" s="1185"/>
      <c r="UF387" s="1185"/>
      <c r="UG387" s="1185"/>
      <c r="UH387" s="1185"/>
      <c r="UI387" s="1185"/>
      <c r="UJ387" s="1185"/>
      <c r="UK387" s="1185"/>
      <c r="UL387" s="1185"/>
      <c r="UM387" s="1185"/>
      <c r="UN387" s="1185"/>
      <c r="UO387" s="1185"/>
      <c r="UP387" s="1185"/>
      <c r="UQ387" s="1185"/>
      <c r="UR387" s="1185"/>
      <c r="US387" s="1185"/>
      <c r="UT387" s="1185"/>
      <c r="UU387" s="1185"/>
      <c r="UV387" s="1185"/>
      <c r="UW387" s="1185"/>
      <c r="UX387" s="1185"/>
      <c r="UY387" s="1185"/>
      <c r="UZ387" s="1185"/>
      <c r="VA387" s="1185"/>
      <c r="VB387" s="1185"/>
      <c r="VC387" s="1185"/>
      <c r="VD387" s="1185"/>
      <c r="VE387" s="1185"/>
      <c r="VF387" s="1185"/>
      <c r="VG387" s="1185"/>
      <c r="VH387" s="1185"/>
      <c r="VI387" s="1185"/>
      <c r="VJ387" s="1185"/>
      <c r="VK387" s="1185"/>
      <c r="VL387" s="1185"/>
      <c r="VM387" s="1185"/>
      <c r="VN387" s="1185"/>
      <c r="VO387" s="1185"/>
      <c r="VP387" s="1185"/>
      <c r="VQ387" s="1185"/>
      <c r="VR387" s="1185"/>
      <c r="VS387" s="1185"/>
      <c r="VT387" s="1185"/>
      <c r="VU387" s="1185"/>
      <c r="VV387" s="1185"/>
      <c r="VW387" s="1185"/>
      <c r="VX387" s="1185"/>
      <c r="VY387" s="1185"/>
      <c r="VZ387" s="1185"/>
      <c r="WA387" s="1185"/>
      <c r="WB387" s="1185"/>
      <c r="WC387" s="1185"/>
      <c r="WD387" s="1185"/>
      <c r="WE387" s="1185"/>
      <c r="WF387" s="1185"/>
      <c r="WG387" s="1185"/>
      <c r="WH387" s="1185"/>
      <c r="WI387" s="1185"/>
      <c r="WJ387" s="1185"/>
      <c r="WK387" s="1185"/>
      <c r="WL387" s="1185"/>
      <c r="WM387" s="1185"/>
      <c r="WN387" s="1185"/>
      <c r="WO387" s="1185"/>
      <c r="WP387" s="1185"/>
      <c r="WQ387" s="1185"/>
      <c r="WR387" s="1185"/>
      <c r="WS387" s="1185"/>
      <c r="WT387" s="1185"/>
      <c r="WU387" s="1185"/>
      <c r="WV387" s="1185"/>
      <c r="WW387" s="1185"/>
      <c r="WX387" s="1185"/>
      <c r="WY387" s="1185"/>
      <c r="WZ387" s="1185"/>
      <c r="XA387" s="1185"/>
      <c r="XB387" s="1185"/>
      <c r="XC387" s="1185"/>
      <c r="XD387" s="1185"/>
      <c r="XE387" s="1185"/>
      <c r="XF387" s="1185"/>
      <c r="XG387" s="1185"/>
      <c r="XH387" s="1185"/>
      <c r="XI387" s="1185"/>
      <c r="XJ387" s="1185"/>
      <c r="XK387" s="1185"/>
      <c r="XL387" s="1185"/>
      <c r="XM387" s="1185"/>
      <c r="XN387" s="1185"/>
      <c r="XO387" s="1185"/>
      <c r="XP387" s="1185"/>
      <c r="XQ387" s="1185"/>
      <c r="XR387" s="1185"/>
      <c r="XS387" s="1185"/>
      <c r="XT387" s="1185"/>
      <c r="XU387" s="1185"/>
      <c r="XV387" s="1185"/>
      <c r="XW387" s="1185"/>
      <c r="XX387" s="1185"/>
      <c r="XY387" s="1185"/>
      <c r="XZ387" s="1185"/>
      <c r="YA387" s="1185"/>
      <c r="YB387" s="1185"/>
      <c r="YC387" s="1185"/>
      <c r="YD387" s="1185"/>
      <c r="YE387" s="1185"/>
      <c r="YF387" s="1185"/>
      <c r="YG387" s="1185"/>
      <c r="YH387" s="1185"/>
      <c r="YI387" s="1185"/>
      <c r="YJ387" s="1185"/>
      <c r="YK387" s="1185"/>
      <c r="YL387" s="1185"/>
      <c r="YM387" s="1185"/>
      <c r="YN387" s="1185"/>
      <c r="YO387" s="1185"/>
      <c r="YP387" s="1185"/>
      <c r="YQ387" s="1185"/>
      <c r="YR387" s="1185"/>
      <c r="YS387" s="1185"/>
      <c r="YT387" s="1185"/>
      <c r="YU387" s="1185"/>
      <c r="YV387" s="1185"/>
      <c r="YW387" s="1185"/>
      <c r="YX387" s="1185"/>
      <c r="YY387" s="1185"/>
      <c r="YZ387" s="1185"/>
      <c r="ZA387" s="1185"/>
      <c r="ZB387" s="1185"/>
      <c r="ZC387" s="1185"/>
      <c r="ZD387" s="1185"/>
      <c r="ZE387" s="1185"/>
      <c r="ZF387" s="1185"/>
      <c r="ZG387" s="1185"/>
      <c r="ZH387" s="1185"/>
      <c r="ZI387" s="1185"/>
      <c r="ZJ387" s="1185"/>
      <c r="ZK387" s="1185"/>
      <c r="ZL387" s="1185"/>
      <c r="ZM387" s="1185"/>
      <c r="ZN387" s="1185"/>
      <c r="ZO387" s="1185"/>
      <c r="ZP387" s="1185"/>
      <c r="ZQ387" s="1185"/>
      <c r="ZR387" s="1185"/>
      <c r="ZS387" s="1185"/>
      <c r="ZT387" s="1185"/>
      <c r="ZU387" s="1185"/>
      <c r="ZV387" s="1185"/>
      <c r="ZW387" s="1185"/>
      <c r="ZX387" s="1185"/>
      <c r="ZY387" s="1185"/>
      <c r="ZZ387" s="1185"/>
      <c r="AAA387" s="1185"/>
      <c r="AAB387" s="1185"/>
      <c r="AAC387" s="1185"/>
      <c r="AAD387" s="1185"/>
      <c r="AAE387" s="1185"/>
      <c r="AAF387" s="1185"/>
      <c r="AAG387" s="1185"/>
      <c r="AAH387" s="1185"/>
      <c r="AAI387" s="1185"/>
      <c r="AAJ387" s="1185"/>
      <c r="AAK387" s="1185"/>
      <c r="AAL387" s="1185"/>
      <c r="AAM387" s="1185"/>
      <c r="AAN387" s="1185"/>
      <c r="AAO387" s="1185"/>
      <c r="AAP387" s="1185"/>
      <c r="AAQ387" s="1185"/>
      <c r="AAR387" s="1185"/>
      <c r="AAS387" s="1185"/>
      <c r="AAT387" s="1185"/>
      <c r="AAU387" s="1185"/>
      <c r="AAV387" s="1185"/>
      <c r="AAW387" s="1185"/>
      <c r="AAX387" s="1185"/>
      <c r="AAY387" s="1185"/>
      <c r="AAZ387" s="1185"/>
      <c r="ABA387" s="1185"/>
      <c r="ABB387" s="1185"/>
      <c r="ABC387" s="1185"/>
      <c r="ABD387" s="1185"/>
      <c r="ABE387" s="1185"/>
      <c r="ABF387" s="1185"/>
      <c r="ABG387" s="1185"/>
      <c r="ABH387" s="1185"/>
      <c r="ABI387" s="1185"/>
      <c r="ABJ387" s="1185"/>
      <c r="ABK387" s="1185"/>
      <c r="ABL387" s="1185"/>
      <c r="ABM387" s="1185"/>
      <c r="ABN387" s="1185"/>
      <c r="ABO387" s="1185"/>
      <c r="ABP387" s="1185"/>
      <c r="ABQ387" s="1185"/>
      <c r="ABR387" s="1185"/>
      <c r="ABS387" s="1185"/>
      <c r="ABT387" s="1185"/>
      <c r="ABU387" s="1185"/>
      <c r="ABV387" s="1185"/>
      <c r="ABW387" s="1185"/>
      <c r="ABX387" s="1185"/>
      <c r="ABY387" s="1185"/>
      <c r="ABZ387" s="1185"/>
      <c r="ACA387" s="1185"/>
      <c r="ACB387" s="1185"/>
      <c r="ACC387" s="1185"/>
      <c r="ACD387" s="1185"/>
      <c r="ACE387" s="1185"/>
      <c r="ACF387" s="1185"/>
      <c r="ACG387" s="1185"/>
      <c r="ACH387" s="1185"/>
      <c r="ACI387" s="1185"/>
      <c r="ACJ387" s="1185"/>
      <c r="ACK387" s="1185"/>
      <c r="ACL387" s="1185"/>
      <c r="ACM387" s="1185"/>
      <c r="ACN387" s="1185"/>
      <c r="ACO387" s="1185"/>
      <c r="ACP387" s="1185"/>
      <c r="ACQ387" s="1185"/>
      <c r="ACR387" s="1185"/>
      <c r="ACS387" s="1185"/>
      <c r="ACT387" s="1185"/>
      <c r="ACU387" s="1185"/>
      <c r="ACV387" s="1185"/>
      <c r="ACW387" s="1185"/>
      <c r="ACX387" s="1185"/>
      <c r="ACY387" s="1185"/>
      <c r="ACZ387" s="1185"/>
      <c r="ADA387" s="1185"/>
      <c r="ADB387" s="1185"/>
      <c r="ADC387" s="1185"/>
      <c r="ADD387" s="1185"/>
      <c r="ADE387" s="1185"/>
      <c r="ADF387" s="1185"/>
      <c r="ADG387" s="1185"/>
      <c r="ADH387" s="1185"/>
      <c r="ADI387" s="1185"/>
      <c r="ADJ387" s="1185"/>
      <c r="ADK387" s="1185"/>
      <c r="ADL387" s="1185"/>
      <c r="ADM387" s="1185"/>
      <c r="ADN387" s="1185"/>
      <c r="ADO387" s="1185"/>
      <c r="ADP387" s="1185"/>
      <c r="ADQ387" s="1185"/>
      <c r="ADR387" s="1185"/>
      <c r="ADS387" s="1185"/>
      <c r="ADT387" s="1185"/>
      <c r="ADU387" s="1185"/>
      <c r="ADV387" s="1185"/>
      <c r="ADW387" s="1185"/>
      <c r="ADX387" s="1185"/>
      <c r="ADY387" s="1185"/>
      <c r="ADZ387" s="1185"/>
      <c r="AEA387" s="1185"/>
      <c r="AEB387" s="1185"/>
      <c r="AEC387" s="1185"/>
      <c r="AED387" s="1185"/>
      <c r="AEE387" s="1185"/>
      <c r="AEF387" s="1185"/>
      <c r="AEG387" s="1185"/>
      <c r="AEH387" s="1185"/>
      <c r="AEI387" s="1185"/>
      <c r="AEJ387" s="1185"/>
      <c r="AEK387" s="1185"/>
      <c r="AEL387" s="1185"/>
      <c r="AEM387" s="1185"/>
      <c r="AEN387" s="1185"/>
      <c r="AEO387" s="1185"/>
      <c r="AEP387" s="1185"/>
      <c r="AEQ387" s="1185"/>
      <c r="AER387" s="1185"/>
      <c r="AES387" s="1185"/>
      <c r="AET387" s="1185"/>
      <c r="AEU387" s="1185"/>
      <c r="AEV387" s="1185"/>
      <c r="AEW387" s="1185"/>
      <c r="AEX387" s="1185"/>
      <c r="AEY387" s="1185"/>
      <c r="AEZ387" s="1185"/>
      <c r="AFA387" s="1185"/>
      <c r="AFB387" s="1185"/>
      <c r="AFC387" s="1185"/>
      <c r="AFD387" s="1185"/>
      <c r="AFE387" s="1185"/>
      <c r="AFF387" s="1185"/>
      <c r="AFG387" s="1185"/>
      <c r="AFH387" s="1185"/>
      <c r="AFI387" s="1185"/>
      <c r="AFJ387" s="1185"/>
      <c r="AFK387" s="1185"/>
      <c r="AFL387" s="1185"/>
      <c r="AFM387" s="1185"/>
      <c r="AFN387" s="1185"/>
      <c r="AFO387" s="1185"/>
      <c r="AFP387" s="1185"/>
      <c r="AFQ387" s="1185"/>
      <c r="AFR387" s="1185"/>
      <c r="AFS387" s="1185"/>
      <c r="AFT387" s="1185"/>
      <c r="AFU387" s="1185"/>
      <c r="AFV387" s="1185"/>
      <c r="AFW387" s="1185"/>
      <c r="AFX387" s="1185"/>
      <c r="AFY387" s="1185"/>
      <c r="AFZ387" s="1185"/>
      <c r="AGA387" s="1185"/>
      <c r="AGB387" s="1185"/>
      <c r="AGC387" s="1185"/>
      <c r="AGD387" s="1185"/>
      <c r="AGE387" s="1185"/>
      <c r="AGF387" s="1185"/>
      <c r="AGG387" s="1185"/>
      <c r="AGH387" s="1185"/>
      <c r="AGI387" s="1185"/>
      <c r="AGJ387" s="1185"/>
      <c r="AGK387" s="1185"/>
      <c r="AGL387" s="1185"/>
      <c r="AGM387" s="1185"/>
      <c r="AGN387" s="1185"/>
      <c r="AGO387" s="1185"/>
      <c r="AGP387" s="1185"/>
      <c r="AGQ387" s="1185"/>
      <c r="AGR387" s="1185"/>
      <c r="AGS387" s="1185"/>
      <c r="AGT387" s="1185"/>
      <c r="AGU387" s="1185"/>
      <c r="AGV387" s="1185"/>
      <c r="AGW387" s="1185"/>
      <c r="AGX387" s="1185"/>
      <c r="AGY387" s="1185"/>
      <c r="AGZ387" s="1185"/>
      <c r="AHA387" s="1185"/>
      <c r="AHB387" s="1185"/>
      <c r="AHC387" s="1185"/>
      <c r="AHD387" s="1185"/>
      <c r="AHE387" s="1185"/>
      <c r="AHF387" s="1185"/>
      <c r="AHG387" s="1185"/>
      <c r="AHH387" s="1185"/>
      <c r="AHI387" s="1185"/>
      <c r="AHJ387" s="1185"/>
      <c r="AHK387" s="1185"/>
      <c r="AHL387" s="1185"/>
      <c r="AHM387" s="1185"/>
      <c r="AHN387" s="1185"/>
      <c r="AHO387" s="1185"/>
      <c r="AHP387" s="1185"/>
      <c r="AHQ387" s="1185"/>
      <c r="AHR387" s="1185"/>
      <c r="AHS387" s="1185"/>
      <c r="AHT387" s="1185"/>
      <c r="AHU387" s="1185"/>
      <c r="AHV387" s="1185"/>
      <c r="AHW387" s="1185"/>
      <c r="AHX387" s="1185"/>
      <c r="AHY387" s="1185"/>
      <c r="AHZ387" s="1185"/>
      <c r="AIA387" s="1185"/>
      <c r="AIB387" s="1185"/>
      <c r="AIC387" s="1185"/>
      <c r="AID387" s="1185"/>
      <c r="AIE387" s="1185"/>
      <c r="AIF387" s="1185"/>
      <c r="AIG387" s="1185"/>
      <c r="AIH387" s="1185"/>
      <c r="AII387" s="1185"/>
      <c r="AIJ387" s="1185"/>
      <c r="AIK387" s="1185"/>
      <c r="AIL387" s="1185"/>
      <c r="AIM387" s="1185"/>
      <c r="AIN387" s="1185"/>
      <c r="AIO387" s="1185"/>
      <c r="AIP387" s="1185"/>
      <c r="AIQ387" s="1185"/>
      <c r="AIR387" s="1185"/>
      <c r="AIS387" s="1185"/>
      <c r="AIT387" s="1185"/>
      <c r="AIU387" s="1185"/>
      <c r="AIV387" s="1185"/>
      <c r="AIW387" s="1185"/>
      <c r="AIX387" s="1185"/>
      <c r="AIY387" s="1185"/>
      <c r="AIZ387" s="1185"/>
      <c r="AJA387" s="1185"/>
      <c r="AJB387" s="1185"/>
      <c r="AJC387" s="1185"/>
      <c r="AJD387" s="1185"/>
      <c r="AJE387" s="1185"/>
      <c r="AJF387" s="1185"/>
      <c r="AJG387" s="1185"/>
      <c r="AJH387" s="1185"/>
      <c r="AJI387" s="1185"/>
      <c r="AJJ387" s="1185"/>
      <c r="AJK387" s="1185"/>
      <c r="AJL387" s="1185"/>
      <c r="AJM387" s="1185"/>
      <c r="AJN387" s="1185"/>
      <c r="AJO387" s="1185"/>
      <c r="AJP387" s="1185"/>
      <c r="AJQ387" s="1185"/>
      <c r="AJR387" s="1185"/>
      <c r="AJS387" s="1185"/>
      <c r="AJT387" s="1185"/>
      <c r="AJU387" s="1185"/>
      <c r="AJV387" s="1185"/>
      <c r="AJW387" s="1185"/>
      <c r="AJX387" s="1185"/>
      <c r="AJY387" s="1185"/>
      <c r="AJZ387" s="1185"/>
      <c r="AKA387" s="1185"/>
      <c r="AKB387" s="1185"/>
      <c r="AKC387" s="1185"/>
      <c r="AKD387" s="1185"/>
      <c r="AKE387" s="1185"/>
      <c r="AKF387" s="1185"/>
      <c r="AKG387" s="1185"/>
      <c r="AKH387" s="1185"/>
      <c r="AKI387" s="1185"/>
      <c r="AKJ387" s="1185"/>
      <c r="AKK387" s="1185"/>
      <c r="AKL387" s="1185"/>
      <c r="AKM387" s="1185"/>
      <c r="AKN387" s="1185"/>
      <c r="AKO387" s="1185"/>
      <c r="AKP387" s="1185"/>
      <c r="AKQ387" s="1185"/>
      <c r="AKR387" s="1185"/>
      <c r="AKS387" s="1185"/>
      <c r="AKT387" s="1185"/>
      <c r="AKU387" s="1185"/>
      <c r="AKV387" s="1185"/>
      <c r="AKW387" s="1185"/>
      <c r="AKX387" s="1185"/>
      <c r="AKY387" s="1185"/>
      <c r="AKZ387" s="1185"/>
      <c r="ALA387" s="1185"/>
      <c r="ALB387" s="1185"/>
      <c r="ALC387" s="1185"/>
      <c r="ALD387" s="1185"/>
      <c r="ALE387" s="1185"/>
      <c r="ALF387" s="1185"/>
      <c r="ALG387" s="1185"/>
      <c r="ALH387" s="1185"/>
      <c r="ALI387" s="1185"/>
      <c r="ALJ387" s="1185"/>
      <c r="ALK387" s="1185"/>
      <c r="ALL387" s="1185"/>
      <c r="ALM387" s="1185"/>
      <c r="ALN387" s="1185"/>
      <c r="ALO387" s="1185"/>
      <c r="ALP387" s="1185"/>
      <c r="ALQ387" s="1185"/>
      <c r="ALR387" s="1185"/>
      <c r="ALS387" s="1185"/>
      <c r="ALT387" s="1185"/>
      <c r="ALU387" s="1185"/>
      <c r="ALV387" s="1185"/>
      <c r="ALW387" s="1185"/>
      <c r="ALX387" s="1185"/>
      <c r="ALY387" s="1185"/>
      <c r="ALZ387" s="1185"/>
      <c r="AMA387" s="1185"/>
      <c r="AMB387" s="1185"/>
      <c r="AMC387" s="1185"/>
      <c r="AMD387" s="1185"/>
      <c r="AME387" s="1185"/>
      <c r="AMF387" s="1185"/>
      <c r="AMG387" s="1185"/>
      <c r="AMH387" s="1185"/>
      <c r="AMI387" s="1185"/>
      <c r="AMJ387" s="1185"/>
      <c r="AMK387" s="1185"/>
      <c r="AML387" s="1185"/>
      <c r="AMM387" s="1185"/>
      <c r="AMN387" s="1185"/>
      <c r="AMO387" s="1185"/>
      <c r="AMP387" s="1185"/>
      <c r="AMQ387" s="1185"/>
      <c r="AMR387" s="1185"/>
      <c r="AMS387" s="1185"/>
      <c r="AMT387" s="1185"/>
      <c r="AMU387" s="1185"/>
      <c r="AMV387" s="1185"/>
      <c r="AMW387" s="1185"/>
      <c r="AMX387" s="1185"/>
      <c r="AMY387" s="1185"/>
      <c r="AMZ387" s="1185"/>
      <c r="ANA387" s="1185"/>
      <c r="ANB387" s="1185"/>
      <c r="ANC387" s="1185"/>
      <c r="AND387" s="1185"/>
      <c r="ANE387" s="1185"/>
      <c r="ANF387" s="1185"/>
      <c r="ANG387" s="1185"/>
      <c r="ANH387" s="1185"/>
      <c r="ANI387" s="1185"/>
      <c r="ANJ387" s="1185"/>
      <c r="ANK387" s="1185"/>
      <c r="ANL387" s="1185"/>
      <c r="ANM387" s="1185"/>
      <c r="ANN387" s="1185"/>
      <c r="ANO387" s="1185"/>
      <c r="ANP387" s="1185"/>
      <c r="ANQ387" s="1185"/>
      <c r="ANR387" s="1185"/>
      <c r="ANS387" s="1185"/>
      <c r="ANT387" s="1185"/>
      <c r="ANU387" s="1185"/>
      <c r="ANV387" s="1185"/>
      <c r="ANW387" s="1185"/>
      <c r="ANX387" s="1185"/>
      <c r="ANY387" s="1185"/>
      <c r="ANZ387" s="1185"/>
      <c r="AOA387" s="1185"/>
      <c r="AOB387" s="1185"/>
      <c r="AOC387" s="1185"/>
      <c r="AOD387" s="1185"/>
      <c r="AOE387" s="1185"/>
      <c r="AOF387" s="1185"/>
      <c r="AOG387" s="1185"/>
      <c r="AOH387" s="1185"/>
      <c r="AOI387" s="1185"/>
      <c r="AOJ387" s="1185"/>
      <c r="AOK387" s="1185"/>
      <c r="AOL387" s="1185"/>
      <c r="AOM387" s="1185"/>
      <c r="AON387" s="1185"/>
      <c r="AOO387" s="1185"/>
      <c r="AOP387" s="1185"/>
      <c r="AOQ387" s="1185"/>
      <c r="AOR387" s="1185"/>
      <c r="AOS387" s="1185"/>
      <c r="AOT387" s="1185"/>
      <c r="AOU387" s="1185"/>
      <c r="AOV387" s="1185"/>
      <c r="AOW387" s="1185"/>
      <c r="AOX387" s="1185"/>
      <c r="AOY387" s="1185"/>
      <c r="AOZ387" s="1185"/>
      <c r="APA387" s="1185"/>
      <c r="APB387" s="1185"/>
      <c r="APC387" s="1185"/>
      <c r="APD387" s="1185"/>
      <c r="APE387" s="1185"/>
      <c r="APF387" s="1185"/>
      <c r="APG387" s="1185"/>
      <c r="APH387" s="1185"/>
      <c r="API387" s="1185"/>
      <c r="APJ387" s="1185"/>
      <c r="APK387" s="1185"/>
      <c r="APL387" s="1185"/>
      <c r="APM387" s="1185"/>
      <c r="APN387" s="1185"/>
      <c r="APO387" s="1185"/>
      <c r="APP387" s="1185"/>
      <c r="APQ387" s="1185"/>
      <c r="APR387" s="1185"/>
      <c r="APS387" s="1185"/>
      <c r="APT387" s="1185"/>
      <c r="APU387" s="1185"/>
      <c r="APV387" s="1185"/>
      <c r="APW387" s="1185"/>
      <c r="APX387" s="1185"/>
      <c r="APY387" s="1185"/>
      <c r="APZ387" s="1185"/>
      <c r="AQA387" s="1185"/>
      <c r="AQB387" s="1185"/>
      <c r="AQC387" s="1185"/>
      <c r="AQD387" s="1185"/>
      <c r="AQE387" s="1185"/>
      <c r="AQF387" s="1185"/>
      <c r="AQG387" s="1185"/>
      <c r="AQH387" s="1185"/>
      <c r="AQI387" s="1185"/>
      <c r="AQJ387" s="1185"/>
      <c r="AQK387" s="1185"/>
      <c r="AQL387" s="1185"/>
      <c r="AQM387" s="1185"/>
      <c r="AQN387" s="1185"/>
      <c r="AQO387" s="1185"/>
      <c r="AQP387" s="1185"/>
      <c r="AQQ387" s="1185"/>
      <c r="AQR387" s="1185"/>
      <c r="AQS387" s="1185"/>
      <c r="AQT387" s="1185"/>
      <c r="AQU387" s="1185"/>
      <c r="AQV387" s="1185"/>
      <c r="AQW387" s="1185"/>
      <c r="AQX387" s="1185"/>
      <c r="AQY387" s="1185"/>
      <c r="AQZ387" s="1185"/>
      <c r="ARA387" s="1185"/>
      <c r="ARB387" s="1185"/>
      <c r="ARC387" s="1185"/>
      <c r="ARD387" s="1185"/>
      <c r="ARE387" s="1185"/>
      <c r="ARF387" s="1185"/>
      <c r="ARG387" s="1185"/>
      <c r="ARH387" s="1185"/>
      <c r="ARI387" s="1185"/>
      <c r="ARJ387" s="1185"/>
      <c r="ARK387" s="1185"/>
      <c r="ARL387" s="1185"/>
      <c r="ARM387" s="1185"/>
      <c r="ARN387" s="1185"/>
      <c r="ARO387" s="1185"/>
      <c r="ARP387" s="1185"/>
      <c r="ARQ387" s="1185"/>
      <c r="ARR387" s="1185"/>
      <c r="ARS387" s="1185"/>
      <c r="ART387" s="1185"/>
      <c r="ARU387" s="1185"/>
      <c r="ARV387" s="1185"/>
      <c r="ARW387" s="1185"/>
      <c r="ARX387" s="1185"/>
      <c r="ARY387" s="1185"/>
      <c r="ARZ387" s="1185"/>
      <c r="ASA387" s="1185"/>
      <c r="ASB387" s="1185"/>
      <c r="ASC387" s="1185"/>
      <c r="ASD387" s="1185"/>
      <c r="ASE387" s="1185"/>
      <c r="ASF387" s="1185"/>
      <c r="ASG387" s="1185"/>
      <c r="ASH387" s="1185"/>
      <c r="ASI387" s="1185"/>
      <c r="ASJ387" s="1185"/>
      <c r="ASK387" s="1185"/>
      <c r="ASL387" s="1185"/>
      <c r="ASM387" s="1185"/>
      <c r="ASN387" s="1185"/>
      <c r="ASO387" s="1185"/>
      <c r="ASP387" s="1185"/>
      <c r="ASQ387" s="1185"/>
      <c r="ASR387" s="1185"/>
      <c r="ASS387" s="1185"/>
      <c r="AST387" s="1185"/>
      <c r="ASU387" s="1185"/>
      <c r="ASV387" s="1185"/>
      <c r="ASW387" s="1185"/>
      <c r="ASX387" s="1185"/>
      <c r="ASY387" s="1185"/>
      <c r="ASZ387" s="1185"/>
      <c r="ATA387" s="1185"/>
      <c r="ATB387" s="1185"/>
      <c r="ATC387" s="1185"/>
      <c r="ATD387" s="1185"/>
      <c r="ATE387" s="1185"/>
      <c r="ATF387" s="1185"/>
      <c r="ATG387" s="1185"/>
      <c r="ATH387" s="1185"/>
      <c r="ATI387" s="1185"/>
      <c r="ATJ387" s="1185"/>
      <c r="ATK387" s="1185"/>
      <c r="ATL387" s="1185"/>
      <c r="ATM387" s="1185"/>
      <c r="ATN387" s="1185"/>
      <c r="ATO387" s="1185"/>
      <c r="ATP387" s="1185"/>
      <c r="ATQ387" s="1185"/>
      <c r="ATR387" s="1185"/>
      <c r="ATS387" s="1185"/>
      <c r="ATT387" s="1185"/>
      <c r="ATU387" s="1185"/>
      <c r="ATV387" s="1185"/>
      <c r="ATW387" s="1185"/>
      <c r="ATX387" s="1185"/>
      <c r="ATY387" s="1185"/>
      <c r="ATZ387" s="1185"/>
      <c r="AUA387" s="1185"/>
      <c r="AUB387" s="1185"/>
      <c r="AUC387" s="1185"/>
      <c r="AUD387" s="1185"/>
      <c r="AUE387" s="1185"/>
      <c r="AUF387" s="1185"/>
      <c r="AUG387" s="1185"/>
      <c r="AUH387" s="1185"/>
      <c r="AUI387" s="1185"/>
      <c r="AUJ387" s="1185"/>
      <c r="AUK387" s="1185"/>
      <c r="AUL387" s="1185"/>
      <c r="AUM387" s="1185"/>
      <c r="AUN387" s="1185"/>
      <c r="AUO387" s="1185"/>
      <c r="AUP387" s="1185"/>
      <c r="AUQ387" s="1185"/>
      <c r="AUR387" s="1185"/>
      <c r="AUS387" s="1185"/>
      <c r="AUT387" s="1185"/>
      <c r="AUU387" s="1185"/>
      <c r="AUV387" s="1185"/>
      <c r="AUW387" s="1185"/>
      <c r="AUX387" s="1185"/>
      <c r="AUY387" s="1185"/>
      <c r="AUZ387" s="1185"/>
      <c r="AVA387" s="1185"/>
      <c r="AVB387" s="1185"/>
      <c r="AVC387" s="1185"/>
      <c r="AVD387" s="1185"/>
      <c r="AVE387" s="1185"/>
      <c r="AVF387" s="1185"/>
      <c r="AVG387" s="1185"/>
      <c r="AVH387" s="1185"/>
      <c r="AVI387" s="1185"/>
      <c r="AVJ387" s="1185"/>
      <c r="AVK387" s="1185"/>
      <c r="AVL387" s="1185"/>
      <c r="AVM387" s="1185"/>
      <c r="AVN387" s="1185"/>
      <c r="AVO387" s="1185"/>
      <c r="AVP387" s="1185"/>
      <c r="AVQ387" s="1185"/>
      <c r="AVR387" s="1185"/>
      <c r="AVS387" s="1185"/>
      <c r="AVT387" s="1185"/>
      <c r="AVU387" s="1185"/>
      <c r="AVV387" s="1185"/>
      <c r="AVW387" s="1185"/>
      <c r="AVX387" s="1185"/>
      <c r="AVY387" s="1185"/>
      <c r="AVZ387" s="1185"/>
      <c r="AWA387" s="1185"/>
      <c r="AWB387" s="1185"/>
      <c r="AWC387" s="1185"/>
      <c r="AWD387" s="1185"/>
      <c r="AWE387" s="1185"/>
      <c r="AWF387" s="1185"/>
      <c r="AWG387" s="1185"/>
      <c r="AWH387" s="1185"/>
      <c r="AWI387" s="1185"/>
      <c r="AWJ387" s="1185"/>
      <c r="AWK387" s="1185"/>
      <c r="AWL387" s="1185"/>
      <c r="AWM387" s="1185"/>
      <c r="AWN387" s="1185"/>
      <c r="AWO387" s="1185"/>
      <c r="AWP387" s="1185"/>
      <c r="AWQ387" s="1185"/>
      <c r="AWR387" s="1185"/>
      <c r="AWS387" s="1185"/>
      <c r="AWT387" s="1185"/>
      <c r="AWU387" s="1185"/>
      <c r="AWV387" s="1185"/>
      <c r="AWW387" s="1185"/>
      <c r="AWX387" s="1185"/>
      <c r="AWY387" s="1185"/>
      <c r="AWZ387" s="1185"/>
      <c r="AXA387" s="1185"/>
      <c r="AXB387" s="1185"/>
      <c r="AXC387" s="1185"/>
      <c r="AXD387" s="1185"/>
      <c r="AXE387" s="1185"/>
      <c r="AXF387" s="1185"/>
      <c r="AXG387" s="1185"/>
      <c r="AXH387" s="1185"/>
      <c r="AXI387" s="1185"/>
      <c r="AXJ387" s="1185"/>
      <c r="AXK387" s="1185"/>
      <c r="AXL387" s="1185"/>
      <c r="AXM387" s="1185"/>
      <c r="AXN387" s="1185"/>
      <c r="AXO387" s="1185"/>
      <c r="AXP387" s="1185"/>
      <c r="AXQ387" s="1185"/>
      <c r="AXR387" s="1185"/>
      <c r="AXS387" s="1185"/>
      <c r="AXT387" s="1185"/>
      <c r="AXU387" s="1185"/>
      <c r="AXV387" s="1185"/>
      <c r="AXW387" s="1185"/>
      <c r="AXX387" s="1185"/>
      <c r="AXY387" s="1185"/>
      <c r="AXZ387" s="1185"/>
      <c r="AYA387" s="1185"/>
      <c r="AYB387" s="1185"/>
      <c r="AYC387" s="1185"/>
      <c r="AYD387" s="1185"/>
      <c r="AYE387" s="1185"/>
      <c r="AYF387" s="1185"/>
      <c r="AYG387" s="1185"/>
      <c r="AYH387" s="1185"/>
      <c r="AYI387" s="1185"/>
      <c r="AYJ387" s="1185"/>
      <c r="AYK387" s="1185"/>
      <c r="AYL387" s="1185"/>
      <c r="AYM387" s="1185"/>
      <c r="AYN387" s="1185"/>
      <c r="AYO387" s="1185"/>
      <c r="AYP387" s="1185"/>
      <c r="AYQ387" s="1185"/>
      <c r="AYR387" s="1185"/>
      <c r="AYS387" s="1185"/>
      <c r="AYT387" s="1185"/>
      <c r="AYU387" s="1185"/>
      <c r="AYV387" s="1185"/>
      <c r="AYW387" s="1185"/>
      <c r="AYX387" s="1185"/>
      <c r="AYY387" s="1185"/>
      <c r="AYZ387" s="1185"/>
      <c r="AZA387" s="1185"/>
      <c r="AZB387" s="1185"/>
      <c r="AZC387" s="1185"/>
      <c r="AZD387" s="1185"/>
      <c r="AZE387" s="1185"/>
      <c r="AZF387" s="1185"/>
      <c r="AZG387" s="1185"/>
      <c r="AZH387" s="1185"/>
      <c r="AZI387" s="1185"/>
      <c r="AZJ387" s="1185"/>
      <c r="AZK387" s="1185"/>
      <c r="AZL387" s="1185"/>
      <c r="AZM387" s="1185"/>
      <c r="AZN387" s="1185"/>
      <c r="AZO387" s="1185"/>
      <c r="AZP387" s="1185"/>
      <c r="AZQ387" s="1185"/>
      <c r="AZR387" s="1185"/>
      <c r="AZS387" s="1185"/>
      <c r="AZT387" s="1185"/>
      <c r="AZU387" s="1185"/>
      <c r="AZV387" s="1185"/>
      <c r="AZW387" s="1185"/>
      <c r="AZX387" s="1185"/>
      <c r="AZY387" s="1185"/>
      <c r="AZZ387" s="1185"/>
      <c r="BAA387" s="1185"/>
      <c r="BAB387" s="1185"/>
      <c r="BAC387" s="1185"/>
      <c r="BAD387" s="1185"/>
      <c r="BAE387" s="1185"/>
      <c r="BAF387" s="1185"/>
      <c r="BAG387" s="1185"/>
      <c r="BAH387" s="1185"/>
      <c r="BAI387" s="1185"/>
      <c r="BAJ387" s="1185"/>
      <c r="BAK387" s="1185"/>
      <c r="BAL387" s="1185"/>
      <c r="BAM387" s="1185"/>
      <c r="BAN387" s="1185"/>
      <c r="BAO387" s="1185"/>
      <c r="BAP387" s="1185"/>
      <c r="BAQ387" s="1185"/>
      <c r="BAR387" s="1185"/>
      <c r="BAS387" s="1185"/>
      <c r="BAT387" s="1185"/>
      <c r="BAU387" s="1185"/>
      <c r="BAV387" s="1185"/>
      <c r="BAW387" s="1185"/>
      <c r="BAX387" s="1185"/>
      <c r="BAY387" s="1185"/>
      <c r="BAZ387" s="1185"/>
      <c r="BBA387" s="1185"/>
      <c r="BBB387" s="1185"/>
      <c r="BBC387" s="1185"/>
      <c r="BBD387" s="1185"/>
      <c r="BBE387" s="1185"/>
      <c r="BBF387" s="1185"/>
      <c r="BBG387" s="1185"/>
      <c r="BBH387" s="1185"/>
      <c r="BBI387" s="1185"/>
      <c r="BBJ387" s="1185"/>
      <c r="BBK387" s="1185"/>
      <c r="BBL387" s="1185"/>
      <c r="BBM387" s="1185"/>
      <c r="BBN387" s="1185"/>
      <c r="BBO387" s="1185"/>
      <c r="BBP387" s="1185"/>
      <c r="BBQ387" s="1185"/>
      <c r="BBR387" s="1185"/>
      <c r="BBS387" s="1185"/>
      <c r="BBT387" s="1185"/>
      <c r="BBU387" s="1185"/>
      <c r="BBV387" s="1185"/>
      <c r="BBW387" s="1185"/>
      <c r="BBX387" s="1185"/>
      <c r="BBY387" s="1185"/>
      <c r="BBZ387" s="1185"/>
      <c r="BCA387" s="1185"/>
      <c r="BCB387" s="1185"/>
      <c r="BCC387" s="1185"/>
      <c r="BCD387" s="1185"/>
      <c r="BCE387" s="1185"/>
      <c r="BCF387" s="1185"/>
      <c r="BCG387" s="1185"/>
      <c r="BCH387" s="1185"/>
      <c r="BCI387" s="1185"/>
      <c r="BCJ387" s="1185"/>
      <c r="BCK387" s="1185"/>
      <c r="BCL387" s="1185"/>
      <c r="BCM387" s="1185"/>
      <c r="BCN387" s="1185"/>
      <c r="BCO387" s="1185"/>
      <c r="BCP387" s="1185"/>
      <c r="BCQ387" s="1185"/>
      <c r="BCR387" s="1185"/>
      <c r="BCS387" s="1185"/>
      <c r="BCT387" s="1185"/>
      <c r="BCU387" s="1185"/>
      <c r="BCV387" s="1185"/>
      <c r="BCW387" s="1185"/>
      <c r="BCX387" s="1185"/>
      <c r="BCY387" s="1185"/>
      <c r="BCZ387" s="1185"/>
      <c r="BDA387" s="1185"/>
      <c r="BDB387" s="1185"/>
      <c r="BDC387" s="1185"/>
      <c r="BDD387" s="1185"/>
      <c r="BDE387" s="1185"/>
      <c r="BDF387" s="1185"/>
      <c r="BDG387" s="1185"/>
      <c r="BDH387" s="1185"/>
      <c r="BDI387" s="1185"/>
      <c r="BDJ387" s="1185"/>
      <c r="BDK387" s="1185"/>
      <c r="BDL387" s="1185"/>
      <c r="BDM387" s="1185"/>
      <c r="BDN387" s="1185"/>
      <c r="BDO387" s="1185"/>
      <c r="BDP387" s="1185"/>
      <c r="BDQ387" s="1185"/>
      <c r="BDR387" s="1185"/>
      <c r="BDS387" s="1185"/>
      <c r="BDT387" s="1185"/>
      <c r="BDU387" s="1185"/>
      <c r="BDV387" s="1185"/>
      <c r="BDW387" s="1185"/>
      <c r="BDX387" s="1185"/>
      <c r="BDY387" s="1185"/>
      <c r="BDZ387" s="1185"/>
      <c r="BEA387" s="1185"/>
      <c r="BEB387" s="1185"/>
      <c r="BEC387" s="1185"/>
      <c r="BED387" s="1185"/>
      <c r="BEE387" s="1185"/>
      <c r="BEF387" s="1185"/>
      <c r="BEG387" s="1185"/>
      <c r="BEH387" s="1185"/>
      <c r="BEI387" s="1185"/>
      <c r="BEJ387" s="1185"/>
      <c r="BEK387" s="1185"/>
      <c r="BEL387" s="1185"/>
      <c r="BEM387" s="1185"/>
      <c r="BEN387" s="1185"/>
      <c r="BEO387" s="1185"/>
      <c r="BEP387" s="1185"/>
      <c r="BEQ387" s="1185"/>
      <c r="BER387" s="1185"/>
      <c r="BES387" s="1185"/>
      <c r="BET387" s="1185"/>
      <c r="BEU387" s="1185"/>
      <c r="BEV387" s="1185"/>
      <c r="BEW387" s="1185"/>
      <c r="BEX387" s="1185"/>
      <c r="BEY387" s="1185"/>
      <c r="BEZ387" s="1185"/>
      <c r="BFA387" s="1185"/>
      <c r="BFB387" s="1185"/>
      <c r="BFC387" s="1185"/>
      <c r="BFD387" s="1185"/>
      <c r="BFE387" s="1185"/>
      <c r="BFF387" s="1185"/>
      <c r="BFG387" s="1185"/>
      <c r="BFH387" s="1185"/>
      <c r="BFI387" s="1185"/>
      <c r="BFJ387" s="1185"/>
      <c r="BFK387" s="1185"/>
      <c r="BFL387" s="1185"/>
      <c r="BFM387" s="1185"/>
      <c r="BFN387" s="1185"/>
      <c r="BFO387" s="1185"/>
      <c r="BFP387" s="1185"/>
      <c r="BFQ387" s="1185"/>
      <c r="BFR387" s="1185"/>
      <c r="BFS387" s="1185"/>
      <c r="BFT387" s="1185"/>
      <c r="BFU387" s="1185"/>
      <c r="BFV387" s="1185"/>
      <c r="BFW387" s="1185"/>
      <c r="BFX387" s="1185"/>
      <c r="BFY387" s="1185"/>
      <c r="BFZ387" s="1185"/>
      <c r="BGA387" s="1185"/>
      <c r="BGB387" s="1185"/>
      <c r="BGC387" s="1185"/>
      <c r="BGD387" s="1185"/>
      <c r="BGE387" s="1185"/>
      <c r="BGF387" s="1185"/>
      <c r="BGG387" s="1185"/>
      <c r="BGH387" s="1185"/>
      <c r="BGI387" s="1185"/>
      <c r="BGJ387" s="1185"/>
      <c r="BGK387" s="1185"/>
      <c r="BGL387" s="1185"/>
      <c r="BGM387" s="1185"/>
      <c r="BGN387" s="1185"/>
      <c r="BGO387" s="1185"/>
      <c r="BGP387" s="1185"/>
      <c r="BGQ387" s="1185"/>
      <c r="BGR387" s="1185"/>
      <c r="BGS387" s="1185"/>
      <c r="BGT387" s="1185"/>
      <c r="BGU387" s="1185"/>
      <c r="BGV387" s="1185"/>
      <c r="BGW387" s="1185"/>
      <c r="BGX387" s="1185"/>
      <c r="BGY387" s="1185"/>
      <c r="BGZ387" s="1185"/>
      <c r="BHA387" s="1185"/>
      <c r="BHB387" s="1185"/>
      <c r="BHC387" s="1185"/>
      <c r="BHD387" s="1185"/>
      <c r="BHE387" s="1185"/>
      <c r="BHF387" s="1185"/>
      <c r="BHG387" s="1185"/>
      <c r="BHH387" s="1185"/>
      <c r="BHI387" s="1185"/>
      <c r="BHJ387" s="1185"/>
      <c r="BHK387" s="1185"/>
      <c r="BHL387" s="1185"/>
      <c r="BHM387" s="1185"/>
      <c r="BHN387" s="1185"/>
      <c r="BHO387" s="1185"/>
      <c r="BHP387" s="1185"/>
      <c r="BHQ387" s="1185"/>
      <c r="BHR387" s="1185"/>
      <c r="BHS387" s="1185"/>
      <c r="BHT387" s="1185"/>
      <c r="BHU387" s="1185"/>
      <c r="BHV387" s="1185"/>
      <c r="BHW387" s="1185"/>
      <c r="BHX387" s="1185"/>
      <c r="BHY387" s="1185"/>
      <c r="BHZ387" s="1185"/>
      <c r="BIA387" s="1185"/>
      <c r="BIB387" s="1185"/>
      <c r="BIC387" s="1185"/>
      <c r="BID387" s="1185"/>
      <c r="BIE387" s="1185"/>
      <c r="BIF387" s="1185"/>
      <c r="BIG387" s="1185"/>
      <c r="BIH387" s="1185"/>
      <c r="BII387" s="1185"/>
      <c r="BIJ387" s="1185"/>
      <c r="BIK387" s="1185"/>
      <c r="BIL387" s="1185"/>
      <c r="BIM387" s="1185"/>
      <c r="BIN387" s="1185"/>
      <c r="BIO387" s="1185"/>
      <c r="BIP387" s="1185"/>
      <c r="BIQ387" s="1185"/>
      <c r="BIR387" s="1185"/>
      <c r="BIS387" s="1185"/>
      <c r="BIT387" s="1185"/>
      <c r="BIU387" s="1185"/>
      <c r="BIV387" s="1185"/>
      <c r="BIW387" s="1185"/>
      <c r="BIX387" s="1185"/>
      <c r="BIY387" s="1185"/>
      <c r="BIZ387" s="1185"/>
      <c r="BJA387" s="1185"/>
      <c r="BJB387" s="1185"/>
      <c r="BJC387" s="1185"/>
      <c r="BJD387" s="1185"/>
      <c r="BJE387" s="1185"/>
      <c r="BJF387" s="1185"/>
      <c r="BJG387" s="1185"/>
      <c r="BJH387" s="1185"/>
      <c r="BJI387" s="1185"/>
      <c r="BJJ387" s="1185"/>
      <c r="BJK387" s="1185"/>
      <c r="BJL387" s="1185"/>
      <c r="BJM387" s="1185"/>
      <c r="BJN387" s="1185"/>
      <c r="BJO387" s="1185"/>
      <c r="BJP387" s="1185"/>
      <c r="BJQ387" s="1185"/>
      <c r="BJR387" s="1185"/>
      <c r="BJS387" s="1185"/>
      <c r="BJT387" s="1185"/>
      <c r="BJU387" s="1185"/>
      <c r="BJV387" s="1185"/>
      <c r="BJW387" s="1185"/>
      <c r="BJX387" s="1185"/>
      <c r="BJY387" s="1185"/>
      <c r="BJZ387" s="1185"/>
      <c r="BKA387" s="1185"/>
      <c r="BKB387" s="1185"/>
      <c r="BKC387" s="1185"/>
      <c r="BKD387" s="1185"/>
      <c r="BKE387" s="1185"/>
      <c r="BKF387" s="1185"/>
      <c r="BKG387" s="1185"/>
      <c r="BKH387" s="1185"/>
      <c r="BKI387" s="1185"/>
      <c r="BKJ387" s="1185"/>
      <c r="BKK387" s="1185"/>
      <c r="BKL387" s="1185"/>
      <c r="BKM387" s="1185"/>
      <c r="BKN387" s="1185"/>
      <c r="BKO387" s="1185"/>
      <c r="BKP387" s="1185"/>
      <c r="BKQ387" s="1185"/>
      <c r="BKR387" s="1185"/>
      <c r="BKS387" s="1185"/>
      <c r="BKT387" s="1185"/>
      <c r="BKU387" s="1185"/>
      <c r="BKV387" s="1185"/>
      <c r="BKW387" s="1185"/>
      <c r="BKX387" s="1185"/>
      <c r="BKY387" s="1185"/>
      <c r="BKZ387" s="1185"/>
      <c r="BLA387" s="1185"/>
      <c r="BLB387" s="1185"/>
      <c r="BLC387" s="1185"/>
      <c r="BLD387" s="1185"/>
      <c r="BLE387" s="1185"/>
      <c r="BLF387" s="1185"/>
      <c r="BLG387" s="1185"/>
      <c r="BLH387" s="1185"/>
      <c r="BLI387" s="1185"/>
      <c r="BLJ387" s="1185"/>
      <c r="BLK387" s="1185"/>
      <c r="BLL387" s="1185"/>
      <c r="BLM387" s="1185"/>
      <c r="BLN387" s="1185"/>
      <c r="BLO387" s="1185"/>
      <c r="BLP387" s="1185"/>
      <c r="BLQ387" s="1185"/>
      <c r="BLR387" s="1185"/>
      <c r="BLS387" s="1185"/>
      <c r="BLT387" s="1185"/>
      <c r="BLU387" s="1185"/>
      <c r="BLV387" s="1185"/>
      <c r="BLW387" s="1185"/>
      <c r="BLX387" s="1185"/>
      <c r="BLY387" s="1185"/>
      <c r="BLZ387" s="1185"/>
      <c r="BMA387" s="1185"/>
      <c r="BMB387" s="1185"/>
      <c r="BMC387" s="1185"/>
      <c r="BMD387" s="1185"/>
      <c r="BME387" s="1185"/>
      <c r="BMF387" s="1185"/>
      <c r="BMG387" s="1185"/>
      <c r="BMH387" s="1185"/>
      <c r="BMI387" s="1185"/>
      <c r="BMJ387" s="1185"/>
      <c r="BMK387" s="1185"/>
      <c r="BML387" s="1185"/>
      <c r="BMM387" s="1185"/>
      <c r="BMN387" s="1185"/>
      <c r="BMO387" s="1185"/>
      <c r="BMP387" s="1185"/>
      <c r="BMQ387" s="1185"/>
      <c r="BMR387" s="1185"/>
      <c r="BMS387" s="1185"/>
      <c r="BMT387" s="1185"/>
      <c r="BMU387" s="1185"/>
      <c r="BMV387" s="1185"/>
      <c r="BMW387" s="1185"/>
      <c r="BMX387" s="1185"/>
      <c r="BMY387" s="1185"/>
      <c r="BMZ387" s="1185"/>
      <c r="BNA387" s="1185"/>
      <c r="BNB387" s="1185"/>
      <c r="BNC387" s="1185"/>
      <c r="BND387" s="1185"/>
      <c r="BNE387" s="1185"/>
      <c r="BNF387" s="1185"/>
      <c r="BNG387" s="1185"/>
      <c r="BNH387" s="1185"/>
      <c r="BNI387" s="1185"/>
      <c r="BNJ387" s="1185"/>
      <c r="BNK387" s="1185"/>
      <c r="BNL387" s="1185"/>
      <c r="BNM387" s="1185"/>
      <c r="BNN387" s="1185"/>
      <c r="BNO387" s="1185"/>
      <c r="BNP387" s="1185"/>
      <c r="BNQ387" s="1185"/>
      <c r="BNR387" s="1185"/>
      <c r="BNS387" s="1185"/>
      <c r="BNT387" s="1185"/>
      <c r="BNU387" s="1185"/>
      <c r="BNV387" s="1185"/>
      <c r="BNW387" s="1185"/>
      <c r="BNX387" s="1185"/>
      <c r="BNY387" s="1185"/>
      <c r="BNZ387" s="1185"/>
      <c r="BOA387" s="1185"/>
      <c r="BOB387" s="1185"/>
      <c r="BOC387" s="1185"/>
      <c r="BOD387" s="1185"/>
      <c r="BOE387" s="1185"/>
      <c r="BOF387" s="1185"/>
      <c r="BOG387" s="1185"/>
      <c r="BOH387" s="1185"/>
      <c r="BOI387" s="1185"/>
      <c r="BOJ387" s="1185"/>
      <c r="BOK387" s="1185"/>
      <c r="BOL387" s="1185"/>
      <c r="BOM387" s="1185"/>
      <c r="BON387" s="1185"/>
      <c r="BOO387" s="1185"/>
      <c r="BOP387" s="1185"/>
      <c r="BOQ387" s="1185"/>
      <c r="BOR387" s="1185"/>
      <c r="BOS387" s="1185"/>
      <c r="BOT387" s="1185"/>
      <c r="BOU387" s="1185"/>
      <c r="BOV387" s="1185"/>
      <c r="BOW387" s="1185"/>
      <c r="BOX387" s="1185"/>
      <c r="BOY387" s="1185"/>
      <c r="BOZ387" s="1185"/>
      <c r="BPA387" s="1185"/>
      <c r="BPB387" s="1185"/>
      <c r="BPC387" s="1185"/>
      <c r="BPD387" s="1185"/>
      <c r="BPE387" s="1185"/>
      <c r="BPF387" s="1185"/>
      <c r="BPG387" s="1185"/>
      <c r="BPH387" s="1185"/>
      <c r="BPI387" s="1185"/>
      <c r="BPJ387" s="1185"/>
      <c r="BPK387" s="1185"/>
      <c r="BPL387" s="1185"/>
      <c r="BPM387" s="1185"/>
      <c r="BPN387" s="1185"/>
      <c r="BPO387" s="1185"/>
      <c r="BPP387" s="1185"/>
      <c r="BPQ387" s="1185"/>
      <c r="BPR387" s="1185"/>
      <c r="BPS387" s="1185"/>
      <c r="BPT387" s="1185"/>
      <c r="BPU387" s="1185"/>
      <c r="BPV387" s="1185"/>
      <c r="BPW387" s="1185"/>
      <c r="BPX387" s="1185"/>
      <c r="BPY387" s="1185"/>
      <c r="BPZ387" s="1185"/>
      <c r="BQA387" s="1185"/>
      <c r="BQB387" s="1185"/>
      <c r="BQC387" s="1185"/>
      <c r="BQD387" s="1185"/>
      <c r="BQE387" s="1185"/>
      <c r="BQF387" s="1185"/>
      <c r="BQG387" s="1185"/>
      <c r="BQH387" s="1185"/>
      <c r="BQI387" s="1185"/>
      <c r="BQJ387" s="1185"/>
      <c r="BQK387" s="1185"/>
      <c r="BQL387" s="1185"/>
      <c r="BQM387" s="1185"/>
      <c r="BQN387" s="1185"/>
      <c r="BQO387" s="1185"/>
      <c r="BQP387" s="1185"/>
      <c r="BQQ387" s="1185"/>
      <c r="BQR387" s="1185"/>
      <c r="BQS387" s="1185"/>
      <c r="BQT387" s="1185"/>
      <c r="BQU387" s="1185"/>
      <c r="BQV387" s="1185"/>
      <c r="BQW387" s="1185"/>
      <c r="BQX387" s="1185"/>
      <c r="BQY387" s="1185"/>
      <c r="BQZ387" s="1185"/>
      <c r="BRA387" s="1185"/>
      <c r="BRB387" s="1185"/>
      <c r="BRC387" s="1185"/>
      <c r="BRD387" s="1185"/>
      <c r="BRE387" s="1185"/>
      <c r="BRF387" s="1185"/>
      <c r="BRG387" s="1185"/>
      <c r="BRH387" s="1185"/>
      <c r="BRI387" s="1185"/>
      <c r="BRJ387" s="1185"/>
      <c r="BRK387" s="1185"/>
      <c r="BRL387" s="1185"/>
      <c r="BRM387" s="1185"/>
      <c r="BRN387" s="1185"/>
      <c r="BRO387" s="1185"/>
      <c r="BRP387" s="1185"/>
      <c r="BRQ387" s="1185"/>
      <c r="BRR387" s="1185"/>
      <c r="BRS387" s="1185"/>
      <c r="BRT387" s="1185"/>
      <c r="BRU387" s="1185"/>
      <c r="BRV387" s="1185"/>
      <c r="BRW387" s="1185"/>
      <c r="BRX387" s="1185"/>
      <c r="BRY387" s="1185"/>
      <c r="BRZ387" s="1185"/>
      <c r="BSA387" s="1185"/>
      <c r="BSB387" s="1185"/>
      <c r="BSC387" s="1185"/>
      <c r="BSD387" s="1185"/>
      <c r="BSE387" s="1185"/>
      <c r="BSF387" s="1185"/>
      <c r="BSG387" s="1185"/>
      <c r="BSH387" s="1185"/>
      <c r="BSI387" s="1185"/>
      <c r="BSJ387" s="1185"/>
      <c r="BSK387" s="1185"/>
      <c r="BSL387" s="1185"/>
      <c r="BSM387" s="1185"/>
      <c r="BSN387" s="1185"/>
      <c r="BSO387" s="1185"/>
      <c r="BSP387" s="1185"/>
      <c r="BSQ387" s="1185"/>
      <c r="BSR387" s="1185"/>
      <c r="BSS387" s="1185"/>
      <c r="BST387" s="1185"/>
      <c r="BSU387" s="1185"/>
      <c r="BSV387" s="1185"/>
      <c r="BSW387" s="1185"/>
      <c r="BSX387" s="1185"/>
      <c r="BSY387" s="1185"/>
      <c r="BSZ387" s="1185"/>
      <c r="BTA387" s="1185"/>
      <c r="BTB387" s="1185"/>
      <c r="BTC387" s="1185"/>
      <c r="BTD387" s="1185"/>
      <c r="BTE387" s="1185"/>
      <c r="BTF387" s="1185"/>
      <c r="BTG387" s="1185"/>
      <c r="BTH387" s="1185"/>
      <c r="BTI387" s="1185"/>
      <c r="BTJ387" s="1185"/>
      <c r="BTK387" s="1185"/>
      <c r="BTL387" s="1185"/>
      <c r="BTM387" s="1185"/>
      <c r="BTN387" s="1185"/>
      <c r="BTO387" s="1185"/>
      <c r="BTP387" s="1185"/>
      <c r="BTQ387" s="1185"/>
      <c r="BTR387" s="1185"/>
      <c r="BTS387" s="1185"/>
      <c r="BTT387" s="1185"/>
      <c r="BTU387" s="1185"/>
      <c r="BTV387" s="1185"/>
      <c r="BTW387" s="1185"/>
      <c r="BTX387" s="1185"/>
      <c r="BTY387" s="1185"/>
      <c r="BTZ387" s="1185"/>
      <c r="BUA387" s="1185"/>
      <c r="BUB387" s="1185"/>
      <c r="BUC387" s="1185"/>
      <c r="BUD387" s="1185"/>
      <c r="BUE387" s="1185"/>
      <c r="BUF387" s="1185"/>
      <c r="BUG387" s="1185"/>
      <c r="BUH387" s="1185"/>
      <c r="BUI387" s="1185"/>
      <c r="BUJ387" s="1185"/>
      <c r="BUK387" s="1185"/>
      <c r="BUL387" s="1185"/>
      <c r="BUM387" s="1185"/>
      <c r="BUN387" s="1185"/>
      <c r="BUO387" s="1185"/>
      <c r="BUP387" s="1185"/>
      <c r="BUQ387" s="1185"/>
      <c r="BUR387" s="1185"/>
      <c r="BUS387" s="1185"/>
      <c r="BUT387" s="1185"/>
      <c r="BUU387" s="1185"/>
      <c r="BUV387" s="1185"/>
      <c r="BUW387" s="1185"/>
      <c r="BUX387" s="1185"/>
      <c r="BUY387" s="1185"/>
      <c r="BUZ387" s="1185"/>
      <c r="BVA387" s="1185"/>
      <c r="BVB387" s="1185"/>
      <c r="BVC387" s="1185"/>
      <c r="BVD387" s="1185"/>
      <c r="BVE387" s="1185"/>
      <c r="BVF387" s="1185"/>
      <c r="BVG387" s="1185"/>
      <c r="BVH387" s="1185"/>
      <c r="BVI387" s="1185"/>
      <c r="BVJ387" s="1185"/>
      <c r="BVK387" s="1185"/>
      <c r="BVL387" s="1185"/>
      <c r="BVM387" s="1185"/>
      <c r="BVN387" s="1185"/>
      <c r="BVO387" s="1185"/>
      <c r="BVP387" s="1185"/>
      <c r="BVQ387" s="1185"/>
      <c r="BVR387" s="1185"/>
      <c r="BVS387" s="1185"/>
      <c r="BVT387" s="1185"/>
      <c r="BVU387" s="1185"/>
      <c r="BVV387" s="1185"/>
      <c r="BVW387" s="1185"/>
      <c r="BVX387" s="1185"/>
      <c r="BVY387" s="1185"/>
      <c r="BVZ387" s="1185"/>
      <c r="BWA387" s="1185"/>
      <c r="BWB387" s="1185"/>
      <c r="BWC387" s="1185"/>
      <c r="BWD387" s="1185"/>
      <c r="BWE387" s="1185"/>
      <c r="BWF387" s="1185"/>
      <c r="BWG387" s="1185"/>
      <c r="BWH387" s="1185"/>
      <c r="BWI387" s="1185"/>
      <c r="BWJ387" s="1185"/>
      <c r="BWK387" s="1185"/>
      <c r="BWL387" s="1185"/>
      <c r="BWM387" s="1185"/>
      <c r="BWN387" s="1185"/>
      <c r="BWO387" s="1185"/>
      <c r="BWP387" s="1185"/>
      <c r="BWQ387" s="1185"/>
      <c r="BWR387" s="1185"/>
      <c r="BWS387" s="1185"/>
      <c r="BWT387" s="1185"/>
      <c r="BWU387" s="1185"/>
      <c r="BWV387" s="1185"/>
      <c r="BWW387" s="1185"/>
      <c r="BWX387" s="1185"/>
      <c r="BWY387" s="1185"/>
      <c r="BWZ387" s="1185"/>
      <c r="BXA387" s="1185"/>
      <c r="BXB387" s="1185"/>
      <c r="BXC387" s="1185"/>
      <c r="BXD387" s="1185"/>
      <c r="BXE387" s="1185"/>
      <c r="BXF387" s="1185"/>
      <c r="BXG387" s="1185"/>
      <c r="BXH387" s="1185"/>
      <c r="BXI387" s="1185"/>
      <c r="BXJ387" s="1185"/>
      <c r="BXK387" s="1185"/>
      <c r="BXL387" s="1185"/>
      <c r="BXM387" s="1185"/>
      <c r="BXN387" s="1185"/>
      <c r="BXO387" s="1185"/>
      <c r="BXP387" s="1185"/>
      <c r="BXQ387" s="1185"/>
      <c r="BXR387" s="1185"/>
      <c r="BXS387" s="1185"/>
      <c r="BXT387" s="1185"/>
      <c r="BXU387" s="1185"/>
      <c r="BXV387" s="1185"/>
      <c r="BXW387" s="1185"/>
      <c r="BXX387" s="1185"/>
      <c r="BXY387" s="1185"/>
      <c r="BXZ387" s="1185"/>
      <c r="BYA387" s="1185"/>
      <c r="BYB387" s="1185"/>
      <c r="BYC387" s="1185"/>
      <c r="BYD387" s="1185"/>
      <c r="BYE387" s="1185"/>
      <c r="BYF387" s="1185"/>
      <c r="BYG387" s="1185"/>
      <c r="BYH387" s="1185"/>
      <c r="BYI387" s="1185"/>
      <c r="BYJ387" s="1185"/>
      <c r="BYK387" s="1185"/>
      <c r="BYL387" s="1185"/>
      <c r="BYM387" s="1185"/>
      <c r="BYN387" s="1185"/>
      <c r="BYO387" s="1185"/>
      <c r="BYP387" s="1185"/>
      <c r="BYQ387" s="1185"/>
      <c r="BYR387" s="1185"/>
      <c r="BYS387" s="1185"/>
      <c r="BYT387" s="1185"/>
      <c r="BYU387" s="1185"/>
      <c r="BYV387" s="1185"/>
      <c r="BYW387" s="1185"/>
      <c r="BYX387" s="1185"/>
      <c r="BYY387" s="1185"/>
      <c r="BYZ387" s="1185"/>
      <c r="BZA387" s="1185"/>
      <c r="BZB387" s="1185"/>
      <c r="BZC387" s="1185"/>
      <c r="BZD387" s="1185"/>
      <c r="BZE387" s="1185"/>
      <c r="BZF387" s="1185"/>
      <c r="BZG387" s="1185"/>
      <c r="BZH387" s="1185"/>
      <c r="BZI387" s="1185"/>
      <c r="BZJ387" s="1185"/>
      <c r="BZK387" s="1185"/>
      <c r="BZL387" s="1185"/>
      <c r="BZM387" s="1185"/>
      <c r="BZN387" s="1185"/>
      <c r="BZO387" s="1185"/>
      <c r="BZP387" s="1185"/>
      <c r="BZQ387" s="1185"/>
      <c r="BZR387" s="1185"/>
      <c r="BZS387" s="1185"/>
      <c r="BZT387" s="1185"/>
      <c r="BZU387" s="1185"/>
      <c r="BZV387" s="1185"/>
      <c r="BZW387" s="1185"/>
      <c r="BZX387" s="1185"/>
      <c r="BZY387" s="1185"/>
      <c r="BZZ387" s="1185"/>
      <c r="CAA387" s="1185"/>
      <c r="CAB387" s="1185"/>
      <c r="CAC387" s="1185"/>
      <c r="CAD387" s="1185"/>
      <c r="CAE387" s="1185"/>
      <c r="CAF387" s="1185"/>
      <c r="CAG387" s="1185"/>
      <c r="CAH387" s="1185"/>
      <c r="CAI387" s="1185"/>
      <c r="CAJ387" s="1185"/>
      <c r="CAK387" s="1185"/>
      <c r="CAL387" s="1185"/>
      <c r="CAM387" s="1185"/>
      <c r="CAN387" s="1185"/>
      <c r="CAO387" s="1185"/>
      <c r="CAP387" s="1185"/>
      <c r="CAQ387" s="1185"/>
      <c r="CAR387" s="1185"/>
      <c r="CAS387" s="1185"/>
      <c r="CAT387" s="1185"/>
      <c r="CAU387" s="1185"/>
      <c r="CAV387" s="1185"/>
      <c r="CAW387" s="1185"/>
      <c r="CAX387" s="1185"/>
      <c r="CAY387" s="1185"/>
      <c r="CAZ387" s="1185"/>
      <c r="CBA387" s="1185"/>
      <c r="CBB387" s="1185"/>
      <c r="CBC387" s="1185"/>
      <c r="CBD387" s="1185"/>
      <c r="CBE387" s="1185"/>
      <c r="CBF387" s="1185"/>
      <c r="CBG387" s="1185"/>
      <c r="CBH387" s="1185"/>
      <c r="CBI387" s="1185"/>
      <c r="CBJ387" s="1185"/>
      <c r="CBK387" s="1185"/>
      <c r="CBL387" s="1185"/>
      <c r="CBM387" s="1185"/>
      <c r="CBN387" s="1185"/>
      <c r="CBO387" s="1185"/>
      <c r="CBP387" s="1185"/>
      <c r="CBQ387" s="1185"/>
      <c r="CBR387" s="1185"/>
      <c r="CBS387" s="1185"/>
      <c r="CBT387" s="1185"/>
      <c r="CBU387" s="1185"/>
      <c r="CBV387" s="1185"/>
      <c r="CBW387" s="1185"/>
      <c r="CBX387" s="1185"/>
      <c r="CBY387" s="1185"/>
      <c r="CBZ387" s="1185"/>
      <c r="CCA387" s="1185"/>
      <c r="CCB387" s="1185"/>
      <c r="CCC387" s="1185"/>
      <c r="CCD387" s="1185"/>
      <c r="CCE387" s="1185"/>
      <c r="CCF387" s="1185"/>
      <c r="CCG387" s="1185"/>
      <c r="CCH387" s="1185"/>
      <c r="CCI387" s="1185"/>
      <c r="CCJ387" s="1185"/>
      <c r="CCK387" s="1185"/>
      <c r="CCL387" s="1185"/>
      <c r="CCM387" s="1185"/>
      <c r="CCN387" s="1185"/>
      <c r="CCO387" s="1185"/>
      <c r="CCP387" s="1185"/>
      <c r="CCQ387" s="1185"/>
      <c r="CCR387" s="1185"/>
      <c r="CCS387" s="1185"/>
      <c r="CCT387" s="1185"/>
      <c r="CCU387" s="1185"/>
      <c r="CCV387" s="1185"/>
      <c r="CCW387" s="1185"/>
      <c r="CCX387" s="1185"/>
      <c r="CCY387" s="1185"/>
      <c r="CCZ387" s="1185"/>
      <c r="CDA387" s="1185"/>
      <c r="CDB387" s="1185"/>
      <c r="CDC387" s="1185"/>
      <c r="CDD387" s="1185"/>
      <c r="CDE387" s="1185"/>
      <c r="CDF387" s="1185"/>
      <c r="CDG387" s="1185"/>
      <c r="CDH387" s="1185"/>
      <c r="CDI387" s="1185"/>
      <c r="CDJ387" s="1185"/>
      <c r="CDK387" s="1185"/>
      <c r="CDL387" s="1185"/>
      <c r="CDM387" s="1185"/>
      <c r="CDN387" s="1185"/>
      <c r="CDO387" s="1185"/>
      <c r="CDP387" s="1185"/>
      <c r="CDQ387" s="1185"/>
      <c r="CDR387" s="1185"/>
      <c r="CDS387" s="1185"/>
      <c r="CDT387" s="1185"/>
      <c r="CDU387" s="1185"/>
      <c r="CDV387" s="1185"/>
      <c r="CDW387" s="1185"/>
      <c r="CDX387" s="1185"/>
      <c r="CDY387" s="1185"/>
      <c r="CDZ387" s="1185"/>
      <c r="CEA387" s="1185"/>
      <c r="CEB387" s="1185"/>
      <c r="CEC387" s="1185"/>
      <c r="CED387" s="1185"/>
      <c r="CEE387" s="1185"/>
      <c r="CEF387" s="1185"/>
      <c r="CEG387" s="1185"/>
      <c r="CEH387" s="1185"/>
      <c r="CEI387" s="1185"/>
      <c r="CEJ387" s="1185"/>
      <c r="CEK387" s="1185"/>
      <c r="CEL387" s="1185"/>
      <c r="CEM387" s="1185"/>
      <c r="CEN387" s="1185"/>
      <c r="CEO387" s="1185"/>
      <c r="CEP387" s="1185"/>
      <c r="CEQ387" s="1185"/>
      <c r="CER387" s="1185"/>
      <c r="CES387" s="1185"/>
      <c r="CET387" s="1185"/>
      <c r="CEU387" s="1185"/>
      <c r="CEV387" s="1185"/>
      <c r="CEW387" s="1185"/>
      <c r="CEX387" s="1185"/>
      <c r="CEY387" s="1185"/>
      <c r="CEZ387" s="1185"/>
      <c r="CFA387" s="1185"/>
      <c r="CFB387" s="1185"/>
      <c r="CFC387" s="1185"/>
      <c r="CFD387" s="1185"/>
      <c r="CFE387" s="1185"/>
      <c r="CFF387" s="1185"/>
      <c r="CFG387" s="1185"/>
      <c r="CFH387" s="1185"/>
      <c r="CFI387" s="1185"/>
      <c r="CFJ387" s="1185"/>
      <c r="CFK387" s="1185"/>
      <c r="CFL387" s="1185"/>
      <c r="CFM387" s="1185"/>
      <c r="CFN387" s="1185"/>
      <c r="CFO387" s="1185"/>
      <c r="CFP387" s="1185"/>
      <c r="CFQ387" s="1185"/>
      <c r="CFR387" s="1185"/>
      <c r="CFS387" s="1185"/>
      <c r="CFT387" s="1185"/>
      <c r="CFU387" s="1185"/>
      <c r="CFV387" s="1185"/>
      <c r="CFW387" s="1185"/>
      <c r="CFX387" s="1185"/>
      <c r="CFY387" s="1185"/>
      <c r="CFZ387" s="1185"/>
      <c r="CGA387" s="1185"/>
      <c r="CGB387" s="1185"/>
      <c r="CGC387" s="1185"/>
      <c r="CGD387" s="1185"/>
      <c r="CGE387" s="1185"/>
      <c r="CGF387" s="1185"/>
      <c r="CGG387" s="1185"/>
      <c r="CGH387" s="1185"/>
      <c r="CGI387" s="1185"/>
      <c r="CGJ387" s="1185"/>
      <c r="CGK387" s="1185"/>
      <c r="CGL387" s="1185"/>
      <c r="CGM387" s="1185"/>
      <c r="CGN387" s="1185"/>
      <c r="CGO387" s="1185"/>
      <c r="CGP387" s="1185"/>
      <c r="CGQ387" s="1185"/>
      <c r="CGR387" s="1185"/>
      <c r="CGS387" s="1185"/>
      <c r="CGT387" s="1185"/>
      <c r="CGU387" s="1185"/>
      <c r="CGV387" s="1185"/>
      <c r="CGW387" s="1185"/>
      <c r="CGX387" s="1185"/>
      <c r="CGY387" s="1185"/>
      <c r="CGZ387" s="1185"/>
      <c r="CHA387" s="1185"/>
      <c r="CHB387" s="1185"/>
      <c r="CHC387" s="1185"/>
      <c r="CHD387" s="1185"/>
      <c r="CHE387" s="1185"/>
      <c r="CHF387" s="1185"/>
      <c r="CHG387" s="1185"/>
      <c r="CHH387" s="1185"/>
      <c r="CHI387" s="1185"/>
      <c r="CHJ387" s="1185"/>
      <c r="CHK387" s="1185"/>
      <c r="CHL387" s="1185"/>
      <c r="CHM387" s="1185"/>
      <c r="CHN387" s="1185"/>
      <c r="CHO387" s="1185"/>
      <c r="CHP387" s="1185"/>
      <c r="CHQ387" s="1185"/>
      <c r="CHR387" s="1185"/>
      <c r="CHS387" s="1185"/>
      <c r="CHT387" s="1185"/>
      <c r="CHU387" s="1185"/>
      <c r="CHV387" s="1185"/>
      <c r="CHW387" s="1185"/>
      <c r="CHX387" s="1185"/>
      <c r="CHY387" s="1185"/>
      <c r="CHZ387" s="1185"/>
      <c r="CIA387" s="1185"/>
      <c r="CIB387" s="1185"/>
      <c r="CIC387" s="1185"/>
      <c r="CID387" s="1185"/>
      <c r="CIE387" s="1185"/>
      <c r="CIF387" s="1185"/>
      <c r="CIG387" s="1185"/>
      <c r="CIH387" s="1185"/>
      <c r="CII387" s="1185"/>
      <c r="CIJ387" s="1185"/>
      <c r="CIK387" s="1185"/>
      <c r="CIL387" s="1185"/>
      <c r="CIM387" s="1185"/>
      <c r="CIN387" s="1185"/>
      <c r="CIO387" s="1185"/>
      <c r="CIP387" s="1185"/>
      <c r="CIQ387" s="1185"/>
      <c r="CIR387" s="1185"/>
      <c r="CIS387" s="1185"/>
      <c r="CIT387" s="1185"/>
      <c r="CIU387" s="1185"/>
      <c r="CIV387" s="1185"/>
      <c r="CIW387" s="1185"/>
      <c r="CIX387" s="1185"/>
      <c r="CIY387" s="1185"/>
      <c r="CIZ387" s="1185"/>
      <c r="CJA387" s="1185"/>
      <c r="CJB387" s="1185"/>
      <c r="CJC387" s="1185"/>
      <c r="CJD387" s="1185"/>
      <c r="CJE387" s="1185"/>
      <c r="CJF387" s="1185"/>
      <c r="CJG387" s="1185"/>
      <c r="CJH387" s="1185"/>
      <c r="CJI387" s="1185"/>
      <c r="CJJ387" s="1185"/>
      <c r="CJK387" s="1185"/>
      <c r="CJL387" s="1185"/>
      <c r="CJM387" s="1185"/>
      <c r="CJN387" s="1185"/>
      <c r="CJO387" s="1185"/>
      <c r="CJP387" s="1185"/>
      <c r="CJQ387" s="1185"/>
      <c r="CJR387" s="1185"/>
      <c r="CJS387" s="1185"/>
      <c r="CJT387" s="1185"/>
      <c r="CJU387" s="1185"/>
      <c r="CJV387" s="1185"/>
      <c r="CJW387" s="1185"/>
      <c r="CJX387" s="1185"/>
      <c r="CJY387" s="1185"/>
      <c r="CJZ387" s="1185"/>
      <c r="CKA387" s="1185"/>
      <c r="CKB387" s="1185"/>
      <c r="CKC387" s="1185"/>
      <c r="CKD387" s="1185"/>
      <c r="CKE387" s="1185"/>
      <c r="CKF387" s="1185"/>
      <c r="CKG387" s="1185"/>
      <c r="CKH387" s="1185"/>
      <c r="CKI387" s="1185"/>
      <c r="CKJ387" s="1185"/>
      <c r="CKK387" s="1185"/>
      <c r="CKL387" s="1185"/>
      <c r="CKM387" s="1185"/>
      <c r="CKN387" s="1185"/>
      <c r="CKO387" s="1185"/>
      <c r="CKP387" s="1185"/>
      <c r="CKQ387" s="1185"/>
      <c r="CKR387" s="1185"/>
      <c r="CKS387" s="1185"/>
      <c r="CKT387" s="1185"/>
      <c r="CKU387" s="1185"/>
      <c r="CKV387" s="1185"/>
      <c r="CKW387" s="1185"/>
      <c r="CKX387" s="1185"/>
      <c r="CKY387" s="1185"/>
      <c r="CKZ387" s="1185"/>
      <c r="CLA387" s="1185"/>
      <c r="CLB387" s="1185"/>
      <c r="CLC387" s="1185"/>
      <c r="CLD387" s="1185"/>
      <c r="CLE387" s="1185"/>
      <c r="CLF387" s="1185"/>
      <c r="CLG387" s="1185"/>
      <c r="CLH387" s="1185"/>
      <c r="CLI387" s="1185"/>
      <c r="CLJ387" s="1185"/>
      <c r="CLK387" s="1185"/>
      <c r="CLL387" s="1185"/>
      <c r="CLM387" s="1185"/>
      <c r="CLN387" s="1185"/>
      <c r="CLO387" s="1185"/>
      <c r="CLP387" s="1185"/>
      <c r="CLQ387" s="1185"/>
      <c r="CLR387" s="1185"/>
      <c r="CLS387" s="1185"/>
      <c r="CLT387" s="1185"/>
      <c r="CLU387" s="1185"/>
      <c r="CLV387" s="1185"/>
      <c r="CLW387" s="1185"/>
      <c r="CLX387" s="1185"/>
      <c r="CLY387" s="1185"/>
      <c r="CLZ387" s="1185"/>
      <c r="CMA387" s="1185"/>
      <c r="CMB387" s="1185"/>
      <c r="CMC387" s="1185"/>
      <c r="CMD387" s="1185"/>
      <c r="CME387" s="1185"/>
      <c r="CMF387" s="1185"/>
      <c r="CMG387" s="1185"/>
      <c r="CMH387" s="1185"/>
      <c r="CMI387" s="1185"/>
      <c r="CMJ387" s="1185"/>
      <c r="CMK387" s="1185"/>
      <c r="CML387" s="1185"/>
      <c r="CMM387" s="1185"/>
      <c r="CMN387" s="1185"/>
      <c r="CMO387" s="1185"/>
      <c r="CMP387" s="1185"/>
      <c r="CMQ387" s="1185"/>
      <c r="CMR387" s="1185"/>
      <c r="CMS387" s="1185"/>
      <c r="CMT387" s="1185"/>
      <c r="CMU387" s="1185"/>
      <c r="CMV387" s="1185"/>
      <c r="CMW387" s="1185"/>
      <c r="CMX387" s="1185"/>
      <c r="CMY387" s="1185"/>
      <c r="CMZ387" s="1185"/>
      <c r="CNA387" s="1185"/>
      <c r="CNB387" s="1185"/>
      <c r="CNC387" s="1185"/>
      <c r="CND387" s="1185"/>
      <c r="CNE387" s="1185"/>
      <c r="CNF387" s="1185"/>
      <c r="CNG387" s="1185"/>
      <c r="CNH387" s="1185"/>
      <c r="CNI387" s="1185"/>
      <c r="CNJ387" s="1185"/>
      <c r="CNK387" s="1185"/>
      <c r="CNL387" s="1185"/>
      <c r="CNM387" s="1185"/>
      <c r="CNN387" s="1185"/>
      <c r="CNO387" s="1185"/>
      <c r="CNP387" s="1185"/>
      <c r="CNQ387" s="1185"/>
      <c r="CNR387" s="1185"/>
      <c r="CNS387" s="1185"/>
      <c r="CNT387" s="1185"/>
      <c r="CNU387" s="1185"/>
      <c r="CNV387" s="1185"/>
      <c r="CNW387" s="1185"/>
      <c r="CNX387" s="1185"/>
      <c r="CNY387" s="1185"/>
      <c r="CNZ387" s="1185"/>
      <c r="COA387" s="1185"/>
      <c r="COB387" s="1185"/>
      <c r="COC387" s="1185"/>
      <c r="COD387" s="1185"/>
      <c r="COE387" s="1185"/>
      <c r="COF387" s="1185"/>
      <c r="COG387" s="1185"/>
      <c r="COH387" s="1185"/>
      <c r="COI387" s="1185"/>
      <c r="COJ387" s="1185"/>
      <c r="COK387" s="1185"/>
      <c r="COL387" s="1185"/>
      <c r="COM387" s="1185"/>
      <c r="CON387" s="1185"/>
      <c r="COO387" s="1185"/>
      <c r="COP387" s="1185"/>
      <c r="COQ387" s="1185"/>
      <c r="COR387" s="1185"/>
      <c r="COS387" s="1185"/>
      <c r="COT387" s="1185"/>
      <c r="COU387" s="1185"/>
      <c r="COV387" s="1185"/>
      <c r="COW387" s="1185"/>
      <c r="COX387" s="1185"/>
      <c r="COY387" s="1185"/>
      <c r="COZ387" s="1185"/>
      <c r="CPA387" s="1185"/>
      <c r="CPB387" s="1185"/>
      <c r="CPC387" s="1185"/>
      <c r="CPD387" s="1185"/>
      <c r="CPE387" s="1185"/>
      <c r="CPF387" s="1185"/>
      <c r="CPG387" s="1185"/>
      <c r="CPH387" s="1185"/>
      <c r="CPI387" s="1185"/>
      <c r="CPJ387" s="1185"/>
      <c r="CPK387" s="1185"/>
      <c r="CPL387" s="1185"/>
      <c r="CPM387" s="1185"/>
      <c r="CPN387" s="1185"/>
      <c r="CPO387" s="1185"/>
      <c r="CPP387" s="1185"/>
      <c r="CPQ387" s="1185"/>
      <c r="CPR387" s="1185"/>
      <c r="CPS387" s="1185"/>
      <c r="CPT387" s="1185"/>
      <c r="CPU387" s="1185"/>
      <c r="CPV387" s="1185"/>
      <c r="CPW387" s="1185"/>
      <c r="CPX387" s="1185"/>
      <c r="CPY387" s="1185"/>
      <c r="CPZ387" s="1185"/>
      <c r="CQA387" s="1185"/>
      <c r="CQB387" s="1185"/>
      <c r="CQC387" s="1185"/>
      <c r="CQD387" s="1185"/>
      <c r="CQE387" s="1185"/>
      <c r="CQF387" s="1185"/>
      <c r="CQG387" s="1185"/>
      <c r="CQH387" s="1185"/>
      <c r="CQI387" s="1185"/>
      <c r="CQJ387" s="1185"/>
      <c r="CQK387" s="1185"/>
      <c r="CQL387" s="1185"/>
      <c r="CQM387" s="1185"/>
      <c r="CQN387" s="1185"/>
      <c r="CQO387" s="1185"/>
      <c r="CQP387" s="1185"/>
      <c r="CQQ387" s="1185"/>
      <c r="CQR387" s="1185"/>
      <c r="CQS387" s="1185"/>
      <c r="CQT387" s="1185"/>
      <c r="CQU387" s="1185"/>
      <c r="CQV387" s="1185"/>
      <c r="CQW387" s="1185"/>
      <c r="CQX387" s="1185"/>
      <c r="CQY387" s="1185"/>
      <c r="CQZ387" s="1185"/>
      <c r="CRA387" s="1185"/>
      <c r="CRB387" s="1185"/>
      <c r="CRC387" s="1185"/>
      <c r="CRD387" s="1185"/>
      <c r="CRE387" s="1185"/>
      <c r="CRF387" s="1185"/>
      <c r="CRG387" s="1185"/>
      <c r="CRH387" s="1185"/>
      <c r="CRI387" s="1185"/>
      <c r="CRJ387" s="1185"/>
      <c r="CRK387" s="1185"/>
      <c r="CRL387" s="1185"/>
      <c r="CRM387" s="1185"/>
      <c r="CRN387" s="1185"/>
      <c r="CRO387" s="1185"/>
      <c r="CRP387" s="1185"/>
      <c r="CRQ387" s="1185"/>
      <c r="CRR387" s="1185"/>
      <c r="CRS387" s="1185"/>
      <c r="CRT387" s="1185"/>
      <c r="CRU387" s="1185"/>
      <c r="CRV387" s="1185"/>
      <c r="CRW387" s="1185"/>
      <c r="CRX387" s="1185"/>
      <c r="CRY387" s="1185"/>
      <c r="CRZ387" s="1185"/>
      <c r="CSA387" s="1185"/>
      <c r="CSB387" s="1185"/>
      <c r="CSC387" s="1185"/>
      <c r="CSD387" s="1185"/>
      <c r="CSE387" s="1185"/>
      <c r="CSF387" s="1185"/>
      <c r="CSG387" s="1185"/>
      <c r="CSH387" s="1185"/>
      <c r="CSI387" s="1185"/>
      <c r="CSJ387" s="1185"/>
      <c r="CSK387" s="1185"/>
      <c r="CSL387" s="1185"/>
      <c r="CSM387" s="1185"/>
      <c r="CSN387" s="1185"/>
      <c r="CSO387" s="1185"/>
      <c r="CSP387" s="1185"/>
      <c r="CSQ387" s="1185"/>
      <c r="CSR387" s="1185"/>
      <c r="CSS387" s="1185"/>
      <c r="CST387" s="1185"/>
      <c r="CSU387" s="1185"/>
      <c r="CSV387" s="1185"/>
      <c r="CSW387" s="1185"/>
      <c r="CSX387" s="1185"/>
      <c r="CSY387" s="1185"/>
      <c r="CSZ387" s="1185"/>
      <c r="CTA387" s="1185"/>
      <c r="CTB387" s="1185"/>
      <c r="CTC387" s="1185"/>
      <c r="CTD387" s="1185"/>
      <c r="CTE387" s="1185"/>
      <c r="CTF387" s="1185"/>
      <c r="CTG387" s="1185"/>
      <c r="CTH387" s="1185"/>
      <c r="CTI387" s="1185"/>
      <c r="CTJ387" s="1185"/>
      <c r="CTK387" s="1185"/>
      <c r="CTL387" s="1185"/>
      <c r="CTM387" s="1185"/>
      <c r="CTN387" s="1185"/>
      <c r="CTO387" s="1185"/>
      <c r="CTP387" s="1185"/>
      <c r="CTQ387" s="1185"/>
      <c r="CTR387" s="1185"/>
      <c r="CTS387" s="1185"/>
      <c r="CTT387" s="1185"/>
      <c r="CTU387" s="1185"/>
      <c r="CTV387" s="1185"/>
      <c r="CTW387" s="1185"/>
      <c r="CTX387" s="1185"/>
      <c r="CTY387" s="1185"/>
      <c r="CTZ387" s="1185"/>
      <c r="CUA387" s="1185"/>
      <c r="CUB387" s="1185"/>
      <c r="CUC387" s="1185"/>
      <c r="CUD387" s="1185"/>
      <c r="CUE387" s="1185"/>
      <c r="CUF387" s="1185"/>
      <c r="CUG387" s="1185"/>
      <c r="CUH387" s="1185"/>
      <c r="CUI387" s="1185"/>
      <c r="CUJ387" s="1185"/>
      <c r="CUK387" s="1185"/>
      <c r="CUL387" s="1185"/>
      <c r="CUM387" s="1185"/>
      <c r="CUN387" s="1185"/>
      <c r="CUO387" s="1185"/>
      <c r="CUP387" s="1185"/>
      <c r="CUQ387" s="1185"/>
      <c r="CUR387" s="1185"/>
      <c r="CUS387" s="1185"/>
      <c r="CUT387" s="1185"/>
      <c r="CUU387" s="1185"/>
      <c r="CUV387" s="1185"/>
      <c r="CUW387" s="1185"/>
      <c r="CUX387" s="1185"/>
      <c r="CUY387" s="1185"/>
      <c r="CUZ387" s="1185"/>
      <c r="CVA387" s="1185"/>
      <c r="CVB387" s="1185"/>
      <c r="CVC387" s="1185"/>
      <c r="CVD387" s="1185"/>
      <c r="CVE387" s="1185"/>
      <c r="CVF387" s="1185"/>
      <c r="CVG387" s="1185"/>
      <c r="CVH387" s="1185"/>
      <c r="CVI387" s="1185"/>
      <c r="CVJ387" s="1185"/>
      <c r="CVK387" s="1185"/>
      <c r="CVL387" s="1185"/>
      <c r="CVM387" s="1185"/>
      <c r="CVN387" s="1185"/>
      <c r="CVO387" s="1185"/>
      <c r="CVP387" s="1185"/>
      <c r="CVQ387" s="1185"/>
      <c r="CVR387" s="1185"/>
      <c r="CVS387" s="1185"/>
      <c r="CVT387" s="1185"/>
      <c r="CVU387" s="1185"/>
      <c r="CVV387" s="1185"/>
      <c r="CVW387" s="1185"/>
      <c r="CVX387" s="1185"/>
      <c r="CVY387" s="1185"/>
      <c r="CVZ387" s="1185"/>
      <c r="CWA387" s="1185"/>
      <c r="CWB387" s="1185"/>
      <c r="CWC387" s="1185"/>
      <c r="CWD387" s="1185"/>
      <c r="CWE387" s="1185"/>
      <c r="CWF387" s="1185"/>
      <c r="CWG387" s="1185"/>
      <c r="CWH387" s="1185"/>
      <c r="CWI387" s="1185"/>
      <c r="CWJ387" s="1185"/>
      <c r="CWK387" s="1185"/>
      <c r="CWL387" s="1185"/>
      <c r="CWM387" s="1185"/>
      <c r="CWN387" s="1185"/>
      <c r="CWO387" s="1185"/>
      <c r="CWP387" s="1185"/>
      <c r="CWQ387" s="1185"/>
      <c r="CWR387" s="1185"/>
      <c r="CWS387" s="1185"/>
      <c r="CWT387" s="1185"/>
      <c r="CWU387" s="1185"/>
      <c r="CWV387" s="1185"/>
      <c r="CWW387" s="1185"/>
      <c r="CWX387" s="1185"/>
      <c r="CWY387" s="1185"/>
      <c r="CWZ387" s="1185"/>
      <c r="CXA387" s="1185"/>
      <c r="CXB387" s="1185"/>
      <c r="CXC387" s="1185"/>
      <c r="CXD387" s="1185"/>
      <c r="CXE387" s="1185"/>
      <c r="CXF387" s="1185"/>
      <c r="CXG387" s="1185"/>
      <c r="CXH387" s="1185"/>
      <c r="CXI387" s="1185"/>
      <c r="CXJ387" s="1185"/>
      <c r="CXK387" s="1185"/>
      <c r="CXL387" s="1185"/>
      <c r="CXM387" s="1185"/>
      <c r="CXN387" s="1185"/>
      <c r="CXO387" s="1185"/>
      <c r="CXP387" s="1185"/>
      <c r="CXQ387" s="1185"/>
      <c r="CXR387" s="1185"/>
      <c r="CXS387" s="1185"/>
      <c r="CXT387" s="1185"/>
      <c r="CXU387" s="1185"/>
      <c r="CXV387" s="1185"/>
      <c r="CXW387" s="1185"/>
      <c r="CXX387" s="1185"/>
      <c r="CXY387" s="1185"/>
      <c r="CXZ387" s="1185"/>
      <c r="CYA387" s="1185"/>
      <c r="CYB387" s="1185"/>
      <c r="CYC387" s="1185"/>
      <c r="CYD387" s="1185"/>
      <c r="CYE387" s="1185"/>
      <c r="CYF387" s="1185"/>
      <c r="CYG387" s="1185"/>
      <c r="CYH387" s="1185"/>
      <c r="CYI387" s="1185"/>
      <c r="CYJ387" s="1185"/>
      <c r="CYK387" s="1185"/>
      <c r="CYL387" s="1185"/>
      <c r="CYM387" s="1185"/>
      <c r="CYN387" s="1185"/>
      <c r="CYO387" s="1185"/>
      <c r="CYP387" s="1185"/>
      <c r="CYQ387" s="1185"/>
      <c r="CYR387" s="1185"/>
      <c r="CYS387" s="1185"/>
      <c r="CYT387" s="1185"/>
      <c r="CYU387" s="1185"/>
      <c r="CYV387" s="1185"/>
      <c r="CYW387" s="1185"/>
      <c r="CYX387" s="1185"/>
      <c r="CYY387" s="1185"/>
      <c r="CYZ387" s="1185"/>
      <c r="CZA387" s="1185"/>
      <c r="CZB387" s="1185"/>
      <c r="CZC387" s="1185"/>
      <c r="CZD387" s="1185"/>
      <c r="CZE387" s="1185"/>
      <c r="CZF387" s="1185"/>
      <c r="CZG387" s="1185"/>
      <c r="CZH387" s="1185"/>
      <c r="CZI387" s="1185"/>
      <c r="CZJ387" s="1185"/>
      <c r="CZK387" s="1185"/>
      <c r="CZL387" s="1185"/>
      <c r="CZM387" s="1185"/>
      <c r="CZN387" s="1185"/>
      <c r="CZO387" s="1185"/>
      <c r="CZP387" s="1185"/>
      <c r="CZQ387" s="1185"/>
      <c r="CZR387" s="1185"/>
      <c r="CZS387" s="1185"/>
      <c r="CZT387" s="1185"/>
      <c r="CZU387" s="1185"/>
      <c r="CZV387" s="1185"/>
      <c r="CZW387" s="1185"/>
      <c r="CZX387" s="1185"/>
      <c r="CZY387" s="1185"/>
      <c r="CZZ387" s="1185"/>
      <c r="DAA387" s="1185"/>
      <c r="DAB387" s="1185"/>
      <c r="DAC387" s="1185"/>
      <c r="DAD387" s="1185"/>
      <c r="DAE387" s="1185"/>
      <c r="DAF387" s="1185"/>
      <c r="DAG387" s="1185"/>
      <c r="DAH387" s="1185"/>
      <c r="DAI387" s="1185"/>
      <c r="DAJ387" s="1185"/>
      <c r="DAK387" s="1185"/>
      <c r="DAL387" s="1185"/>
      <c r="DAM387" s="1185"/>
      <c r="DAN387" s="1185"/>
      <c r="DAO387" s="1185"/>
      <c r="DAP387" s="1185"/>
      <c r="DAQ387" s="1185"/>
      <c r="DAR387" s="1185"/>
      <c r="DAS387" s="1185"/>
      <c r="DAT387" s="1185"/>
      <c r="DAU387" s="1185"/>
      <c r="DAV387" s="1185"/>
      <c r="DAW387" s="1185"/>
      <c r="DAX387" s="1185"/>
      <c r="DAY387" s="1185"/>
      <c r="DAZ387" s="1185"/>
      <c r="DBA387" s="1185"/>
      <c r="DBB387" s="1185"/>
      <c r="DBC387" s="1185"/>
      <c r="DBD387" s="1185"/>
      <c r="DBE387" s="1185"/>
      <c r="DBF387" s="1185"/>
      <c r="DBG387" s="1185"/>
      <c r="DBH387" s="1185"/>
      <c r="DBI387" s="1185"/>
      <c r="DBJ387" s="1185"/>
      <c r="DBK387" s="1185"/>
      <c r="DBL387" s="1185"/>
      <c r="DBM387" s="1185"/>
      <c r="DBN387" s="1185"/>
      <c r="DBO387" s="1185"/>
      <c r="DBP387" s="1185"/>
      <c r="DBQ387" s="1185"/>
      <c r="DBR387" s="1185"/>
      <c r="DBS387" s="1185"/>
      <c r="DBT387" s="1185"/>
      <c r="DBU387" s="1185"/>
      <c r="DBV387" s="1185"/>
      <c r="DBW387" s="1185"/>
      <c r="DBX387" s="1185"/>
      <c r="DBY387" s="1185"/>
      <c r="DBZ387" s="1185"/>
      <c r="DCA387" s="1185"/>
      <c r="DCB387" s="1185"/>
      <c r="DCC387" s="1185"/>
      <c r="DCD387" s="1185"/>
      <c r="DCE387" s="1185"/>
      <c r="DCF387" s="1185"/>
      <c r="DCG387" s="1185"/>
      <c r="DCH387" s="1185"/>
      <c r="DCI387" s="1185"/>
      <c r="DCJ387" s="1185"/>
      <c r="DCK387" s="1185"/>
      <c r="DCL387" s="1185"/>
      <c r="DCM387" s="1185"/>
      <c r="DCN387" s="1185"/>
      <c r="DCO387" s="1185"/>
      <c r="DCP387" s="1185"/>
      <c r="DCQ387" s="1185"/>
      <c r="DCR387" s="1185"/>
      <c r="DCS387" s="1185"/>
      <c r="DCT387" s="1185"/>
      <c r="DCU387" s="1185"/>
      <c r="DCV387" s="1185"/>
      <c r="DCW387" s="1185"/>
      <c r="DCX387" s="1185"/>
      <c r="DCY387" s="1185"/>
      <c r="DCZ387" s="1185"/>
      <c r="DDA387" s="1185"/>
      <c r="DDB387" s="1185"/>
      <c r="DDC387" s="1185"/>
      <c r="DDD387" s="1185"/>
      <c r="DDE387" s="1185"/>
      <c r="DDF387" s="1185"/>
      <c r="DDG387" s="1185"/>
      <c r="DDH387" s="1185"/>
      <c r="DDI387" s="1185"/>
      <c r="DDJ387" s="1185"/>
      <c r="DDK387" s="1185"/>
      <c r="DDL387" s="1185"/>
      <c r="DDM387" s="1185"/>
      <c r="DDN387" s="1185"/>
      <c r="DDO387" s="1185"/>
      <c r="DDP387" s="1185"/>
      <c r="DDQ387" s="1185"/>
      <c r="DDR387" s="1185"/>
      <c r="DDS387" s="1185"/>
      <c r="DDT387" s="1185"/>
      <c r="DDU387" s="1185"/>
      <c r="DDV387" s="1185"/>
      <c r="DDW387" s="1185"/>
      <c r="DDX387" s="1185"/>
      <c r="DDY387" s="1185"/>
      <c r="DDZ387" s="1185"/>
      <c r="DEA387" s="1185"/>
      <c r="DEB387" s="1185"/>
      <c r="DEC387" s="1185"/>
      <c r="DED387" s="1185"/>
      <c r="DEE387" s="1185"/>
      <c r="DEF387" s="1185"/>
      <c r="DEG387" s="1185"/>
      <c r="DEH387" s="1185"/>
      <c r="DEI387" s="1185"/>
      <c r="DEJ387" s="1185"/>
      <c r="DEK387" s="1185"/>
      <c r="DEL387" s="1185"/>
      <c r="DEM387" s="1185"/>
      <c r="DEN387" s="1185"/>
      <c r="DEO387" s="1185"/>
      <c r="DEP387" s="1185"/>
      <c r="DEQ387" s="1185"/>
      <c r="DER387" s="1185"/>
      <c r="DES387" s="1185"/>
      <c r="DET387" s="1185"/>
      <c r="DEU387" s="1185"/>
      <c r="DEV387" s="1185"/>
      <c r="DEW387" s="1185"/>
      <c r="DEX387" s="1185"/>
      <c r="DEY387" s="1185"/>
      <c r="DEZ387" s="1185"/>
      <c r="DFA387" s="1185"/>
      <c r="DFB387" s="1185"/>
      <c r="DFC387" s="1185"/>
      <c r="DFD387" s="1185"/>
      <c r="DFE387" s="1185"/>
      <c r="DFF387" s="1185"/>
      <c r="DFG387" s="1185"/>
      <c r="DFH387" s="1185"/>
      <c r="DFI387" s="1185"/>
      <c r="DFJ387" s="1185"/>
      <c r="DFK387" s="1185"/>
      <c r="DFL387" s="1185"/>
      <c r="DFM387" s="1185"/>
      <c r="DFN387" s="1185"/>
      <c r="DFO387" s="1185"/>
      <c r="DFP387" s="1185"/>
      <c r="DFQ387" s="1185"/>
      <c r="DFR387" s="1185"/>
      <c r="DFS387" s="1185"/>
      <c r="DFT387" s="1185"/>
      <c r="DFU387" s="1185"/>
      <c r="DFV387" s="1185"/>
      <c r="DFW387" s="1185"/>
      <c r="DFX387" s="1185"/>
      <c r="DFY387" s="1185"/>
      <c r="DFZ387" s="1185"/>
      <c r="DGA387" s="1185"/>
      <c r="DGB387" s="1185"/>
      <c r="DGC387" s="1185"/>
      <c r="DGD387" s="1185"/>
      <c r="DGE387" s="1185"/>
      <c r="DGF387" s="1185"/>
      <c r="DGG387" s="1185"/>
      <c r="DGH387" s="1185"/>
      <c r="DGI387" s="1185"/>
      <c r="DGJ387" s="1185"/>
      <c r="DGK387" s="1185"/>
      <c r="DGL387" s="1185"/>
      <c r="DGM387" s="1185"/>
      <c r="DGN387" s="1185"/>
      <c r="DGO387" s="1185"/>
      <c r="DGP387" s="1185"/>
      <c r="DGQ387" s="1185"/>
      <c r="DGR387" s="1185"/>
      <c r="DGS387" s="1185"/>
      <c r="DGT387" s="1185"/>
      <c r="DGU387" s="1185"/>
      <c r="DGV387" s="1185"/>
      <c r="DGW387" s="1185"/>
      <c r="DGX387" s="1185"/>
      <c r="DGY387" s="1185"/>
      <c r="DGZ387" s="1185"/>
      <c r="DHA387" s="1185"/>
      <c r="DHB387" s="1185"/>
      <c r="DHC387" s="1185"/>
      <c r="DHD387" s="1185"/>
      <c r="DHE387" s="1185"/>
      <c r="DHF387" s="1185"/>
      <c r="DHG387" s="1185"/>
      <c r="DHH387" s="1185"/>
      <c r="DHI387" s="1185"/>
      <c r="DHJ387" s="1185"/>
      <c r="DHK387" s="1185"/>
      <c r="DHL387" s="1185"/>
      <c r="DHM387" s="1185"/>
      <c r="DHN387" s="1185"/>
      <c r="DHO387" s="1185"/>
      <c r="DHP387" s="1185"/>
      <c r="DHQ387" s="1185"/>
      <c r="DHR387" s="1185"/>
      <c r="DHS387" s="1185"/>
      <c r="DHT387" s="1185"/>
      <c r="DHU387" s="1185"/>
      <c r="DHV387" s="1185"/>
      <c r="DHW387" s="1185"/>
      <c r="DHX387" s="1185"/>
      <c r="DHY387" s="1185"/>
      <c r="DHZ387" s="1185"/>
      <c r="DIA387" s="1185"/>
      <c r="DIB387" s="1185"/>
      <c r="DIC387" s="1185"/>
      <c r="DID387" s="1185"/>
      <c r="DIE387" s="1185"/>
      <c r="DIF387" s="1185"/>
      <c r="DIG387" s="1185"/>
      <c r="DIH387" s="1185"/>
      <c r="DII387" s="1185"/>
      <c r="DIJ387" s="1185"/>
      <c r="DIK387" s="1185"/>
      <c r="DIL387" s="1185"/>
      <c r="DIM387" s="1185"/>
      <c r="DIN387" s="1185"/>
      <c r="DIO387" s="1185"/>
      <c r="DIP387" s="1185"/>
      <c r="DIQ387" s="1185"/>
      <c r="DIR387" s="1185"/>
      <c r="DIS387" s="1185"/>
      <c r="DIT387" s="1185"/>
      <c r="DIU387" s="1185"/>
      <c r="DIV387" s="1185"/>
      <c r="DIW387" s="1185"/>
      <c r="DIX387" s="1185"/>
      <c r="DIY387" s="1185"/>
      <c r="DIZ387" s="1185"/>
      <c r="DJA387" s="1185"/>
      <c r="DJB387" s="1185"/>
      <c r="DJC387" s="1185"/>
      <c r="DJD387" s="1185"/>
      <c r="DJE387" s="1185"/>
      <c r="DJF387" s="1185"/>
      <c r="DJG387" s="1185"/>
      <c r="DJH387" s="1185"/>
      <c r="DJI387" s="1185"/>
      <c r="DJJ387" s="1185"/>
      <c r="DJK387" s="1185"/>
      <c r="DJL387" s="1185"/>
      <c r="DJM387" s="1185"/>
      <c r="DJN387" s="1185"/>
      <c r="DJO387" s="1185"/>
      <c r="DJP387" s="1185"/>
      <c r="DJQ387" s="1185"/>
      <c r="DJR387" s="1185"/>
      <c r="DJS387" s="1185"/>
      <c r="DJT387" s="1185"/>
      <c r="DJU387" s="1185"/>
      <c r="DJV387" s="1185"/>
      <c r="DJW387" s="1185"/>
      <c r="DJX387" s="1185"/>
      <c r="DJY387" s="1185"/>
      <c r="DJZ387" s="1185"/>
      <c r="DKA387" s="1185"/>
      <c r="DKB387" s="1185"/>
      <c r="DKC387" s="1185"/>
      <c r="DKD387" s="1185"/>
      <c r="DKE387" s="1185"/>
      <c r="DKF387" s="1185"/>
      <c r="DKG387" s="1185"/>
      <c r="DKH387" s="1185"/>
      <c r="DKI387" s="1185"/>
      <c r="DKJ387" s="1185"/>
      <c r="DKK387" s="1185"/>
      <c r="DKL387" s="1185"/>
      <c r="DKM387" s="1185"/>
      <c r="DKN387" s="1185"/>
      <c r="DKO387" s="1185"/>
      <c r="DKP387" s="1185"/>
      <c r="DKQ387" s="1185"/>
      <c r="DKR387" s="1185"/>
      <c r="DKS387" s="1185"/>
      <c r="DKT387" s="1185"/>
      <c r="DKU387" s="1185"/>
      <c r="DKV387" s="1185"/>
      <c r="DKW387" s="1185"/>
      <c r="DKX387" s="1185"/>
      <c r="DKY387" s="1185"/>
      <c r="DKZ387" s="1185"/>
      <c r="DLA387" s="1185"/>
      <c r="DLB387" s="1185"/>
      <c r="DLC387" s="1185"/>
      <c r="DLD387" s="1185"/>
      <c r="DLE387" s="1185"/>
      <c r="DLF387" s="1185"/>
      <c r="DLG387" s="1185"/>
      <c r="DLH387" s="1185"/>
      <c r="DLI387" s="1185"/>
      <c r="DLJ387" s="1185"/>
      <c r="DLK387" s="1185"/>
      <c r="DLL387" s="1185"/>
      <c r="DLM387" s="1185"/>
      <c r="DLN387" s="1185"/>
      <c r="DLO387" s="1185"/>
      <c r="DLP387" s="1185"/>
      <c r="DLQ387" s="1185"/>
      <c r="DLR387" s="1185"/>
      <c r="DLS387" s="1185"/>
      <c r="DLT387" s="1185"/>
      <c r="DLU387" s="1185"/>
      <c r="DLV387" s="1185"/>
      <c r="DLW387" s="1185"/>
      <c r="DLX387" s="1185"/>
      <c r="DLY387" s="1185"/>
      <c r="DLZ387" s="1185"/>
      <c r="DMA387" s="1185"/>
      <c r="DMB387" s="1185"/>
      <c r="DMC387" s="1185"/>
      <c r="DMD387" s="1185"/>
      <c r="DME387" s="1185"/>
      <c r="DMF387" s="1185"/>
      <c r="DMG387" s="1185"/>
      <c r="DMH387" s="1185"/>
      <c r="DMI387" s="1185"/>
      <c r="DMJ387" s="1185"/>
      <c r="DMK387" s="1185"/>
      <c r="DML387" s="1185"/>
      <c r="DMM387" s="1185"/>
      <c r="DMN387" s="1185"/>
      <c r="DMO387" s="1185"/>
      <c r="DMP387" s="1185"/>
      <c r="DMQ387" s="1185"/>
      <c r="DMR387" s="1185"/>
      <c r="DMS387" s="1185"/>
      <c r="DMT387" s="1185"/>
      <c r="DMU387" s="1185"/>
      <c r="DMV387" s="1185"/>
      <c r="DMW387" s="1185"/>
      <c r="DMX387" s="1185"/>
      <c r="DMY387" s="1185"/>
      <c r="DMZ387" s="1185"/>
      <c r="DNA387" s="1185"/>
      <c r="DNB387" s="1185"/>
      <c r="DNC387" s="1185"/>
      <c r="DND387" s="1185"/>
      <c r="DNE387" s="1185"/>
      <c r="DNF387" s="1185"/>
      <c r="DNG387" s="1185"/>
      <c r="DNH387" s="1185"/>
      <c r="DNI387" s="1185"/>
      <c r="DNJ387" s="1185"/>
      <c r="DNK387" s="1185"/>
      <c r="DNL387" s="1185"/>
      <c r="DNM387" s="1185"/>
      <c r="DNN387" s="1185"/>
      <c r="DNO387" s="1185"/>
      <c r="DNP387" s="1185"/>
      <c r="DNQ387" s="1185"/>
      <c r="DNR387" s="1185"/>
      <c r="DNS387" s="1185"/>
      <c r="DNT387" s="1185"/>
      <c r="DNU387" s="1185"/>
      <c r="DNV387" s="1185"/>
      <c r="DNW387" s="1185"/>
      <c r="DNX387" s="1185"/>
      <c r="DNY387" s="1185"/>
      <c r="DNZ387" s="1185"/>
      <c r="DOA387" s="1185"/>
      <c r="DOB387" s="1185"/>
      <c r="DOC387" s="1185"/>
      <c r="DOD387" s="1185"/>
      <c r="DOE387" s="1185"/>
      <c r="DOF387" s="1185"/>
      <c r="DOG387" s="1185"/>
      <c r="DOH387" s="1185"/>
      <c r="DOI387" s="1185"/>
      <c r="DOJ387" s="1185"/>
      <c r="DOK387" s="1185"/>
      <c r="DOL387" s="1185"/>
      <c r="DOM387" s="1185"/>
      <c r="DON387" s="1185"/>
      <c r="DOO387" s="1185"/>
      <c r="DOP387" s="1185"/>
      <c r="DOQ387" s="1185"/>
      <c r="DOR387" s="1185"/>
      <c r="DOS387" s="1185"/>
      <c r="DOT387" s="1185"/>
      <c r="DOU387" s="1185"/>
      <c r="DOV387" s="1185"/>
      <c r="DOW387" s="1185"/>
      <c r="DOX387" s="1185"/>
      <c r="DOY387" s="1185"/>
      <c r="DOZ387" s="1185"/>
      <c r="DPA387" s="1185"/>
      <c r="DPB387" s="1185"/>
      <c r="DPC387" s="1185"/>
      <c r="DPD387" s="1185"/>
      <c r="DPE387" s="1185"/>
      <c r="DPF387" s="1185"/>
      <c r="DPG387" s="1185"/>
      <c r="DPH387" s="1185"/>
      <c r="DPI387" s="1185"/>
      <c r="DPJ387" s="1185"/>
      <c r="DPK387" s="1185"/>
      <c r="DPL387" s="1185"/>
      <c r="DPM387" s="1185"/>
      <c r="DPN387" s="1185"/>
      <c r="DPO387" s="1185"/>
      <c r="DPP387" s="1185"/>
      <c r="DPQ387" s="1185"/>
      <c r="DPR387" s="1185"/>
      <c r="DPS387" s="1185"/>
      <c r="DPT387" s="1185"/>
      <c r="DPU387" s="1185"/>
      <c r="DPV387" s="1185"/>
      <c r="DPW387" s="1185"/>
      <c r="DPX387" s="1185"/>
      <c r="DPY387" s="1185"/>
      <c r="DPZ387" s="1185"/>
      <c r="DQA387" s="1185"/>
      <c r="DQB387" s="1185"/>
      <c r="DQC387" s="1185"/>
      <c r="DQD387" s="1185"/>
      <c r="DQE387" s="1185"/>
      <c r="DQF387" s="1185"/>
      <c r="DQG387" s="1185"/>
      <c r="DQH387" s="1185"/>
      <c r="DQI387" s="1185"/>
      <c r="DQJ387" s="1185"/>
      <c r="DQK387" s="1185"/>
      <c r="DQL387" s="1185"/>
      <c r="DQM387" s="1185"/>
      <c r="DQN387" s="1185"/>
      <c r="DQO387" s="1185"/>
      <c r="DQP387" s="1185"/>
      <c r="DQQ387" s="1185"/>
      <c r="DQR387" s="1185"/>
      <c r="DQS387" s="1185"/>
      <c r="DQT387" s="1185"/>
      <c r="DQU387" s="1185"/>
      <c r="DQV387" s="1185"/>
      <c r="DQW387" s="1185"/>
      <c r="DQX387" s="1185"/>
      <c r="DQY387" s="1185"/>
      <c r="DQZ387" s="1185"/>
      <c r="DRA387" s="1185"/>
      <c r="DRB387" s="1185"/>
      <c r="DRC387" s="1185"/>
      <c r="DRD387" s="1185"/>
      <c r="DRE387" s="1185"/>
      <c r="DRF387" s="1185"/>
      <c r="DRG387" s="1185"/>
      <c r="DRH387" s="1185"/>
      <c r="DRI387" s="1185"/>
      <c r="DRJ387" s="1185"/>
      <c r="DRK387" s="1185"/>
      <c r="DRL387" s="1185"/>
      <c r="DRM387" s="1185"/>
      <c r="DRN387" s="1185"/>
      <c r="DRO387" s="1185"/>
      <c r="DRP387" s="1185"/>
      <c r="DRQ387" s="1185"/>
      <c r="DRR387" s="1185"/>
      <c r="DRS387" s="1185"/>
      <c r="DRT387" s="1185"/>
      <c r="DRU387" s="1185"/>
      <c r="DRV387" s="1185"/>
      <c r="DRW387" s="1185"/>
      <c r="DRX387" s="1185"/>
      <c r="DRY387" s="1185"/>
      <c r="DRZ387" s="1185"/>
      <c r="DSA387" s="1185"/>
      <c r="DSB387" s="1185"/>
      <c r="DSC387" s="1185"/>
      <c r="DSD387" s="1185"/>
      <c r="DSE387" s="1185"/>
      <c r="DSF387" s="1185"/>
      <c r="DSG387" s="1185"/>
      <c r="DSH387" s="1185"/>
      <c r="DSI387" s="1185"/>
      <c r="DSJ387" s="1185"/>
      <c r="DSK387" s="1185"/>
      <c r="DSL387" s="1185"/>
      <c r="DSM387" s="1185"/>
      <c r="DSN387" s="1185"/>
      <c r="DSO387" s="1185"/>
      <c r="DSP387" s="1185"/>
      <c r="DSQ387" s="1185"/>
      <c r="DSR387" s="1185"/>
      <c r="DSS387" s="1185"/>
      <c r="DST387" s="1185"/>
      <c r="DSU387" s="1185"/>
      <c r="DSV387" s="1185"/>
      <c r="DSW387" s="1185"/>
      <c r="DSX387" s="1185"/>
      <c r="DSY387" s="1185"/>
      <c r="DSZ387" s="1185"/>
      <c r="DTA387" s="1185"/>
      <c r="DTB387" s="1185"/>
      <c r="DTC387" s="1185"/>
      <c r="DTD387" s="1185"/>
      <c r="DTE387" s="1185"/>
      <c r="DTF387" s="1185"/>
      <c r="DTG387" s="1185"/>
      <c r="DTH387" s="1185"/>
      <c r="DTI387" s="1185"/>
      <c r="DTJ387" s="1185"/>
      <c r="DTK387" s="1185"/>
      <c r="DTL387" s="1185"/>
      <c r="DTM387" s="1185"/>
      <c r="DTN387" s="1185"/>
      <c r="DTO387" s="1185"/>
      <c r="DTP387" s="1185"/>
      <c r="DTQ387" s="1185"/>
      <c r="DTR387" s="1185"/>
      <c r="DTS387" s="1185"/>
      <c r="DTT387" s="1185"/>
      <c r="DTU387" s="1185"/>
      <c r="DTV387" s="1185"/>
      <c r="DTW387" s="1185"/>
      <c r="DTX387" s="1185"/>
      <c r="DTY387" s="1185"/>
      <c r="DTZ387" s="1185"/>
      <c r="DUA387" s="1185"/>
      <c r="DUB387" s="1185"/>
      <c r="DUC387" s="1185"/>
      <c r="DUD387" s="1185"/>
      <c r="DUE387" s="1185"/>
      <c r="DUF387" s="1185"/>
      <c r="DUG387" s="1185"/>
      <c r="DUH387" s="1185"/>
      <c r="DUI387" s="1185"/>
      <c r="DUJ387" s="1185"/>
      <c r="DUK387" s="1185"/>
      <c r="DUL387" s="1185"/>
      <c r="DUM387" s="1185"/>
      <c r="DUN387" s="1185"/>
      <c r="DUO387" s="1185"/>
      <c r="DUP387" s="1185"/>
      <c r="DUQ387" s="1185"/>
      <c r="DUR387" s="1185"/>
      <c r="DUS387" s="1185"/>
      <c r="DUT387" s="1185"/>
      <c r="DUU387" s="1185"/>
      <c r="DUV387" s="1185"/>
      <c r="DUW387" s="1185"/>
      <c r="DUX387" s="1185"/>
      <c r="DUY387" s="1185"/>
      <c r="DUZ387" s="1185"/>
      <c r="DVA387" s="1185"/>
      <c r="DVB387" s="1185"/>
      <c r="DVC387" s="1185"/>
      <c r="DVD387" s="1185"/>
      <c r="DVE387" s="1185"/>
      <c r="DVF387" s="1185"/>
      <c r="DVG387" s="1185"/>
      <c r="DVH387" s="1185"/>
      <c r="DVI387" s="1185"/>
      <c r="DVJ387" s="1185"/>
      <c r="DVK387" s="1185"/>
      <c r="DVL387" s="1185"/>
      <c r="DVM387" s="1185"/>
      <c r="DVN387" s="1185"/>
      <c r="DVO387" s="1185"/>
      <c r="DVP387" s="1185"/>
      <c r="DVQ387" s="1185"/>
      <c r="DVR387" s="1185"/>
      <c r="DVS387" s="1185"/>
      <c r="DVT387" s="1185"/>
      <c r="DVU387" s="1185"/>
      <c r="DVV387" s="1185"/>
      <c r="DVW387" s="1185"/>
      <c r="DVX387" s="1185"/>
      <c r="DVY387" s="1185"/>
      <c r="DVZ387" s="1185"/>
      <c r="DWA387" s="1185"/>
      <c r="DWB387" s="1185"/>
      <c r="DWC387" s="1185"/>
      <c r="DWD387" s="1185"/>
      <c r="DWE387" s="1185"/>
      <c r="DWF387" s="1185"/>
      <c r="DWG387" s="1185"/>
      <c r="DWH387" s="1185"/>
      <c r="DWI387" s="1185"/>
      <c r="DWJ387" s="1185"/>
      <c r="DWK387" s="1185"/>
      <c r="DWL387" s="1185"/>
      <c r="DWM387" s="1185"/>
      <c r="DWN387" s="1185"/>
      <c r="DWO387" s="1185"/>
      <c r="DWP387" s="1185"/>
      <c r="DWQ387" s="1185"/>
      <c r="DWR387" s="1185"/>
      <c r="DWS387" s="1185"/>
      <c r="DWT387" s="1185"/>
      <c r="DWU387" s="1185"/>
      <c r="DWV387" s="1185"/>
      <c r="DWW387" s="1185"/>
      <c r="DWX387" s="1185"/>
      <c r="DWY387" s="1185"/>
      <c r="DWZ387" s="1185"/>
      <c r="DXA387" s="1185"/>
      <c r="DXB387" s="1185"/>
      <c r="DXC387" s="1185"/>
      <c r="DXD387" s="1185"/>
      <c r="DXE387" s="1185"/>
      <c r="DXF387" s="1185"/>
      <c r="DXG387" s="1185"/>
      <c r="DXH387" s="1185"/>
      <c r="DXI387" s="1185"/>
      <c r="DXJ387" s="1185"/>
      <c r="DXK387" s="1185"/>
      <c r="DXL387" s="1185"/>
      <c r="DXM387" s="1185"/>
      <c r="DXN387" s="1185"/>
      <c r="DXO387" s="1185"/>
      <c r="DXP387" s="1185"/>
      <c r="DXQ387" s="1185"/>
      <c r="DXR387" s="1185"/>
      <c r="DXS387" s="1185"/>
      <c r="DXT387" s="1185"/>
      <c r="DXU387" s="1185"/>
      <c r="DXV387" s="1185"/>
      <c r="DXW387" s="1185"/>
      <c r="DXX387" s="1185"/>
      <c r="DXY387" s="1185"/>
      <c r="DXZ387" s="1185"/>
      <c r="DYA387" s="1185"/>
      <c r="DYB387" s="1185"/>
      <c r="DYC387" s="1185"/>
      <c r="DYD387" s="1185"/>
      <c r="DYE387" s="1185"/>
      <c r="DYF387" s="1185"/>
      <c r="DYG387" s="1185"/>
      <c r="DYH387" s="1185"/>
      <c r="DYI387" s="1185"/>
      <c r="DYJ387" s="1185"/>
      <c r="DYK387" s="1185"/>
      <c r="DYL387" s="1185"/>
      <c r="DYM387" s="1185"/>
      <c r="DYN387" s="1185"/>
      <c r="DYO387" s="1185"/>
      <c r="DYP387" s="1185"/>
      <c r="DYQ387" s="1185"/>
      <c r="DYR387" s="1185"/>
      <c r="DYS387" s="1185"/>
      <c r="DYT387" s="1185"/>
      <c r="DYU387" s="1185"/>
      <c r="DYV387" s="1185"/>
      <c r="DYW387" s="1185"/>
      <c r="DYX387" s="1185"/>
      <c r="DYY387" s="1185"/>
      <c r="DYZ387" s="1185"/>
      <c r="DZA387" s="1185"/>
      <c r="DZB387" s="1185"/>
      <c r="DZC387" s="1185"/>
      <c r="DZD387" s="1185"/>
      <c r="DZE387" s="1185"/>
      <c r="DZF387" s="1185"/>
      <c r="DZG387" s="1185"/>
      <c r="DZH387" s="1185"/>
      <c r="DZI387" s="1185"/>
      <c r="DZJ387" s="1185"/>
      <c r="DZK387" s="1185"/>
      <c r="DZL387" s="1185"/>
      <c r="DZM387" s="1185"/>
      <c r="DZN387" s="1185"/>
      <c r="DZO387" s="1185"/>
      <c r="DZP387" s="1185"/>
      <c r="DZQ387" s="1185"/>
      <c r="DZR387" s="1185"/>
      <c r="DZS387" s="1185"/>
      <c r="DZT387" s="1185"/>
      <c r="DZU387" s="1185"/>
      <c r="DZV387" s="1185"/>
      <c r="DZW387" s="1185"/>
      <c r="DZX387" s="1185"/>
      <c r="DZY387" s="1185"/>
      <c r="DZZ387" s="1185"/>
      <c r="EAA387" s="1185"/>
      <c r="EAB387" s="1185"/>
      <c r="EAC387" s="1185"/>
      <c r="EAD387" s="1185"/>
      <c r="EAE387" s="1185"/>
      <c r="EAF387" s="1185"/>
      <c r="EAG387" s="1185"/>
      <c r="EAH387" s="1185"/>
      <c r="EAI387" s="1185"/>
      <c r="EAJ387" s="1185"/>
      <c r="EAK387" s="1185"/>
      <c r="EAL387" s="1185"/>
      <c r="EAM387" s="1185"/>
      <c r="EAN387" s="1185"/>
      <c r="EAO387" s="1185"/>
      <c r="EAP387" s="1185"/>
      <c r="EAQ387" s="1185"/>
      <c r="EAR387" s="1185"/>
      <c r="EAS387" s="1185"/>
      <c r="EAT387" s="1185"/>
      <c r="EAU387" s="1185"/>
      <c r="EAV387" s="1185"/>
      <c r="EAW387" s="1185"/>
      <c r="EAX387" s="1185"/>
      <c r="EAY387" s="1185"/>
      <c r="EAZ387" s="1185"/>
      <c r="EBA387" s="1185"/>
      <c r="EBB387" s="1185"/>
      <c r="EBC387" s="1185"/>
      <c r="EBD387" s="1185"/>
      <c r="EBE387" s="1185"/>
      <c r="EBF387" s="1185"/>
      <c r="EBG387" s="1185"/>
      <c r="EBH387" s="1185"/>
      <c r="EBI387" s="1185"/>
      <c r="EBJ387" s="1185"/>
      <c r="EBK387" s="1185"/>
      <c r="EBL387" s="1185"/>
      <c r="EBM387" s="1185"/>
      <c r="EBN387" s="1185"/>
      <c r="EBO387" s="1185"/>
      <c r="EBP387" s="1185"/>
      <c r="EBQ387" s="1185"/>
      <c r="EBR387" s="1185"/>
      <c r="EBS387" s="1185"/>
      <c r="EBT387" s="1185"/>
      <c r="EBU387" s="1185"/>
      <c r="EBV387" s="1185"/>
      <c r="EBW387" s="1185"/>
      <c r="EBX387" s="1185"/>
      <c r="EBY387" s="1185"/>
      <c r="EBZ387" s="1185"/>
      <c r="ECA387" s="1185"/>
      <c r="ECB387" s="1185"/>
      <c r="ECC387" s="1185"/>
      <c r="ECD387" s="1185"/>
      <c r="ECE387" s="1185"/>
      <c r="ECF387" s="1185"/>
      <c r="ECG387" s="1185"/>
      <c r="ECH387" s="1185"/>
      <c r="ECI387" s="1185"/>
      <c r="ECJ387" s="1185"/>
      <c r="ECK387" s="1185"/>
      <c r="ECL387" s="1185"/>
      <c r="ECM387" s="1185"/>
      <c r="ECN387" s="1185"/>
      <c r="ECO387" s="1185"/>
      <c r="ECP387" s="1185"/>
      <c r="ECQ387" s="1185"/>
      <c r="ECR387" s="1185"/>
      <c r="ECS387" s="1185"/>
      <c r="ECT387" s="1185"/>
      <c r="ECU387" s="1185"/>
      <c r="ECV387" s="1185"/>
      <c r="ECW387" s="1185"/>
      <c r="ECX387" s="1185"/>
      <c r="ECY387" s="1185"/>
      <c r="ECZ387" s="1185"/>
      <c r="EDA387" s="1185"/>
      <c r="EDB387" s="1185"/>
      <c r="EDC387" s="1185"/>
      <c r="EDD387" s="1185"/>
      <c r="EDE387" s="1185"/>
      <c r="EDF387" s="1185"/>
      <c r="EDG387" s="1185"/>
      <c r="EDH387" s="1185"/>
      <c r="EDI387" s="1185"/>
      <c r="EDJ387" s="1185"/>
      <c r="EDK387" s="1185"/>
      <c r="EDL387" s="1185"/>
      <c r="EDM387" s="1185"/>
      <c r="EDN387" s="1185"/>
      <c r="EDO387" s="1185"/>
      <c r="EDP387" s="1185"/>
      <c r="EDQ387" s="1185"/>
      <c r="EDR387" s="1185"/>
      <c r="EDS387" s="1185"/>
      <c r="EDT387" s="1185"/>
      <c r="EDU387" s="1185"/>
      <c r="EDV387" s="1185"/>
      <c r="EDW387" s="1185"/>
      <c r="EDX387" s="1185"/>
      <c r="EDY387" s="1185"/>
      <c r="EDZ387" s="1185"/>
      <c r="EEA387" s="1185"/>
      <c r="EEB387" s="1185"/>
      <c r="EEC387" s="1185"/>
      <c r="EED387" s="1185"/>
      <c r="EEE387" s="1185"/>
      <c r="EEF387" s="1185"/>
      <c r="EEG387" s="1185"/>
      <c r="EEH387" s="1185"/>
      <c r="EEI387" s="1185"/>
      <c r="EEJ387" s="1185"/>
      <c r="EEK387" s="1185"/>
      <c r="EEL387" s="1185"/>
      <c r="EEM387" s="1185"/>
      <c r="EEN387" s="1185"/>
      <c r="EEO387" s="1185"/>
      <c r="EEP387" s="1185"/>
      <c r="EEQ387" s="1185"/>
      <c r="EER387" s="1185"/>
      <c r="EES387" s="1185"/>
      <c r="EET387" s="1185"/>
      <c r="EEU387" s="1185"/>
      <c r="EEV387" s="1185"/>
      <c r="EEW387" s="1185"/>
      <c r="EEX387" s="1185"/>
      <c r="EEY387" s="1185"/>
      <c r="EEZ387" s="1185"/>
      <c r="EFA387" s="1185"/>
      <c r="EFB387" s="1185"/>
      <c r="EFC387" s="1185"/>
      <c r="EFD387" s="1185"/>
      <c r="EFE387" s="1185"/>
      <c r="EFF387" s="1185"/>
      <c r="EFG387" s="1185"/>
      <c r="EFH387" s="1185"/>
      <c r="EFI387" s="1185"/>
      <c r="EFJ387" s="1185"/>
      <c r="EFK387" s="1185"/>
      <c r="EFL387" s="1185"/>
      <c r="EFM387" s="1185"/>
      <c r="EFN387" s="1185"/>
      <c r="EFO387" s="1185"/>
      <c r="EFP387" s="1185"/>
      <c r="EFQ387" s="1185"/>
      <c r="EFR387" s="1185"/>
      <c r="EFS387" s="1185"/>
      <c r="EFT387" s="1185"/>
      <c r="EFU387" s="1185"/>
      <c r="EFV387" s="1185"/>
      <c r="EFW387" s="1185"/>
      <c r="EFX387" s="1185"/>
      <c r="EFY387" s="1185"/>
      <c r="EFZ387" s="1185"/>
      <c r="EGA387" s="1185"/>
      <c r="EGB387" s="1185"/>
      <c r="EGC387" s="1185"/>
      <c r="EGD387" s="1185"/>
      <c r="EGE387" s="1185"/>
      <c r="EGF387" s="1185"/>
      <c r="EGG387" s="1185"/>
      <c r="EGH387" s="1185"/>
      <c r="EGI387" s="1185"/>
      <c r="EGJ387" s="1185"/>
      <c r="EGK387" s="1185"/>
      <c r="EGL387" s="1185"/>
      <c r="EGM387" s="1185"/>
      <c r="EGN387" s="1185"/>
      <c r="EGO387" s="1185"/>
      <c r="EGP387" s="1185"/>
      <c r="EGQ387" s="1185"/>
      <c r="EGR387" s="1185"/>
      <c r="EGS387" s="1185"/>
      <c r="EGT387" s="1185"/>
      <c r="EGU387" s="1185"/>
      <c r="EGV387" s="1185"/>
      <c r="EGW387" s="1185"/>
      <c r="EGX387" s="1185"/>
      <c r="EGY387" s="1185"/>
      <c r="EGZ387" s="1185"/>
      <c r="EHA387" s="1185"/>
      <c r="EHB387" s="1185"/>
      <c r="EHC387" s="1185"/>
      <c r="EHD387" s="1185"/>
      <c r="EHE387" s="1185"/>
      <c r="EHF387" s="1185"/>
      <c r="EHG387" s="1185"/>
      <c r="EHH387" s="1185"/>
      <c r="EHI387" s="1185"/>
      <c r="EHJ387" s="1185"/>
      <c r="EHK387" s="1185"/>
      <c r="EHL387" s="1185"/>
      <c r="EHM387" s="1185"/>
      <c r="EHN387" s="1185"/>
      <c r="EHO387" s="1185"/>
      <c r="EHP387" s="1185"/>
      <c r="EHQ387" s="1185"/>
      <c r="EHR387" s="1185"/>
      <c r="EHS387" s="1185"/>
      <c r="EHT387" s="1185"/>
      <c r="EHU387" s="1185"/>
      <c r="EHV387" s="1185"/>
      <c r="EHW387" s="1185"/>
      <c r="EHX387" s="1185"/>
      <c r="EHY387" s="1185"/>
      <c r="EHZ387" s="1185"/>
      <c r="EIA387" s="1185"/>
      <c r="EIB387" s="1185"/>
      <c r="EIC387" s="1185"/>
      <c r="EID387" s="1185"/>
      <c r="EIE387" s="1185"/>
      <c r="EIF387" s="1185"/>
      <c r="EIG387" s="1185"/>
      <c r="EIH387" s="1185"/>
      <c r="EII387" s="1185"/>
      <c r="EIJ387" s="1185"/>
      <c r="EIK387" s="1185"/>
      <c r="EIL387" s="1185"/>
      <c r="EIM387" s="1185"/>
      <c r="EIN387" s="1185"/>
      <c r="EIO387" s="1185"/>
      <c r="EIP387" s="1185"/>
      <c r="EIQ387" s="1185"/>
      <c r="EIR387" s="1185"/>
      <c r="EIS387" s="1185"/>
      <c r="EIT387" s="1185"/>
      <c r="EIU387" s="1185"/>
      <c r="EIV387" s="1185"/>
      <c r="EIW387" s="1185"/>
      <c r="EIX387" s="1185"/>
      <c r="EIY387" s="1185"/>
      <c r="EIZ387" s="1185"/>
      <c r="EJA387" s="1185"/>
      <c r="EJB387" s="1185"/>
      <c r="EJC387" s="1185"/>
      <c r="EJD387" s="1185"/>
      <c r="EJE387" s="1185"/>
      <c r="EJF387" s="1185"/>
      <c r="EJG387" s="1185"/>
      <c r="EJH387" s="1185"/>
      <c r="EJI387" s="1185"/>
      <c r="EJJ387" s="1185"/>
      <c r="EJK387" s="1185"/>
      <c r="EJL387" s="1185"/>
      <c r="EJM387" s="1185"/>
      <c r="EJN387" s="1185"/>
      <c r="EJO387" s="1185"/>
      <c r="EJP387" s="1185"/>
      <c r="EJQ387" s="1185"/>
      <c r="EJR387" s="1185"/>
      <c r="EJS387" s="1185"/>
      <c r="EJT387" s="1185"/>
      <c r="EJU387" s="1185"/>
      <c r="EJV387" s="1185"/>
      <c r="EJW387" s="1185"/>
      <c r="EJX387" s="1185"/>
      <c r="EJY387" s="1185"/>
      <c r="EJZ387" s="1185"/>
      <c r="EKA387" s="1185"/>
      <c r="EKB387" s="1185"/>
      <c r="EKC387" s="1185"/>
      <c r="EKD387" s="1185"/>
      <c r="EKE387" s="1185"/>
      <c r="EKF387" s="1185"/>
      <c r="EKG387" s="1185"/>
      <c r="EKH387" s="1185"/>
      <c r="EKI387" s="1185"/>
      <c r="EKJ387" s="1185"/>
      <c r="EKK387" s="1185"/>
      <c r="EKL387" s="1185"/>
      <c r="EKM387" s="1185"/>
      <c r="EKN387" s="1185"/>
      <c r="EKO387" s="1185"/>
      <c r="EKP387" s="1185"/>
      <c r="EKQ387" s="1185"/>
      <c r="EKR387" s="1185"/>
      <c r="EKS387" s="1185"/>
      <c r="EKT387" s="1185"/>
      <c r="EKU387" s="1185"/>
      <c r="EKV387" s="1185"/>
      <c r="EKW387" s="1185"/>
      <c r="EKX387" s="1185"/>
      <c r="EKY387" s="1185"/>
      <c r="EKZ387" s="1185"/>
      <c r="ELA387" s="1185"/>
      <c r="ELB387" s="1185"/>
      <c r="ELC387" s="1185"/>
      <c r="ELD387" s="1185"/>
      <c r="ELE387" s="1185"/>
      <c r="ELF387" s="1185"/>
      <c r="ELG387" s="1185"/>
      <c r="ELH387" s="1185"/>
      <c r="ELI387" s="1185"/>
      <c r="ELJ387" s="1185"/>
      <c r="ELK387" s="1185"/>
      <c r="ELL387" s="1185"/>
      <c r="ELM387" s="1185"/>
      <c r="ELN387" s="1185"/>
      <c r="ELO387" s="1185"/>
      <c r="ELP387" s="1185"/>
      <c r="ELQ387" s="1185"/>
      <c r="ELR387" s="1185"/>
      <c r="ELS387" s="1185"/>
      <c r="ELT387" s="1185"/>
      <c r="ELU387" s="1185"/>
      <c r="ELV387" s="1185"/>
      <c r="ELW387" s="1185"/>
      <c r="ELX387" s="1185"/>
      <c r="ELY387" s="1185"/>
      <c r="ELZ387" s="1185"/>
      <c r="EMA387" s="1185"/>
      <c r="EMB387" s="1185"/>
      <c r="EMC387" s="1185"/>
      <c r="EMD387" s="1185"/>
      <c r="EME387" s="1185"/>
      <c r="EMF387" s="1185"/>
      <c r="EMG387" s="1185"/>
      <c r="EMH387" s="1185"/>
      <c r="EMI387" s="1185"/>
      <c r="EMJ387" s="1185"/>
      <c r="EMK387" s="1185"/>
      <c r="EML387" s="1185"/>
      <c r="EMM387" s="1185"/>
      <c r="EMN387" s="1185"/>
      <c r="EMO387" s="1185"/>
      <c r="EMP387" s="1185"/>
      <c r="EMQ387" s="1185"/>
      <c r="EMR387" s="1185"/>
      <c r="EMS387" s="1185"/>
      <c r="EMT387" s="1185"/>
      <c r="EMU387" s="1185"/>
      <c r="EMV387" s="1185"/>
      <c r="EMW387" s="1185"/>
      <c r="EMX387" s="1185"/>
      <c r="EMY387" s="1185"/>
      <c r="EMZ387" s="1185"/>
      <c r="ENA387" s="1185"/>
      <c r="ENB387" s="1185"/>
      <c r="ENC387" s="1185"/>
      <c r="END387" s="1185"/>
      <c r="ENE387" s="1185"/>
      <c r="ENF387" s="1185"/>
      <c r="ENG387" s="1185"/>
      <c r="ENH387" s="1185"/>
      <c r="ENI387" s="1185"/>
      <c r="ENJ387" s="1185"/>
      <c r="ENK387" s="1185"/>
      <c r="ENL387" s="1185"/>
      <c r="ENM387" s="1185"/>
      <c r="ENN387" s="1185"/>
      <c r="ENO387" s="1185"/>
      <c r="ENP387" s="1185"/>
      <c r="ENQ387" s="1185"/>
      <c r="ENR387" s="1185"/>
      <c r="ENS387" s="1185"/>
      <c r="ENT387" s="1185"/>
      <c r="ENU387" s="1185"/>
      <c r="ENV387" s="1185"/>
      <c r="ENW387" s="1185"/>
      <c r="ENX387" s="1185"/>
      <c r="ENY387" s="1185"/>
      <c r="ENZ387" s="1185"/>
      <c r="EOA387" s="1185"/>
      <c r="EOB387" s="1185"/>
      <c r="EOC387" s="1185"/>
      <c r="EOD387" s="1185"/>
      <c r="EOE387" s="1185"/>
      <c r="EOF387" s="1185"/>
      <c r="EOG387" s="1185"/>
      <c r="EOH387" s="1185"/>
      <c r="EOI387" s="1185"/>
      <c r="EOJ387" s="1185"/>
      <c r="EOK387" s="1185"/>
      <c r="EOL387" s="1185"/>
      <c r="EOM387" s="1185"/>
      <c r="EON387" s="1185"/>
      <c r="EOO387" s="1185"/>
      <c r="EOP387" s="1185"/>
      <c r="EOQ387" s="1185"/>
      <c r="EOR387" s="1185"/>
      <c r="EOS387" s="1185"/>
      <c r="EOT387" s="1185"/>
      <c r="EOU387" s="1185"/>
      <c r="EOV387" s="1185"/>
      <c r="EOW387" s="1185"/>
      <c r="EOX387" s="1185"/>
      <c r="EOY387" s="1185"/>
      <c r="EOZ387" s="1185"/>
      <c r="EPA387" s="1185"/>
      <c r="EPB387" s="1185"/>
      <c r="EPC387" s="1185"/>
      <c r="EPD387" s="1185"/>
      <c r="EPE387" s="1185"/>
      <c r="EPF387" s="1185"/>
      <c r="EPG387" s="1185"/>
      <c r="EPH387" s="1185"/>
      <c r="EPI387" s="1185"/>
      <c r="EPJ387" s="1185"/>
      <c r="EPK387" s="1185"/>
      <c r="EPL387" s="1185"/>
      <c r="EPM387" s="1185"/>
      <c r="EPN387" s="1185"/>
      <c r="EPO387" s="1185"/>
      <c r="EPP387" s="1185"/>
      <c r="EPQ387" s="1185"/>
      <c r="EPR387" s="1185"/>
      <c r="EPS387" s="1185"/>
      <c r="EPT387" s="1185"/>
      <c r="EPU387" s="1185"/>
      <c r="EPV387" s="1185"/>
      <c r="EPW387" s="1185"/>
      <c r="EPX387" s="1185"/>
      <c r="EPY387" s="1185"/>
      <c r="EPZ387" s="1185"/>
      <c r="EQA387" s="1185"/>
      <c r="EQB387" s="1185"/>
      <c r="EQC387" s="1185"/>
      <c r="EQD387" s="1185"/>
      <c r="EQE387" s="1185"/>
      <c r="EQF387" s="1185"/>
      <c r="EQG387" s="1185"/>
      <c r="EQH387" s="1185"/>
      <c r="EQI387" s="1185"/>
      <c r="EQJ387" s="1185"/>
      <c r="EQK387" s="1185"/>
      <c r="EQL387" s="1185"/>
      <c r="EQM387" s="1185"/>
      <c r="EQN387" s="1185"/>
      <c r="EQO387" s="1185"/>
      <c r="EQP387" s="1185"/>
      <c r="EQQ387" s="1185"/>
      <c r="EQR387" s="1185"/>
      <c r="EQS387" s="1185"/>
      <c r="EQT387" s="1185"/>
      <c r="EQU387" s="1185"/>
      <c r="EQV387" s="1185"/>
      <c r="EQW387" s="1185"/>
      <c r="EQX387" s="1185"/>
      <c r="EQY387" s="1185"/>
      <c r="EQZ387" s="1185"/>
      <c r="ERA387" s="1185"/>
      <c r="ERB387" s="1185"/>
      <c r="ERC387" s="1185"/>
      <c r="ERD387" s="1185"/>
      <c r="ERE387" s="1185"/>
      <c r="ERF387" s="1185"/>
      <c r="ERG387" s="1185"/>
      <c r="ERH387" s="1185"/>
      <c r="ERI387" s="1185"/>
      <c r="ERJ387" s="1185"/>
      <c r="ERK387" s="1185"/>
      <c r="ERL387" s="1185"/>
      <c r="ERM387" s="1185"/>
      <c r="ERN387" s="1185"/>
      <c r="ERO387" s="1185"/>
      <c r="ERP387" s="1185"/>
      <c r="ERQ387" s="1185"/>
      <c r="ERR387" s="1185"/>
      <c r="ERS387" s="1185"/>
      <c r="ERT387" s="1185"/>
      <c r="ERU387" s="1185"/>
      <c r="ERV387" s="1185"/>
      <c r="ERW387" s="1185"/>
      <c r="ERX387" s="1185"/>
      <c r="ERY387" s="1185"/>
      <c r="ERZ387" s="1185"/>
      <c r="ESA387" s="1185"/>
      <c r="ESB387" s="1185"/>
      <c r="ESC387" s="1185"/>
      <c r="ESD387" s="1185"/>
      <c r="ESE387" s="1185"/>
      <c r="ESF387" s="1185"/>
      <c r="ESG387" s="1185"/>
      <c r="ESH387" s="1185"/>
      <c r="ESI387" s="1185"/>
      <c r="ESJ387" s="1185"/>
      <c r="ESK387" s="1185"/>
      <c r="ESL387" s="1185"/>
      <c r="ESM387" s="1185"/>
      <c r="ESN387" s="1185"/>
      <c r="ESO387" s="1185"/>
      <c r="ESP387" s="1185"/>
      <c r="ESQ387" s="1185"/>
      <c r="ESR387" s="1185"/>
      <c r="ESS387" s="1185"/>
      <c r="EST387" s="1185"/>
      <c r="ESU387" s="1185"/>
      <c r="ESV387" s="1185"/>
      <c r="ESW387" s="1185"/>
      <c r="ESX387" s="1185"/>
      <c r="ESY387" s="1185"/>
      <c r="ESZ387" s="1185"/>
      <c r="ETA387" s="1185"/>
      <c r="ETB387" s="1185"/>
      <c r="ETC387" s="1185"/>
      <c r="ETD387" s="1185"/>
      <c r="ETE387" s="1185"/>
      <c r="ETF387" s="1185"/>
      <c r="ETG387" s="1185"/>
      <c r="ETH387" s="1185"/>
      <c r="ETI387" s="1185"/>
      <c r="ETJ387" s="1185"/>
      <c r="ETK387" s="1185"/>
      <c r="ETL387" s="1185"/>
      <c r="ETM387" s="1185"/>
      <c r="ETN387" s="1185"/>
      <c r="ETO387" s="1185"/>
      <c r="ETP387" s="1185"/>
      <c r="ETQ387" s="1185"/>
      <c r="ETR387" s="1185"/>
      <c r="ETS387" s="1185"/>
      <c r="ETT387" s="1185"/>
      <c r="ETU387" s="1185"/>
      <c r="ETV387" s="1185"/>
      <c r="ETW387" s="1185"/>
      <c r="ETX387" s="1185"/>
      <c r="ETY387" s="1185"/>
      <c r="ETZ387" s="1185"/>
      <c r="EUA387" s="1185"/>
      <c r="EUB387" s="1185"/>
      <c r="EUC387" s="1185"/>
      <c r="EUD387" s="1185"/>
      <c r="EUE387" s="1185"/>
      <c r="EUF387" s="1185"/>
      <c r="EUG387" s="1185"/>
      <c r="EUH387" s="1185"/>
      <c r="EUI387" s="1185"/>
      <c r="EUJ387" s="1185"/>
      <c r="EUK387" s="1185"/>
      <c r="EUL387" s="1185"/>
      <c r="EUM387" s="1185"/>
      <c r="EUN387" s="1185"/>
      <c r="EUO387" s="1185"/>
      <c r="EUP387" s="1185"/>
      <c r="EUQ387" s="1185"/>
      <c r="EUR387" s="1185"/>
      <c r="EUS387" s="1185"/>
      <c r="EUT387" s="1185"/>
      <c r="EUU387" s="1185"/>
      <c r="EUV387" s="1185"/>
      <c r="EUW387" s="1185"/>
      <c r="EUX387" s="1185"/>
      <c r="EUY387" s="1185"/>
      <c r="EUZ387" s="1185"/>
      <c r="EVA387" s="1185"/>
      <c r="EVB387" s="1185"/>
      <c r="EVC387" s="1185"/>
      <c r="EVD387" s="1185"/>
      <c r="EVE387" s="1185"/>
      <c r="EVF387" s="1185"/>
      <c r="EVG387" s="1185"/>
      <c r="EVH387" s="1185"/>
      <c r="EVI387" s="1185"/>
      <c r="EVJ387" s="1185"/>
      <c r="EVK387" s="1185"/>
      <c r="EVL387" s="1185"/>
      <c r="EVM387" s="1185"/>
      <c r="EVN387" s="1185"/>
      <c r="EVO387" s="1185"/>
      <c r="EVP387" s="1185"/>
      <c r="EVQ387" s="1185"/>
      <c r="EVR387" s="1185"/>
      <c r="EVS387" s="1185"/>
      <c r="EVT387" s="1185"/>
      <c r="EVU387" s="1185"/>
      <c r="EVV387" s="1185"/>
      <c r="EVW387" s="1185"/>
      <c r="EVX387" s="1185"/>
      <c r="EVY387" s="1185"/>
      <c r="EVZ387" s="1185"/>
      <c r="EWA387" s="1185"/>
      <c r="EWB387" s="1185"/>
      <c r="EWC387" s="1185"/>
      <c r="EWD387" s="1185"/>
      <c r="EWE387" s="1185"/>
      <c r="EWF387" s="1185"/>
      <c r="EWG387" s="1185"/>
      <c r="EWH387" s="1185"/>
      <c r="EWI387" s="1185"/>
      <c r="EWJ387" s="1185"/>
      <c r="EWK387" s="1185"/>
      <c r="EWL387" s="1185"/>
      <c r="EWM387" s="1185"/>
      <c r="EWN387" s="1185"/>
      <c r="EWO387" s="1185"/>
      <c r="EWP387" s="1185"/>
      <c r="EWQ387" s="1185"/>
      <c r="EWR387" s="1185"/>
      <c r="EWS387" s="1185"/>
      <c r="EWT387" s="1185"/>
      <c r="EWU387" s="1185"/>
      <c r="EWV387" s="1185"/>
      <c r="EWW387" s="1185"/>
      <c r="EWX387" s="1185"/>
      <c r="EWY387" s="1185"/>
      <c r="EWZ387" s="1185"/>
      <c r="EXA387" s="1185"/>
      <c r="EXB387" s="1185"/>
      <c r="EXC387" s="1185"/>
      <c r="EXD387" s="1185"/>
      <c r="EXE387" s="1185"/>
      <c r="EXF387" s="1185"/>
      <c r="EXG387" s="1185"/>
      <c r="EXH387" s="1185"/>
      <c r="EXI387" s="1185"/>
      <c r="EXJ387" s="1185"/>
      <c r="EXK387" s="1185"/>
      <c r="EXL387" s="1185"/>
      <c r="EXM387" s="1185"/>
      <c r="EXN387" s="1185"/>
      <c r="EXO387" s="1185"/>
      <c r="EXP387" s="1185"/>
      <c r="EXQ387" s="1185"/>
      <c r="EXR387" s="1185"/>
      <c r="EXS387" s="1185"/>
      <c r="EXT387" s="1185"/>
      <c r="EXU387" s="1185"/>
      <c r="EXV387" s="1185"/>
      <c r="EXW387" s="1185"/>
      <c r="EXX387" s="1185"/>
      <c r="EXY387" s="1185"/>
      <c r="EXZ387" s="1185"/>
      <c r="EYA387" s="1185"/>
      <c r="EYB387" s="1185"/>
      <c r="EYC387" s="1185"/>
      <c r="EYD387" s="1185"/>
      <c r="EYE387" s="1185"/>
      <c r="EYF387" s="1185"/>
      <c r="EYG387" s="1185"/>
      <c r="EYH387" s="1185"/>
      <c r="EYI387" s="1185"/>
      <c r="EYJ387" s="1185"/>
      <c r="EYK387" s="1185"/>
      <c r="EYL387" s="1185"/>
      <c r="EYM387" s="1185"/>
      <c r="EYN387" s="1185"/>
      <c r="EYO387" s="1185"/>
      <c r="EYP387" s="1185"/>
      <c r="EYQ387" s="1185"/>
      <c r="EYR387" s="1185"/>
      <c r="EYS387" s="1185"/>
      <c r="EYT387" s="1185"/>
      <c r="EYU387" s="1185"/>
      <c r="EYV387" s="1185"/>
      <c r="EYW387" s="1185"/>
      <c r="EYX387" s="1185"/>
      <c r="EYY387" s="1185"/>
      <c r="EYZ387" s="1185"/>
      <c r="EZA387" s="1185"/>
      <c r="EZB387" s="1185"/>
      <c r="EZC387" s="1185"/>
      <c r="EZD387" s="1185"/>
      <c r="EZE387" s="1185"/>
      <c r="EZF387" s="1185"/>
      <c r="EZG387" s="1185"/>
      <c r="EZH387" s="1185"/>
      <c r="EZI387" s="1185"/>
      <c r="EZJ387" s="1185"/>
      <c r="EZK387" s="1185"/>
      <c r="EZL387" s="1185"/>
      <c r="EZM387" s="1185"/>
      <c r="EZN387" s="1185"/>
      <c r="EZO387" s="1185"/>
      <c r="EZP387" s="1185"/>
      <c r="EZQ387" s="1185"/>
      <c r="EZR387" s="1185"/>
      <c r="EZS387" s="1185"/>
      <c r="EZT387" s="1185"/>
      <c r="EZU387" s="1185"/>
      <c r="EZV387" s="1185"/>
      <c r="EZW387" s="1185"/>
      <c r="EZX387" s="1185"/>
      <c r="EZY387" s="1185"/>
      <c r="EZZ387" s="1185"/>
      <c r="FAA387" s="1185"/>
      <c r="FAB387" s="1185"/>
      <c r="FAC387" s="1185"/>
      <c r="FAD387" s="1185"/>
      <c r="FAE387" s="1185"/>
      <c r="FAF387" s="1185"/>
      <c r="FAG387" s="1185"/>
      <c r="FAH387" s="1185"/>
      <c r="FAI387" s="1185"/>
      <c r="FAJ387" s="1185"/>
      <c r="FAK387" s="1185"/>
      <c r="FAL387" s="1185"/>
      <c r="FAM387" s="1185"/>
      <c r="FAN387" s="1185"/>
      <c r="FAO387" s="1185"/>
      <c r="FAP387" s="1185"/>
      <c r="FAQ387" s="1185"/>
      <c r="FAR387" s="1185"/>
      <c r="FAS387" s="1185"/>
      <c r="FAT387" s="1185"/>
      <c r="FAU387" s="1185"/>
      <c r="FAV387" s="1185"/>
      <c r="FAW387" s="1185"/>
      <c r="FAX387" s="1185"/>
      <c r="FAY387" s="1185"/>
      <c r="FAZ387" s="1185"/>
      <c r="FBA387" s="1185"/>
      <c r="FBB387" s="1185"/>
      <c r="FBC387" s="1185"/>
      <c r="FBD387" s="1185"/>
      <c r="FBE387" s="1185"/>
      <c r="FBF387" s="1185"/>
      <c r="FBG387" s="1185"/>
      <c r="FBH387" s="1185"/>
      <c r="FBI387" s="1185"/>
      <c r="FBJ387" s="1185"/>
      <c r="FBK387" s="1185"/>
      <c r="FBL387" s="1185"/>
      <c r="FBM387" s="1185"/>
      <c r="FBN387" s="1185"/>
      <c r="FBO387" s="1185"/>
      <c r="FBP387" s="1185"/>
      <c r="FBQ387" s="1185"/>
      <c r="FBR387" s="1185"/>
      <c r="FBS387" s="1185"/>
      <c r="FBT387" s="1185"/>
      <c r="FBU387" s="1185"/>
      <c r="FBV387" s="1185"/>
      <c r="FBW387" s="1185"/>
      <c r="FBX387" s="1185"/>
      <c r="FBY387" s="1185"/>
      <c r="FBZ387" s="1185"/>
      <c r="FCA387" s="1185"/>
      <c r="FCB387" s="1185"/>
      <c r="FCC387" s="1185"/>
      <c r="FCD387" s="1185"/>
      <c r="FCE387" s="1185"/>
      <c r="FCF387" s="1185"/>
      <c r="FCG387" s="1185"/>
      <c r="FCH387" s="1185"/>
      <c r="FCI387" s="1185"/>
      <c r="FCJ387" s="1185"/>
      <c r="FCK387" s="1185"/>
      <c r="FCL387" s="1185"/>
      <c r="FCM387" s="1185"/>
      <c r="FCN387" s="1185"/>
      <c r="FCO387" s="1185"/>
      <c r="FCP387" s="1185"/>
      <c r="FCQ387" s="1185"/>
      <c r="FCR387" s="1185"/>
      <c r="FCS387" s="1185"/>
      <c r="FCT387" s="1185"/>
      <c r="FCU387" s="1185"/>
      <c r="FCV387" s="1185"/>
      <c r="FCW387" s="1185"/>
      <c r="FCX387" s="1185"/>
      <c r="FCY387" s="1185"/>
      <c r="FCZ387" s="1185"/>
      <c r="FDA387" s="1185"/>
      <c r="FDB387" s="1185"/>
      <c r="FDC387" s="1185"/>
      <c r="FDD387" s="1185"/>
      <c r="FDE387" s="1185"/>
      <c r="FDF387" s="1185"/>
      <c r="FDG387" s="1185"/>
      <c r="FDH387" s="1185"/>
      <c r="FDI387" s="1185"/>
      <c r="FDJ387" s="1185"/>
      <c r="FDK387" s="1185"/>
      <c r="FDL387" s="1185"/>
      <c r="FDM387" s="1185"/>
      <c r="FDN387" s="1185"/>
      <c r="FDO387" s="1185"/>
      <c r="FDP387" s="1185"/>
      <c r="FDQ387" s="1185"/>
      <c r="FDR387" s="1185"/>
      <c r="FDS387" s="1185"/>
      <c r="FDT387" s="1185"/>
      <c r="FDU387" s="1185"/>
      <c r="FDV387" s="1185"/>
      <c r="FDW387" s="1185"/>
      <c r="FDX387" s="1185"/>
      <c r="FDY387" s="1185"/>
      <c r="FDZ387" s="1185"/>
      <c r="FEA387" s="1185"/>
      <c r="FEB387" s="1185"/>
      <c r="FEC387" s="1185"/>
      <c r="FED387" s="1185"/>
      <c r="FEE387" s="1185"/>
      <c r="FEF387" s="1185"/>
      <c r="FEG387" s="1185"/>
      <c r="FEH387" s="1185"/>
      <c r="FEI387" s="1185"/>
      <c r="FEJ387" s="1185"/>
      <c r="FEK387" s="1185"/>
      <c r="FEL387" s="1185"/>
      <c r="FEM387" s="1185"/>
      <c r="FEN387" s="1185"/>
      <c r="FEO387" s="1185"/>
      <c r="FEP387" s="1185"/>
      <c r="FEQ387" s="1185"/>
      <c r="FER387" s="1185"/>
      <c r="FES387" s="1185"/>
      <c r="FET387" s="1185"/>
      <c r="FEU387" s="1185"/>
      <c r="FEV387" s="1185"/>
      <c r="FEW387" s="1185"/>
      <c r="FEX387" s="1185"/>
      <c r="FEY387" s="1185"/>
      <c r="FEZ387" s="1185"/>
      <c r="FFA387" s="1185"/>
      <c r="FFB387" s="1185"/>
      <c r="FFC387" s="1185"/>
      <c r="FFD387" s="1185"/>
      <c r="FFE387" s="1185"/>
      <c r="FFF387" s="1185"/>
      <c r="FFG387" s="1185"/>
      <c r="FFH387" s="1185"/>
      <c r="FFI387" s="1185"/>
      <c r="FFJ387" s="1185"/>
      <c r="FFK387" s="1185"/>
      <c r="FFL387" s="1185"/>
      <c r="FFM387" s="1185"/>
      <c r="FFN387" s="1185"/>
      <c r="FFO387" s="1185"/>
      <c r="FFP387" s="1185"/>
      <c r="FFQ387" s="1185"/>
      <c r="FFR387" s="1185"/>
      <c r="FFS387" s="1185"/>
      <c r="FFT387" s="1185"/>
      <c r="FFU387" s="1185"/>
      <c r="FFV387" s="1185"/>
      <c r="FFW387" s="1185"/>
      <c r="FFX387" s="1185"/>
      <c r="FFY387" s="1185"/>
      <c r="FFZ387" s="1185"/>
      <c r="FGA387" s="1185"/>
      <c r="FGB387" s="1185"/>
      <c r="FGC387" s="1185"/>
      <c r="FGD387" s="1185"/>
      <c r="FGE387" s="1185"/>
      <c r="FGF387" s="1185"/>
      <c r="FGG387" s="1185"/>
      <c r="FGH387" s="1185"/>
      <c r="FGI387" s="1185"/>
      <c r="FGJ387" s="1185"/>
      <c r="FGK387" s="1185"/>
      <c r="FGL387" s="1185"/>
      <c r="FGM387" s="1185"/>
      <c r="FGN387" s="1185"/>
      <c r="FGO387" s="1185"/>
      <c r="FGP387" s="1185"/>
      <c r="FGQ387" s="1185"/>
      <c r="FGR387" s="1185"/>
      <c r="FGS387" s="1185"/>
      <c r="FGT387" s="1185"/>
      <c r="FGU387" s="1185"/>
      <c r="FGV387" s="1185"/>
      <c r="FGW387" s="1185"/>
      <c r="FGX387" s="1185"/>
      <c r="FGY387" s="1185"/>
      <c r="FGZ387" s="1185"/>
      <c r="FHA387" s="1185"/>
      <c r="FHB387" s="1185"/>
      <c r="FHC387" s="1185"/>
      <c r="FHD387" s="1185"/>
      <c r="FHE387" s="1185"/>
      <c r="FHF387" s="1185"/>
      <c r="FHG387" s="1185"/>
      <c r="FHH387" s="1185"/>
      <c r="FHI387" s="1185"/>
      <c r="FHJ387" s="1185"/>
      <c r="FHK387" s="1185"/>
      <c r="FHL387" s="1185"/>
      <c r="FHM387" s="1185"/>
      <c r="FHN387" s="1185"/>
      <c r="FHO387" s="1185"/>
      <c r="FHP387" s="1185"/>
      <c r="FHQ387" s="1185"/>
      <c r="FHR387" s="1185"/>
      <c r="FHS387" s="1185"/>
      <c r="FHT387" s="1185"/>
      <c r="FHU387" s="1185"/>
      <c r="FHV387" s="1185"/>
      <c r="FHW387" s="1185"/>
      <c r="FHX387" s="1185"/>
      <c r="FHY387" s="1185"/>
      <c r="FHZ387" s="1185"/>
      <c r="FIA387" s="1185"/>
      <c r="FIB387" s="1185"/>
      <c r="FIC387" s="1185"/>
      <c r="FID387" s="1185"/>
      <c r="FIE387" s="1185"/>
      <c r="FIF387" s="1185"/>
      <c r="FIG387" s="1185"/>
      <c r="FIH387" s="1185"/>
      <c r="FII387" s="1185"/>
      <c r="FIJ387" s="1185"/>
      <c r="FIK387" s="1185"/>
      <c r="FIL387" s="1185"/>
      <c r="FIM387" s="1185"/>
      <c r="FIN387" s="1185"/>
      <c r="FIO387" s="1185"/>
      <c r="FIP387" s="1185"/>
      <c r="FIQ387" s="1185"/>
      <c r="FIR387" s="1185"/>
      <c r="FIS387" s="1185"/>
      <c r="FIT387" s="1185"/>
      <c r="FIU387" s="1185"/>
      <c r="FIV387" s="1185"/>
      <c r="FIW387" s="1185"/>
      <c r="FIX387" s="1185"/>
      <c r="FIY387" s="1185"/>
      <c r="FIZ387" s="1185"/>
      <c r="FJA387" s="1185"/>
      <c r="FJB387" s="1185"/>
      <c r="FJC387" s="1185"/>
      <c r="FJD387" s="1185"/>
      <c r="FJE387" s="1185"/>
      <c r="FJF387" s="1185"/>
      <c r="FJG387" s="1185"/>
      <c r="FJH387" s="1185"/>
      <c r="FJI387" s="1185"/>
      <c r="FJJ387" s="1185"/>
      <c r="FJK387" s="1185"/>
      <c r="FJL387" s="1185"/>
      <c r="FJM387" s="1185"/>
      <c r="FJN387" s="1185"/>
      <c r="FJO387" s="1185"/>
      <c r="FJP387" s="1185"/>
      <c r="FJQ387" s="1185"/>
      <c r="FJR387" s="1185"/>
      <c r="FJS387" s="1185"/>
      <c r="FJT387" s="1185"/>
      <c r="FJU387" s="1185"/>
      <c r="FJV387" s="1185"/>
      <c r="FJW387" s="1185"/>
      <c r="FJX387" s="1185"/>
      <c r="FJY387" s="1185"/>
      <c r="FJZ387" s="1185"/>
      <c r="FKA387" s="1185"/>
      <c r="FKB387" s="1185"/>
      <c r="FKC387" s="1185"/>
      <c r="FKD387" s="1185"/>
      <c r="FKE387" s="1185"/>
      <c r="FKF387" s="1185"/>
      <c r="FKG387" s="1185"/>
      <c r="FKH387" s="1185"/>
      <c r="FKI387" s="1185"/>
      <c r="FKJ387" s="1185"/>
      <c r="FKK387" s="1185"/>
      <c r="FKL387" s="1185"/>
      <c r="FKM387" s="1185"/>
      <c r="FKN387" s="1185"/>
      <c r="FKO387" s="1185"/>
      <c r="FKP387" s="1185"/>
      <c r="FKQ387" s="1185"/>
      <c r="FKR387" s="1185"/>
      <c r="FKS387" s="1185"/>
      <c r="FKT387" s="1185"/>
      <c r="FKU387" s="1185"/>
      <c r="FKV387" s="1185"/>
      <c r="FKW387" s="1185"/>
      <c r="FKX387" s="1185"/>
      <c r="FKY387" s="1185"/>
      <c r="FKZ387" s="1185"/>
      <c r="FLA387" s="1185"/>
      <c r="FLB387" s="1185"/>
      <c r="FLC387" s="1185"/>
      <c r="FLD387" s="1185"/>
      <c r="FLE387" s="1185"/>
      <c r="FLF387" s="1185"/>
      <c r="FLG387" s="1185"/>
      <c r="FLH387" s="1185"/>
      <c r="FLI387" s="1185"/>
      <c r="FLJ387" s="1185"/>
      <c r="FLK387" s="1185"/>
      <c r="FLL387" s="1185"/>
      <c r="FLM387" s="1185"/>
      <c r="FLN387" s="1185"/>
      <c r="FLO387" s="1185"/>
      <c r="FLP387" s="1185"/>
      <c r="FLQ387" s="1185"/>
      <c r="FLR387" s="1185"/>
      <c r="FLS387" s="1185"/>
      <c r="FLT387" s="1185"/>
      <c r="FLU387" s="1185"/>
      <c r="FLV387" s="1185"/>
      <c r="FLW387" s="1185"/>
      <c r="FLX387" s="1185"/>
      <c r="FLY387" s="1185"/>
      <c r="FLZ387" s="1185"/>
      <c r="FMA387" s="1185"/>
      <c r="FMB387" s="1185"/>
      <c r="FMC387" s="1185"/>
      <c r="FMD387" s="1185"/>
      <c r="FME387" s="1185"/>
      <c r="FMF387" s="1185"/>
      <c r="FMG387" s="1185"/>
      <c r="FMH387" s="1185"/>
      <c r="FMI387" s="1185"/>
      <c r="FMJ387" s="1185"/>
      <c r="FMK387" s="1185"/>
      <c r="FML387" s="1185"/>
      <c r="FMM387" s="1185"/>
      <c r="FMN387" s="1185"/>
      <c r="FMO387" s="1185"/>
      <c r="FMP387" s="1185"/>
      <c r="FMQ387" s="1185"/>
      <c r="FMR387" s="1185"/>
      <c r="FMS387" s="1185"/>
      <c r="FMT387" s="1185"/>
      <c r="FMU387" s="1185"/>
      <c r="FMV387" s="1185"/>
      <c r="FMW387" s="1185"/>
      <c r="FMX387" s="1185"/>
      <c r="FMY387" s="1185"/>
      <c r="FMZ387" s="1185"/>
      <c r="FNA387" s="1185"/>
      <c r="FNB387" s="1185"/>
      <c r="FNC387" s="1185"/>
      <c r="FND387" s="1185"/>
      <c r="FNE387" s="1185"/>
      <c r="FNF387" s="1185"/>
      <c r="FNG387" s="1185"/>
      <c r="FNH387" s="1185"/>
      <c r="FNI387" s="1185"/>
      <c r="FNJ387" s="1185"/>
      <c r="FNK387" s="1185"/>
      <c r="FNL387" s="1185"/>
      <c r="FNM387" s="1185"/>
      <c r="FNN387" s="1185"/>
      <c r="FNO387" s="1185"/>
      <c r="FNP387" s="1185"/>
      <c r="FNQ387" s="1185"/>
      <c r="FNR387" s="1185"/>
      <c r="FNS387" s="1185"/>
      <c r="FNT387" s="1185"/>
      <c r="FNU387" s="1185"/>
      <c r="FNV387" s="1185"/>
      <c r="FNW387" s="1185"/>
      <c r="FNX387" s="1185"/>
      <c r="FNY387" s="1185"/>
      <c r="FNZ387" s="1185"/>
      <c r="FOA387" s="1185"/>
      <c r="FOB387" s="1185"/>
      <c r="FOC387" s="1185"/>
      <c r="FOD387" s="1185"/>
      <c r="FOE387" s="1185"/>
      <c r="FOF387" s="1185"/>
      <c r="FOG387" s="1185"/>
      <c r="FOH387" s="1185"/>
      <c r="FOI387" s="1185"/>
      <c r="FOJ387" s="1185"/>
      <c r="FOK387" s="1185"/>
      <c r="FOL387" s="1185"/>
      <c r="FOM387" s="1185"/>
      <c r="FON387" s="1185"/>
      <c r="FOO387" s="1185"/>
      <c r="FOP387" s="1185"/>
      <c r="FOQ387" s="1185"/>
      <c r="FOR387" s="1185"/>
      <c r="FOS387" s="1185"/>
      <c r="FOT387" s="1185"/>
      <c r="FOU387" s="1185"/>
      <c r="FOV387" s="1185"/>
      <c r="FOW387" s="1185"/>
      <c r="FOX387" s="1185"/>
      <c r="FOY387" s="1185"/>
      <c r="FOZ387" s="1185"/>
      <c r="FPA387" s="1185"/>
      <c r="FPB387" s="1185"/>
      <c r="FPC387" s="1185"/>
      <c r="FPD387" s="1185"/>
      <c r="FPE387" s="1185"/>
      <c r="FPF387" s="1185"/>
      <c r="FPG387" s="1185"/>
      <c r="FPH387" s="1185"/>
      <c r="FPI387" s="1185"/>
      <c r="FPJ387" s="1185"/>
      <c r="FPK387" s="1185"/>
      <c r="FPL387" s="1185"/>
      <c r="FPM387" s="1185"/>
      <c r="FPN387" s="1185"/>
      <c r="FPO387" s="1185"/>
      <c r="FPP387" s="1185"/>
      <c r="FPQ387" s="1185"/>
      <c r="FPR387" s="1185"/>
      <c r="FPS387" s="1185"/>
      <c r="FPT387" s="1185"/>
      <c r="FPU387" s="1185"/>
      <c r="FPV387" s="1185"/>
      <c r="FPW387" s="1185"/>
      <c r="FPX387" s="1185"/>
      <c r="FPY387" s="1185"/>
      <c r="FPZ387" s="1185"/>
      <c r="FQA387" s="1185"/>
      <c r="FQB387" s="1185"/>
      <c r="FQC387" s="1185"/>
      <c r="FQD387" s="1185"/>
      <c r="FQE387" s="1185"/>
      <c r="FQF387" s="1185"/>
      <c r="FQG387" s="1185"/>
      <c r="FQH387" s="1185"/>
      <c r="FQI387" s="1185"/>
      <c r="FQJ387" s="1185"/>
      <c r="FQK387" s="1185"/>
      <c r="FQL387" s="1185"/>
      <c r="FQM387" s="1185"/>
      <c r="FQN387" s="1185"/>
      <c r="FQO387" s="1185"/>
      <c r="FQP387" s="1185"/>
      <c r="FQQ387" s="1185"/>
      <c r="FQR387" s="1185"/>
      <c r="FQS387" s="1185"/>
      <c r="FQT387" s="1185"/>
      <c r="FQU387" s="1185"/>
      <c r="FQV387" s="1185"/>
      <c r="FQW387" s="1185"/>
      <c r="FQX387" s="1185"/>
      <c r="FQY387" s="1185"/>
      <c r="FQZ387" s="1185"/>
      <c r="FRA387" s="1185"/>
      <c r="FRB387" s="1185"/>
      <c r="FRC387" s="1185"/>
      <c r="FRD387" s="1185"/>
      <c r="FRE387" s="1185"/>
      <c r="FRF387" s="1185"/>
      <c r="FRG387" s="1185"/>
      <c r="FRH387" s="1185"/>
      <c r="FRI387" s="1185"/>
      <c r="FRJ387" s="1185"/>
      <c r="FRK387" s="1185"/>
      <c r="FRL387" s="1185"/>
      <c r="FRM387" s="1185"/>
      <c r="FRN387" s="1185"/>
      <c r="FRO387" s="1185"/>
      <c r="FRP387" s="1185"/>
      <c r="FRQ387" s="1185"/>
      <c r="FRR387" s="1185"/>
      <c r="FRS387" s="1185"/>
      <c r="FRT387" s="1185"/>
      <c r="FRU387" s="1185"/>
      <c r="FRV387" s="1185"/>
      <c r="FRW387" s="1185"/>
      <c r="FRX387" s="1185"/>
      <c r="FRY387" s="1185"/>
      <c r="FRZ387" s="1185"/>
      <c r="FSA387" s="1185"/>
      <c r="FSB387" s="1185"/>
      <c r="FSC387" s="1185"/>
      <c r="FSD387" s="1185"/>
      <c r="FSE387" s="1185"/>
      <c r="FSF387" s="1185"/>
      <c r="FSG387" s="1185"/>
      <c r="FSH387" s="1185"/>
      <c r="FSI387" s="1185"/>
      <c r="FSJ387" s="1185"/>
      <c r="FSK387" s="1185"/>
      <c r="FSL387" s="1185"/>
      <c r="FSM387" s="1185"/>
      <c r="FSN387" s="1185"/>
      <c r="FSO387" s="1185"/>
      <c r="FSP387" s="1185"/>
      <c r="FSQ387" s="1185"/>
      <c r="FSR387" s="1185"/>
      <c r="FSS387" s="1185"/>
      <c r="FST387" s="1185"/>
      <c r="FSU387" s="1185"/>
      <c r="FSV387" s="1185"/>
      <c r="FSW387" s="1185"/>
      <c r="FSX387" s="1185"/>
      <c r="FSY387" s="1185"/>
      <c r="FSZ387" s="1185"/>
      <c r="FTA387" s="1185"/>
      <c r="FTB387" s="1185"/>
      <c r="FTC387" s="1185"/>
      <c r="FTD387" s="1185"/>
      <c r="FTE387" s="1185"/>
      <c r="FTF387" s="1185"/>
      <c r="FTG387" s="1185"/>
      <c r="FTH387" s="1185"/>
      <c r="FTI387" s="1185"/>
      <c r="FTJ387" s="1185"/>
      <c r="FTK387" s="1185"/>
      <c r="FTL387" s="1185"/>
      <c r="FTM387" s="1185"/>
      <c r="FTN387" s="1185"/>
      <c r="FTO387" s="1185"/>
      <c r="FTP387" s="1185"/>
      <c r="FTQ387" s="1185"/>
      <c r="FTR387" s="1185"/>
      <c r="FTS387" s="1185"/>
      <c r="FTT387" s="1185"/>
      <c r="FTU387" s="1185"/>
      <c r="FTV387" s="1185"/>
      <c r="FTW387" s="1185"/>
      <c r="FTX387" s="1185"/>
      <c r="FTY387" s="1185"/>
      <c r="FTZ387" s="1185"/>
      <c r="FUA387" s="1185"/>
      <c r="FUB387" s="1185"/>
      <c r="FUC387" s="1185"/>
      <c r="FUD387" s="1185"/>
      <c r="FUE387" s="1185"/>
      <c r="FUF387" s="1185"/>
      <c r="FUG387" s="1185"/>
      <c r="FUH387" s="1185"/>
      <c r="FUI387" s="1185"/>
      <c r="FUJ387" s="1185"/>
      <c r="FUK387" s="1185"/>
      <c r="FUL387" s="1185"/>
      <c r="FUM387" s="1185"/>
      <c r="FUN387" s="1185"/>
      <c r="FUO387" s="1185"/>
      <c r="FUP387" s="1185"/>
      <c r="FUQ387" s="1185"/>
      <c r="FUR387" s="1185"/>
      <c r="FUS387" s="1185"/>
      <c r="FUT387" s="1185"/>
      <c r="FUU387" s="1185"/>
      <c r="FUV387" s="1185"/>
      <c r="FUW387" s="1185"/>
      <c r="FUX387" s="1185"/>
      <c r="FUY387" s="1185"/>
      <c r="FUZ387" s="1185"/>
      <c r="FVA387" s="1185"/>
      <c r="FVB387" s="1185"/>
      <c r="FVC387" s="1185"/>
      <c r="FVD387" s="1185"/>
      <c r="FVE387" s="1185"/>
      <c r="FVF387" s="1185"/>
      <c r="FVG387" s="1185"/>
      <c r="FVH387" s="1185"/>
      <c r="FVI387" s="1185"/>
      <c r="FVJ387" s="1185"/>
      <c r="FVK387" s="1185"/>
      <c r="FVL387" s="1185"/>
      <c r="FVM387" s="1185"/>
      <c r="FVN387" s="1185"/>
      <c r="FVO387" s="1185"/>
      <c r="FVP387" s="1185"/>
      <c r="FVQ387" s="1185"/>
      <c r="FVR387" s="1185"/>
      <c r="FVS387" s="1185"/>
      <c r="FVT387" s="1185"/>
      <c r="FVU387" s="1185"/>
      <c r="FVV387" s="1185"/>
      <c r="FVW387" s="1185"/>
      <c r="FVX387" s="1185"/>
      <c r="FVY387" s="1185"/>
      <c r="FVZ387" s="1185"/>
      <c r="FWA387" s="1185"/>
      <c r="FWB387" s="1185"/>
      <c r="FWC387" s="1185"/>
      <c r="FWD387" s="1185"/>
      <c r="FWE387" s="1185"/>
      <c r="FWF387" s="1185"/>
      <c r="FWG387" s="1185"/>
      <c r="FWH387" s="1185"/>
      <c r="FWI387" s="1185"/>
      <c r="FWJ387" s="1185"/>
      <c r="FWK387" s="1185"/>
      <c r="FWL387" s="1185"/>
      <c r="FWM387" s="1185"/>
      <c r="FWN387" s="1185"/>
      <c r="FWO387" s="1185"/>
      <c r="FWP387" s="1185"/>
      <c r="FWQ387" s="1185"/>
      <c r="FWR387" s="1185"/>
      <c r="FWS387" s="1185"/>
      <c r="FWT387" s="1185"/>
      <c r="FWU387" s="1185"/>
      <c r="FWV387" s="1185"/>
      <c r="FWW387" s="1185"/>
      <c r="FWX387" s="1185"/>
      <c r="FWY387" s="1185"/>
      <c r="FWZ387" s="1185"/>
      <c r="FXA387" s="1185"/>
      <c r="FXB387" s="1185"/>
      <c r="FXC387" s="1185"/>
      <c r="FXD387" s="1185"/>
      <c r="FXE387" s="1185"/>
      <c r="FXF387" s="1185"/>
      <c r="FXG387" s="1185"/>
      <c r="FXH387" s="1185"/>
      <c r="FXI387" s="1185"/>
      <c r="FXJ387" s="1185"/>
      <c r="FXK387" s="1185"/>
      <c r="FXL387" s="1185"/>
      <c r="FXM387" s="1185"/>
      <c r="FXN387" s="1185"/>
      <c r="FXO387" s="1185"/>
      <c r="FXP387" s="1185"/>
      <c r="FXQ387" s="1185"/>
      <c r="FXR387" s="1185"/>
      <c r="FXS387" s="1185"/>
      <c r="FXT387" s="1185"/>
      <c r="FXU387" s="1185"/>
      <c r="FXV387" s="1185"/>
      <c r="FXW387" s="1185"/>
      <c r="FXX387" s="1185"/>
      <c r="FXY387" s="1185"/>
      <c r="FXZ387" s="1185"/>
      <c r="FYA387" s="1185"/>
      <c r="FYB387" s="1185"/>
      <c r="FYC387" s="1185"/>
      <c r="FYD387" s="1185"/>
      <c r="FYE387" s="1185"/>
      <c r="FYF387" s="1185"/>
      <c r="FYG387" s="1185"/>
      <c r="FYH387" s="1185"/>
      <c r="FYI387" s="1185"/>
      <c r="FYJ387" s="1185"/>
      <c r="FYK387" s="1185"/>
      <c r="FYL387" s="1185"/>
      <c r="FYM387" s="1185"/>
      <c r="FYN387" s="1185"/>
      <c r="FYO387" s="1185"/>
      <c r="FYP387" s="1185"/>
      <c r="FYQ387" s="1185"/>
      <c r="FYR387" s="1185"/>
      <c r="FYS387" s="1185"/>
      <c r="FYT387" s="1185"/>
      <c r="FYU387" s="1185"/>
      <c r="FYV387" s="1185"/>
      <c r="FYW387" s="1185"/>
      <c r="FYX387" s="1185"/>
      <c r="FYY387" s="1185"/>
      <c r="FYZ387" s="1185"/>
      <c r="FZA387" s="1185"/>
      <c r="FZB387" s="1185"/>
      <c r="FZC387" s="1185"/>
      <c r="FZD387" s="1185"/>
      <c r="FZE387" s="1185"/>
      <c r="FZF387" s="1185"/>
      <c r="FZG387" s="1185"/>
      <c r="FZH387" s="1185"/>
      <c r="FZI387" s="1185"/>
      <c r="FZJ387" s="1185"/>
      <c r="FZK387" s="1185"/>
      <c r="FZL387" s="1185"/>
      <c r="FZM387" s="1185"/>
      <c r="FZN387" s="1185"/>
      <c r="FZO387" s="1185"/>
      <c r="FZP387" s="1185"/>
      <c r="FZQ387" s="1185"/>
      <c r="FZR387" s="1185"/>
      <c r="FZS387" s="1185"/>
      <c r="FZT387" s="1185"/>
      <c r="FZU387" s="1185"/>
      <c r="FZV387" s="1185"/>
      <c r="FZW387" s="1185"/>
      <c r="FZX387" s="1185"/>
      <c r="FZY387" s="1185"/>
      <c r="FZZ387" s="1185"/>
      <c r="GAA387" s="1185"/>
      <c r="GAB387" s="1185"/>
      <c r="GAC387" s="1185"/>
      <c r="GAD387" s="1185"/>
      <c r="GAE387" s="1185"/>
      <c r="GAF387" s="1185"/>
      <c r="GAG387" s="1185"/>
      <c r="GAH387" s="1185"/>
      <c r="GAI387" s="1185"/>
      <c r="GAJ387" s="1185"/>
      <c r="GAK387" s="1185"/>
      <c r="GAL387" s="1185"/>
      <c r="GAM387" s="1185"/>
      <c r="GAN387" s="1185"/>
      <c r="GAO387" s="1185"/>
      <c r="GAP387" s="1185"/>
      <c r="GAQ387" s="1185"/>
      <c r="GAR387" s="1185"/>
      <c r="GAS387" s="1185"/>
      <c r="GAT387" s="1185"/>
      <c r="GAU387" s="1185"/>
      <c r="GAV387" s="1185"/>
      <c r="GAW387" s="1185"/>
      <c r="GAX387" s="1185"/>
      <c r="GAY387" s="1185"/>
      <c r="GAZ387" s="1185"/>
      <c r="GBA387" s="1185"/>
      <c r="GBB387" s="1185"/>
      <c r="GBC387" s="1185"/>
      <c r="GBD387" s="1185"/>
      <c r="GBE387" s="1185"/>
      <c r="GBF387" s="1185"/>
      <c r="GBG387" s="1185"/>
      <c r="GBH387" s="1185"/>
      <c r="GBI387" s="1185"/>
      <c r="GBJ387" s="1185"/>
      <c r="GBK387" s="1185"/>
      <c r="GBL387" s="1185"/>
      <c r="GBM387" s="1185"/>
      <c r="GBN387" s="1185"/>
      <c r="GBO387" s="1185"/>
      <c r="GBP387" s="1185"/>
      <c r="GBQ387" s="1185"/>
      <c r="GBR387" s="1185"/>
      <c r="GBS387" s="1185"/>
      <c r="GBT387" s="1185"/>
      <c r="GBU387" s="1185"/>
      <c r="GBV387" s="1185"/>
      <c r="GBW387" s="1185"/>
      <c r="GBX387" s="1185"/>
      <c r="GBY387" s="1185"/>
      <c r="GBZ387" s="1185"/>
      <c r="GCA387" s="1185"/>
      <c r="GCB387" s="1185"/>
      <c r="GCC387" s="1185"/>
      <c r="GCD387" s="1185"/>
      <c r="GCE387" s="1185"/>
      <c r="GCF387" s="1185"/>
      <c r="GCG387" s="1185"/>
      <c r="GCH387" s="1185"/>
      <c r="GCI387" s="1185"/>
      <c r="GCJ387" s="1185"/>
      <c r="GCK387" s="1185"/>
      <c r="GCL387" s="1185"/>
      <c r="GCM387" s="1185"/>
      <c r="GCN387" s="1185"/>
      <c r="GCO387" s="1185"/>
      <c r="GCP387" s="1185"/>
      <c r="GCQ387" s="1185"/>
      <c r="GCR387" s="1185"/>
      <c r="GCS387" s="1185"/>
      <c r="GCT387" s="1185"/>
      <c r="GCU387" s="1185"/>
      <c r="GCV387" s="1185"/>
      <c r="GCW387" s="1185"/>
      <c r="GCX387" s="1185"/>
      <c r="GCY387" s="1185"/>
      <c r="GCZ387" s="1185"/>
      <c r="GDA387" s="1185"/>
      <c r="GDB387" s="1185"/>
      <c r="GDC387" s="1185"/>
      <c r="GDD387" s="1185"/>
      <c r="GDE387" s="1185"/>
      <c r="GDF387" s="1185"/>
      <c r="GDG387" s="1185"/>
      <c r="GDH387" s="1185"/>
      <c r="GDI387" s="1185"/>
      <c r="GDJ387" s="1185"/>
      <c r="GDK387" s="1185"/>
      <c r="GDL387" s="1185"/>
      <c r="GDM387" s="1185"/>
      <c r="GDN387" s="1185"/>
      <c r="GDO387" s="1185"/>
      <c r="GDP387" s="1185"/>
      <c r="GDQ387" s="1185"/>
      <c r="GDR387" s="1185"/>
      <c r="GDS387" s="1185"/>
      <c r="GDT387" s="1185"/>
      <c r="GDU387" s="1185"/>
      <c r="GDV387" s="1185"/>
      <c r="GDW387" s="1185"/>
      <c r="GDX387" s="1185"/>
      <c r="GDY387" s="1185"/>
      <c r="GDZ387" s="1185"/>
      <c r="GEA387" s="1185"/>
      <c r="GEB387" s="1185"/>
      <c r="GEC387" s="1185"/>
      <c r="GED387" s="1185"/>
      <c r="GEE387" s="1185"/>
      <c r="GEF387" s="1185"/>
      <c r="GEG387" s="1185"/>
      <c r="GEH387" s="1185"/>
      <c r="GEI387" s="1185"/>
      <c r="GEJ387" s="1185"/>
      <c r="GEK387" s="1185"/>
      <c r="GEL387" s="1185"/>
      <c r="GEM387" s="1185"/>
      <c r="GEN387" s="1185"/>
      <c r="GEO387" s="1185"/>
      <c r="GEP387" s="1185"/>
      <c r="GEQ387" s="1185"/>
      <c r="GER387" s="1185"/>
      <c r="GES387" s="1185"/>
      <c r="GET387" s="1185"/>
      <c r="GEU387" s="1185"/>
      <c r="GEV387" s="1185"/>
      <c r="GEW387" s="1185"/>
      <c r="GEX387" s="1185"/>
      <c r="GEY387" s="1185"/>
      <c r="GEZ387" s="1185"/>
      <c r="GFA387" s="1185"/>
      <c r="GFB387" s="1185"/>
      <c r="GFC387" s="1185"/>
      <c r="GFD387" s="1185"/>
      <c r="GFE387" s="1185"/>
      <c r="GFF387" s="1185"/>
      <c r="GFG387" s="1185"/>
      <c r="GFH387" s="1185"/>
      <c r="GFI387" s="1185"/>
      <c r="GFJ387" s="1185"/>
      <c r="GFK387" s="1185"/>
      <c r="GFL387" s="1185"/>
      <c r="GFM387" s="1185"/>
      <c r="GFN387" s="1185"/>
      <c r="GFO387" s="1185"/>
      <c r="GFP387" s="1185"/>
      <c r="GFQ387" s="1185"/>
      <c r="GFR387" s="1185"/>
      <c r="GFS387" s="1185"/>
      <c r="GFT387" s="1185"/>
      <c r="GFU387" s="1185"/>
      <c r="GFV387" s="1185"/>
      <c r="GFW387" s="1185"/>
      <c r="GFX387" s="1185"/>
      <c r="GFY387" s="1185"/>
      <c r="GFZ387" s="1185"/>
      <c r="GGA387" s="1185"/>
      <c r="GGB387" s="1185"/>
      <c r="GGC387" s="1185"/>
      <c r="GGD387" s="1185"/>
      <c r="GGE387" s="1185"/>
      <c r="GGF387" s="1185"/>
      <c r="GGG387" s="1185"/>
      <c r="GGH387" s="1185"/>
      <c r="GGI387" s="1185"/>
      <c r="GGJ387" s="1185"/>
      <c r="GGK387" s="1185"/>
      <c r="GGL387" s="1185"/>
      <c r="GGM387" s="1185"/>
      <c r="GGN387" s="1185"/>
      <c r="GGO387" s="1185"/>
      <c r="GGP387" s="1185"/>
      <c r="GGQ387" s="1185"/>
      <c r="GGR387" s="1185"/>
      <c r="GGS387" s="1185"/>
      <c r="GGT387" s="1185"/>
      <c r="GGU387" s="1185"/>
      <c r="GGV387" s="1185"/>
      <c r="GGW387" s="1185"/>
      <c r="GGX387" s="1185"/>
      <c r="GGY387" s="1185"/>
      <c r="GGZ387" s="1185"/>
      <c r="GHA387" s="1185"/>
      <c r="GHB387" s="1185"/>
      <c r="GHC387" s="1185"/>
      <c r="GHD387" s="1185"/>
      <c r="GHE387" s="1185"/>
      <c r="GHF387" s="1185"/>
      <c r="GHG387" s="1185"/>
      <c r="GHH387" s="1185"/>
      <c r="GHI387" s="1185"/>
      <c r="GHJ387" s="1185"/>
      <c r="GHK387" s="1185"/>
      <c r="GHL387" s="1185"/>
      <c r="GHM387" s="1185"/>
      <c r="GHN387" s="1185"/>
      <c r="GHO387" s="1185"/>
      <c r="GHP387" s="1185"/>
      <c r="GHQ387" s="1185"/>
      <c r="GHR387" s="1185"/>
      <c r="GHS387" s="1185"/>
      <c r="GHT387" s="1185"/>
      <c r="GHU387" s="1185"/>
      <c r="GHV387" s="1185"/>
      <c r="GHW387" s="1185"/>
      <c r="GHX387" s="1185"/>
      <c r="GHY387" s="1185"/>
      <c r="GHZ387" s="1185"/>
      <c r="GIA387" s="1185"/>
      <c r="GIB387" s="1185"/>
      <c r="GIC387" s="1185"/>
      <c r="GID387" s="1185"/>
      <c r="GIE387" s="1185"/>
      <c r="GIF387" s="1185"/>
      <c r="GIG387" s="1185"/>
      <c r="GIH387" s="1185"/>
      <c r="GII387" s="1185"/>
      <c r="GIJ387" s="1185"/>
      <c r="GIK387" s="1185"/>
      <c r="GIL387" s="1185"/>
      <c r="GIM387" s="1185"/>
      <c r="GIN387" s="1185"/>
      <c r="GIO387" s="1185"/>
      <c r="GIP387" s="1185"/>
      <c r="GIQ387" s="1185"/>
      <c r="GIR387" s="1185"/>
      <c r="GIS387" s="1185"/>
      <c r="GIT387" s="1185"/>
      <c r="GIU387" s="1185"/>
      <c r="GIV387" s="1185"/>
      <c r="GIW387" s="1185"/>
      <c r="GIX387" s="1185"/>
      <c r="GIY387" s="1185"/>
      <c r="GIZ387" s="1185"/>
      <c r="GJA387" s="1185"/>
      <c r="GJB387" s="1185"/>
      <c r="GJC387" s="1185"/>
      <c r="GJD387" s="1185"/>
      <c r="GJE387" s="1185"/>
      <c r="GJF387" s="1185"/>
      <c r="GJG387" s="1185"/>
      <c r="GJH387" s="1185"/>
      <c r="GJI387" s="1185"/>
      <c r="GJJ387" s="1185"/>
      <c r="GJK387" s="1185"/>
      <c r="GJL387" s="1185"/>
      <c r="GJM387" s="1185"/>
      <c r="GJN387" s="1185"/>
      <c r="GJO387" s="1185"/>
      <c r="GJP387" s="1185"/>
      <c r="GJQ387" s="1185"/>
      <c r="GJR387" s="1185"/>
      <c r="GJS387" s="1185"/>
      <c r="GJT387" s="1185"/>
      <c r="GJU387" s="1185"/>
      <c r="GJV387" s="1185"/>
      <c r="GJW387" s="1185"/>
      <c r="GJX387" s="1185"/>
      <c r="GJY387" s="1185"/>
      <c r="GJZ387" s="1185"/>
      <c r="GKA387" s="1185"/>
      <c r="GKB387" s="1185"/>
      <c r="GKC387" s="1185"/>
      <c r="GKD387" s="1185"/>
      <c r="GKE387" s="1185"/>
      <c r="GKF387" s="1185"/>
      <c r="GKG387" s="1185"/>
      <c r="GKH387" s="1185"/>
      <c r="GKI387" s="1185"/>
      <c r="GKJ387" s="1185"/>
      <c r="GKK387" s="1185"/>
      <c r="GKL387" s="1185"/>
      <c r="GKM387" s="1185"/>
      <c r="GKN387" s="1185"/>
      <c r="GKO387" s="1185"/>
      <c r="GKP387" s="1185"/>
      <c r="GKQ387" s="1185"/>
      <c r="GKR387" s="1185"/>
      <c r="GKS387" s="1185"/>
      <c r="GKT387" s="1185"/>
      <c r="GKU387" s="1185"/>
      <c r="GKV387" s="1185"/>
      <c r="GKW387" s="1185"/>
      <c r="GKX387" s="1185"/>
      <c r="GKY387" s="1185"/>
      <c r="GKZ387" s="1185"/>
      <c r="GLA387" s="1185"/>
      <c r="GLB387" s="1185"/>
      <c r="GLC387" s="1185"/>
      <c r="GLD387" s="1185"/>
      <c r="GLE387" s="1185"/>
      <c r="GLF387" s="1185"/>
      <c r="GLG387" s="1185"/>
      <c r="GLH387" s="1185"/>
      <c r="GLI387" s="1185"/>
      <c r="GLJ387" s="1185"/>
      <c r="GLK387" s="1185"/>
      <c r="GLL387" s="1185"/>
      <c r="GLM387" s="1185"/>
      <c r="GLN387" s="1185"/>
      <c r="GLO387" s="1185"/>
      <c r="GLP387" s="1185"/>
      <c r="GLQ387" s="1185"/>
      <c r="GLR387" s="1185"/>
      <c r="GLS387" s="1185"/>
      <c r="GLT387" s="1185"/>
      <c r="GLU387" s="1185"/>
      <c r="GLV387" s="1185"/>
      <c r="GLW387" s="1185"/>
      <c r="GLX387" s="1185"/>
      <c r="GLY387" s="1185"/>
      <c r="GLZ387" s="1185"/>
      <c r="GMA387" s="1185"/>
      <c r="GMB387" s="1185"/>
      <c r="GMC387" s="1185"/>
      <c r="GMD387" s="1185"/>
      <c r="GME387" s="1185"/>
      <c r="GMF387" s="1185"/>
      <c r="GMG387" s="1185"/>
      <c r="GMH387" s="1185"/>
      <c r="GMI387" s="1185"/>
      <c r="GMJ387" s="1185"/>
      <c r="GMK387" s="1185"/>
      <c r="GML387" s="1185"/>
      <c r="GMM387" s="1185"/>
      <c r="GMN387" s="1185"/>
      <c r="GMO387" s="1185"/>
      <c r="GMP387" s="1185"/>
      <c r="GMQ387" s="1185"/>
      <c r="GMR387" s="1185"/>
      <c r="GMS387" s="1185"/>
      <c r="GMT387" s="1185"/>
      <c r="GMU387" s="1185"/>
      <c r="GMV387" s="1185"/>
      <c r="GMW387" s="1185"/>
      <c r="GMX387" s="1185"/>
      <c r="GMY387" s="1185"/>
      <c r="GMZ387" s="1185"/>
      <c r="GNA387" s="1185"/>
      <c r="GNB387" s="1185"/>
      <c r="GNC387" s="1185"/>
      <c r="GND387" s="1185"/>
      <c r="GNE387" s="1185"/>
      <c r="GNF387" s="1185"/>
      <c r="GNG387" s="1185"/>
      <c r="GNH387" s="1185"/>
      <c r="GNI387" s="1185"/>
      <c r="GNJ387" s="1185"/>
      <c r="GNK387" s="1185"/>
      <c r="GNL387" s="1185"/>
      <c r="GNM387" s="1185"/>
      <c r="GNN387" s="1185"/>
      <c r="GNO387" s="1185"/>
      <c r="GNP387" s="1185"/>
      <c r="GNQ387" s="1185"/>
      <c r="GNR387" s="1185"/>
      <c r="GNS387" s="1185"/>
      <c r="GNT387" s="1185"/>
      <c r="GNU387" s="1185"/>
      <c r="GNV387" s="1185"/>
      <c r="GNW387" s="1185"/>
      <c r="GNX387" s="1185"/>
      <c r="GNY387" s="1185"/>
      <c r="GNZ387" s="1185"/>
      <c r="GOA387" s="1185"/>
      <c r="GOB387" s="1185"/>
      <c r="GOC387" s="1185"/>
      <c r="GOD387" s="1185"/>
      <c r="GOE387" s="1185"/>
      <c r="GOF387" s="1185"/>
      <c r="GOG387" s="1185"/>
      <c r="GOH387" s="1185"/>
      <c r="GOI387" s="1185"/>
      <c r="GOJ387" s="1185"/>
      <c r="GOK387" s="1185"/>
      <c r="GOL387" s="1185"/>
      <c r="GOM387" s="1185"/>
      <c r="GON387" s="1185"/>
      <c r="GOO387" s="1185"/>
      <c r="GOP387" s="1185"/>
      <c r="GOQ387" s="1185"/>
      <c r="GOR387" s="1185"/>
      <c r="GOS387" s="1185"/>
      <c r="GOT387" s="1185"/>
      <c r="GOU387" s="1185"/>
      <c r="GOV387" s="1185"/>
      <c r="GOW387" s="1185"/>
      <c r="GOX387" s="1185"/>
      <c r="GOY387" s="1185"/>
      <c r="GOZ387" s="1185"/>
      <c r="GPA387" s="1185"/>
      <c r="GPB387" s="1185"/>
      <c r="GPC387" s="1185"/>
      <c r="GPD387" s="1185"/>
      <c r="GPE387" s="1185"/>
      <c r="GPF387" s="1185"/>
      <c r="GPG387" s="1185"/>
      <c r="GPH387" s="1185"/>
      <c r="GPI387" s="1185"/>
      <c r="GPJ387" s="1185"/>
      <c r="GPK387" s="1185"/>
      <c r="GPL387" s="1185"/>
      <c r="GPM387" s="1185"/>
      <c r="GPN387" s="1185"/>
      <c r="GPO387" s="1185"/>
      <c r="GPP387" s="1185"/>
      <c r="GPQ387" s="1185"/>
      <c r="GPR387" s="1185"/>
      <c r="GPS387" s="1185"/>
      <c r="GPT387" s="1185"/>
      <c r="GPU387" s="1185"/>
      <c r="GPV387" s="1185"/>
      <c r="GPW387" s="1185"/>
      <c r="GPX387" s="1185"/>
      <c r="GPY387" s="1185"/>
      <c r="GPZ387" s="1185"/>
      <c r="GQA387" s="1185"/>
      <c r="GQB387" s="1185"/>
      <c r="GQC387" s="1185"/>
      <c r="GQD387" s="1185"/>
      <c r="GQE387" s="1185"/>
      <c r="GQF387" s="1185"/>
      <c r="GQG387" s="1185"/>
      <c r="GQH387" s="1185"/>
      <c r="GQI387" s="1185"/>
      <c r="GQJ387" s="1185"/>
      <c r="GQK387" s="1185"/>
      <c r="GQL387" s="1185"/>
      <c r="GQM387" s="1185"/>
      <c r="GQN387" s="1185"/>
      <c r="GQO387" s="1185"/>
      <c r="GQP387" s="1185"/>
      <c r="GQQ387" s="1185"/>
      <c r="GQR387" s="1185"/>
      <c r="GQS387" s="1185"/>
      <c r="GQT387" s="1185"/>
      <c r="GQU387" s="1185"/>
      <c r="GQV387" s="1185"/>
      <c r="GQW387" s="1185"/>
      <c r="GQX387" s="1185"/>
      <c r="GQY387" s="1185"/>
      <c r="GQZ387" s="1185"/>
      <c r="GRA387" s="1185"/>
      <c r="GRB387" s="1185"/>
      <c r="GRC387" s="1185"/>
      <c r="GRD387" s="1185"/>
      <c r="GRE387" s="1185"/>
      <c r="GRF387" s="1185"/>
      <c r="GRG387" s="1185"/>
      <c r="GRH387" s="1185"/>
      <c r="GRI387" s="1185"/>
      <c r="GRJ387" s="1185"/>
      <c r="GRK387" s="1185"/>
      <c r="GRL387" s="1185"/>
      <c r="GRM387" s="1185"/>
      <c r="GRN387" s="1185"/>
      <c r="GRO387" s="1185"/>
      <c r="GRP387" s="1185"/>
      <c r="GRQ387" s="1185"/>
      <c r="GRR387" s="1185"/>
      <c r="GRS387" s="1185"/>
      <c r="GRT387" s="1185"/>
      <c r="GRU387" s="1185"/>
      <c r="GRV387" s="1185"/>
      <c r="GRW387" s="1185"/>
      <c r="GRX387" s="1185"/>
      <c r="GRY387" s="1185"/>
      <c r="GRZ387" s="1185"/>
      <c r="GSA387" s="1185"/>
      <c r="GSB387" s="1185"/>
      <c r="GSC387" s="1185"/>
      <c r="GSD387" s="1185"/>
      <c r="GSE387" s="1185"/>
      <c r="GSF387" s="1185"/>
      <c r="GSG387" s="1185"/>
      <c r="GSH387" s="1185"/>
      <c r="GSI387" s="1185"/>
      <c r="GSJ387" s="1185"/>
      <c r="GSK387" s="1185"/>
      <c r="GSL387" s="1185"/>
      <c r="GSM387" s="1185"/>
      <c r="GSN387" s="1185"/>
      <c r="GSO387" s="1185"/>
      <c r="GSP387" s="1185"/>
      <c r="GSQ387" s="1185"/>
      <c r="GSR387" s="1185"/>
      <c r="GSS387" s="1185"/>
      <c r="GST387" s="1185"/>
      <c r="GSU387" s="1185"/>
      <c r="GSV387" s="1185"/>
      <c r="GSW387" s="1185"/>
      <c r="GSX387" s="1185"/>
      <c r="GSY387" s="1185"/>
      <c r="GSZ387" s="1185"/>
      <c r="GTA387" s="1185"/>
      <c r="GTB387" s="1185"/>
      <c r="GTC387" s="1185"/>
      <c r="GTD387" s="1185"/>
      <c r="GTE387" s="1185"/>
      <c r="GTF387" s="1185"/>
      <c r="GTG387" s="1185"/>
      <c r="GTH387" s="1185"/>
      <c r="GTI387" s="1185"/>
      <c r="GTJ387" s="1185"/>
      <c r="GTK387" s="1185"/>
      <c r="GTL387" s="1185"/>
      <c r="GTM387" s="1185"/>
      <c r="GTN387" s="1185"/>
      <c r="GTO387" s="1185"/>
      <c r="GTP387" s="1185"/>
      <c r="GTQ387" s="1185"/>
      <c r="GTR387" s="1185"/>
      <c r="GTS387" s="1185"/>
      <c r="GTT387" s="1185"/>
      <c r="GTU387" s="1185"/>
      <c r="GTV387" s="1185"/>
      <c r="GTW387" s="1185"/>
      <c r="GTX387" s="1185"/>
      <c r="GTY387" s="1185"/>
      <c r="GTZ387" s="1185"/>
      <c r="GUA387" s="1185"/>
      <c r="GUB387" s="1185"/>
      <c r="GUC387" s="1185"/>
      <c r="GUD387" s="1185"/>
      <c r="GUE387" s="1185"/>
      <c r="GUF387" s="1185"/>
      <c r="GUG387" s="1185"/>
      <c r="GUH387" s="1185"/>
      <c r="GUI387" s="1185"/>
      <c r="GUJ387" s="1185"/>
      <c r="GUK387" s="1185"/>
      <c r="GUL387" s="1185"/>
      <c r="GUM387" s="1185"/>
      <c r="GUN387" s="1185"/>
      <c r="GUO387" s="1185"/>
      <c r="GUP387" s="1185"/>
      <c r="GUQ387" s="1185"/>
      <c r="GUR387" s="1185"/>
      <c r="GUS387" s="1185"/>
      <c r="GUT387" s="1185"/>
      <c r="GUU387" s="1185"/>
      <c r="GUV387" s="1185"/>
      <c r="GUW387" s="1185"/>
      <c r="GUX387" s="1185"/>
      <c r="GUY387" s="1185"/>
      <c r="GUZ387" s="1185"/>
      <c r="GVA387" s="1185"/>
      <c r="GVB387" s="1185"/>
      <c r="GVC387" s="1185"/>
      <c r="GVD387" s="1185"/>
      <c r="GVE387" s="1185"/>
      <c r="GVF387" s="1185"/>
      <c r="GVG387" s="1185"/>
      <c r="GVH387" s="1185"/>
      <c r="GVI387" s="1185"/>
      <c r="GVJ387" s="1185"/>
      <c r="GVK387" s="1185"/>
      <c r="GVL387" s="1185"/>
      <c r="GVM387" s="1185"/>
      <c r="GVN387" s="1185"/>
      <c r="GVO387" s="1185"/>
      <c r="GVP387" s="1185"/>
      <c r="GVQ387" s="1185"/>
      <c r="GVR387" s="1185"/>
      <c r="GVS387" s="1185"/>
      <c r="GVT387" s="1185"/>
      <c r="GVU387" s="1185"/>
      <c r="GVV387" s="1185"/>
      <c r="GVW387" s="1185"/>
      <c r="GVX387" s="1185"/>
      <c r="GVY387" s="1185"/>
      <c r="GVZ387" s="1185"/>
      <c r="GWA387" s="1185"/>
      <c r="GWB387" s="1185"/>
      <c r="GWC387" s="1185"/>
      <c r="GWD387" s="1185"/>
      <c r="GWE387" s="1185"/>
      <c r="GWF387" s="1185"/>
      <c r="GWG387" s="1185"/>
      <c r="GWH387" s="1185"/>
      <c r="GWI387" s="1185"/>
      <c r="GWJ387" s="1185"/>
      <c r="GWK387" s="1185"/>
      <c r="GWL387" s="1185"/>
      <c r="GWM387" s="1185"/>
      <c r="GWN387" s="1185"/>
      <c r="GWO387" s="1185"/>
      <c r="GWP387" s="1185"/>
      <c r="GWQ387" s="1185"/>
      <c r="GWR387" s="1185"/>
      <c r="GWS387" s="1185"/>
      <c r="GWT387" s="1185"/>
      <c r="GWU387" s="1185"/>
      <c r="GWV387" s="1185"/>
      <c r="GWW387" s="1185"/>
      <c r="GWX387" s="1185"/>
      <c r="GWY387" s="1185"/>
      <c r="GWZ387" s="1185"/>
      <c r="GXA387" s="1185"/>
      <c r="GXB387" s="1185"/>
      <c r="GXC387" s="1185"/>
      <c r="GXD387" s="1185"/>
      <c r="GXE387" s="1185"/>
      <c r="GXF387" s="1185"/>
      <c r="GXG387" s="1185"/>
      <c r="GXH387" s="1185"/>
      <c r="GXI387" s="1185"/>
      <c r="GXJ387" s="1185"/>
      <c r="GXK387" s="1185"/>
      <c r="GXL387" s="1185"/>
      <c r="GXM387" s="1185"/>
      <c r="GXN387" s="1185"/>
      <c r="GXO387" s="1185"/>
      <c r="GXP387" s="1185"/>
      <c r="GXQ387" s="1185"/>
      <c r="GXR387" s="1185"/>
      <c r="GXS387" s="1185"/>
      <c r="GXT387" s="1185"/>
      <c r="GXU387" s="1185"/>
      <c r="GXV387" s="1185"/>
      <c r="GXW387" s="1185"/>
      <c r="GXX387" s="1185"/>
      <c r="GXY387" s="1185"/>
      <c r="GXZ387" s="1185"/>
      <c r="GYA387" s="1185"/>
      <c r="GYB387" s="1185"/>
      <c r="GYC387" s="1185"/>
      <c r="GYD387" s="1185"/>
      <c r="GYE387" s="1185"/>
      <c r="GYF387" s="1185"/>
      <c r="GYG387" s="1185"/>
      <c r="GYH387" s="1185"/>
      <c r="GYI387" s="1185"/>
      <c r="GYJ387" s="1185"/>
      <c r="GYK387" s="1185"/>
      <c r="GYL387" s="1185"/>
      <c r="GYM387" s="1185"/>
      <c r="GYN387" s="1185"/>
      <c r="GYO387" s="1185"/>
      <c r="GYP387" s="1185"/>
      <c r="GYQ387" s="1185"/>
      <c r="GYR387" s="1185"/>
      <c r="GYS387" s="1185"/>
      <c r="GYT387" s="1185"/>
      <c r="GYU387" s="1185"/>
      <c r="GYV387" s="1185"/>
      <c r="GYW387" s="1185"/>
      <c r="GYX387" s="1185"/>
      <c r="GYY387" s="1185"/>
      <c r="GYZ387" s="1185"/>
      <c r="GZA387" s="1185"/>
      <c r="GZB387" s="1185"/>
      <c r="GZC387" s="1185"/>
      <c r="GZD387" s="1185"/>
      <c r="GZE387" s="1185"/>
      <c r="GZF387" s="1185"/>
      <c r="GZG387" s="1185"/>
      <c r="GZH387" s="1185"/>
      <c r="GZI387" s="1185"/>
      <c r="GZJ387" s="1185"/>
      <c r="GZK387" s="1185"/>
      <c r="GZL387" s="1185"/>
      <c r="GZM387" s="1185"/>
      <c r="GZN387" s="1185"/>
      <c r="GZO387" s="1185"/>
      <c r="GZP387" s="1185"/>
      <c r="GZQ387" s="1185"/>
      <c r="GZR387" s="1185"/>
      <c r="GZS387" s="1185"/>
      <c r="GZT387" s="1185"/>
      <c r="GZU387" s="1185"/>
      <c r="GZV387" s="1185"/>
      <c r="GZW387" s="1185"/>
      <c r="GZX387" s="1185"/>
      <c r="GZY387" s="1185"/>
      <c r="GZZ387" s="1185"/>
      <c r="HAA387" s="1185"/>
      <c r="HAB387" s="1185"/>
      <c r="HAC387" s="1185"/>
      <c r="HAD387" s="1185"/>
      <c r="HAE387" s="1185"/>
      <c r="HAF387" s="1185"/>
      <c r="HAG387" s="1185"/>
      <c r="HAH387" s="1185"/>
      <c r="HAI387" s="1185"/>
      <c r="HAJ387" s="1185"/>
      <c r="HAK387" s="1185"/>
      <c r="HAL387" s="1185"/>
      <c r="HAM387" s="1185"/>
      <c r="HAN387" s="1185"/>
      <c r="HAO387" s="1185"/>
      <c r="HAP387" s="1185"/>
      <c r="HAQ387" s="1185"/>
      <c r="HAR387" s="1185"/>
      <c r="HAS387" s="1185"/>
      <c r="HAT387" s="1185"/>
      <c r="HAU387" s="1185"/>
      <c r="HAV387" s="1185"/>
      <c r="HAW387" s="1185"/>
      <c r="HAX387" s="1185"/>
      <c r="HAY387" s="1185"/>
      <c r="HAZ387" s="1185"/>
      <c r="HBA387" s="1185"/>
      <c r="HBB387" s="1185"/>
      <c r="HBC387" s="1185"/>
      <c r="HBD387" s="1185"/>
      <c r="HBE387" s="1185"/>
      <c r="HBF387" s="1185"/>
      <c r="HBG387" s="1185"/>
      <c r="HBH387" s="1185"/>
      <c r="HBI387" s="1185"/>
      <c r="HBJ387" s="1185"/>
      <c r="HBK387" s="1185"/>
      <c r="HBL387" s="1185"/>
      <c r="HBM387" s="1185"/>
      <c r="HBN387" s="1185"/>
      <c r="HBO387" s="1185"/>
      <c r="HBP387" s="1185"/>
      <c r="HBQ387" s="1185"/>
      <c r="HBR387" s="1185"/>
      <c r="HBS387" s="1185"/>
      <c r="HBT387" s="1185"/>
      <c r="HBU387" s="1185"/>
      <c r="HBV387" s="1185"/>
      <c r="HBW387" s="1185"/>
      <c r="HBX387" s="1185"/>
      <c r="HBY387" s="1185"/>
      <c r="HBZ387" s="1185"/>
      <c r="HCA387" s="1185"/>
      <c r="HCB387" s="1185"/>
      <c r="HCC387" s="1185"/>
      <c r="HCD387" s="1185"/>
      <c r="HCE387" s="1185"/>
      <c r="HCF387" s="1185"/>
      <c r="HCG387" s="1185"/>
      <c r="HCH387" s="1185"/>
      <c r="HCI387" s="1185"/>
      <c r="HCJ387" s="1185"/>
      <c r="HCK387" s="1185"/>
      <c r="HCL387" s="1185"/>
      <c r="HCM387" s="1185"/>
      <c r="HCN387" s="1185"/>
      <c r="HCO387" s="1185"/>
      <c r="HCP387" s="1185"/>
      <c r="HCQ387" s="1185"/>
      <c r="HCR387" s="1185"/>
      <c r="HCS387" s="1185"/>
      <c r="HCT387" s="1185"/>
      <c r="HCU387" s="1185"/>
      <c r="HCV387" s="1185"/>
      <c r="HCW387" s="1185"/>
      <c r="HCX387" s="1185"/>
      <c r="HCY387" s="1185"/>
      <c r="HCZ387" s="1185"/>
      <c r="HDA387" s="1185"/>
      <c r="HDB387" s="1185"/>
      <c r="HDC387" s="1185"/>
      <c r="HDD387" s="1185"/>
      <c r="HDE387" s="1185"/>
      <c r="HDF387" s="1185"/>
      <c r="HDG387" s="1185"/>
      <c r="HDH387" s="1185"/>
      <c r="HDI387" s="1185"/>
      <c r="HDJ387" s="1185"/>
      <c r="HDK387" s="1185"/>
      <c r="HDL387" s="1185"/>
      <c r="HDM387" s="1185"/>
      <c r="HDN387" s="1185"/>
      <c r="HDO387" s="1185"/>
      <c r="HDP387" s="1185"/>
      <c r="HDQ387" s="1185"/>
      <c r="HDR387" s="1185"/>
      <c r="HDS387" s="1185"/>
      <c r="HDT387" s="1185"/>
      <c r="HDU387" s="1185"/>
      <c r="HDV387" s="1185"/>
      <c r="HDW387" s="1185"/>
      <c r="HDX387" s="1185"/>
      <c r="HDY387" s="1185"/>
      <c r="HDZ387" s="1185"/>
      <c r="HEA387" s="1185"/>
      <c r="HEB387" s="1185"/>
      <c r="HEC387" s="1185"/>
      <c r="HED387" s="1185"/>
      <c r="HEE387" s="1185"/>
      <c r="HEF387" s="1185"/>
      <c r="HEG387" s="1185"/>
      <c r="HEH387" s="1185"/>
      <c r="HEI387" s="1185"/>
      <c r="HEJ387" s="1185"/>
      <c r="HEK387" s="1185"/>
      <c r="HEL387" s="1185"/>
      <c r="HEM387" s="1185"/>
      <c r="HEN387" s="1185"/>
      <c r="HEO387" s="1185"/>
      <c r="HEP387" s="1185"/>
      <c r="HEQ387" s="1185"/>
      <c r="HER387" s="1185"/>
      <c r="HES387" s="1185"/>
      <c r="HET387" s="1185"/>
      <c r="HEU387" s="1185"/>
      <c r="HEV387" s="1185"/>
      <c r="HEW387" s="1185"/>
      <c r="HEX387" s="1185"/>
      <c r="HEY387" s="1185"/>
      <c r="HEZ387" s="1185"/>
      <c r="HFA387" s="1185"/>
      <c r="HFB387" s="1185"/>
      <c r="HFC387" s="1185"/>
      <c r="HFD387" s="1185"/>
      <c r="HFE387" s="1185"/>
      <c r="HFF387" s="1185"/>
      <c r="HFG387" s="1185"/>
      <c r="HFH387" s="1185"/>
      <c r="HFI387" s="1185"/>
      <c r="HFJ387" s="1185"/>
      <c r="HFK387" s="1185"/>
      <c r="HFL387" s="1185"/>
      <c r="HFM387" s="1185"/>
      <c r="HFN387" s="1185"/>
      <c r="HFO387" s="1185"/>
      <c r="HFP387" s="1185"/>
      <c r="HFQ387" s="1185"/>
      <c r="HFR387" s="1185"/>
      <c r="HFS387" s="1185"/>
      <c r="HFT387" s="1185"/>
      <c r="HFU387" s="1185"/>
      <c r="HFV387" s="1185"/>
      <c r="HFW387" s="1185"/>
      <c r="HFX387" s="1185"/>
      <c r="HFY387" s="1185"/>
      <c r="HFZ387" s="1185"/>
      <c r="HGA387" s="1185"/>
      <c r="HGB387" s="1185"/>
      <c r="HGC387" s="1185"/>
      <c r="HGD387" s="1185"/>
      <c r="HGE387" s="1185"/>
      <c r="HGF387" s="1185"/>
      <c r="HGG387" s="1185"/>
      <c r="HGH387" s="1185"/>
      <c r="HGI387" s="1185"/>
      <c r="HGJ387" s="1185"/>
      <c r="HGK387" s="1185"/>
      <c r="HGL387" s="1185"/>
      <c r="HGM387" s="1185"/>
      <c r="HGN387" s="1185"/>
      <c r="HGO387" s="1185"/>
      <c r="HGP387" s="1185"/>
      <c r="HGQ387" s="1185"/>
      <c r="HGR387" s="1185"/>
      <c r="HGS387" s="1185"/>
      <c r="HGT387" s="1185"/>
      <c r="HGU387" s="1185"/>
      <c r="HGV387" s="1185"/>
      <c r="HGW387" s="1185"/>
      <c r="HGX387" s="1185"/>
      <c r="HGY387" s="1185"/>
      <c r="HGZ387" s="1185"/>
      <c r="HHA387" s="1185"/>
      <c r="HHB387" s="1185"/>
      <c r="HHC387" s="1185"/>
      <c r="HHD387" s="1185"/>
      <c r="HHE387" s="1185"/>
      <c r="HHF387" s="1185"/>
      <c r="HHG387" s="1185"/>
      <c r="HHH387" s="1185"/>
      <c r="HHI387" s="1185"/>
      <c r="HHJ387" s="1185"/>
      <c r="HHK387" s="1185"/>
      <c r="HHL387" s="1185"/>
      <c r="HHM387" s="1185"/>
      <c r="HHN387" s="1185"/>
      <c r="HHO387" s="1185"/>
      <c r="HHP387" s="1185"/>
      <c r="HHQ387" s="1185"/>
      <c r="HHR387" s="1185"/>
      <c r="HHS387" s="1185"/>
      <c r="HHT387" s="1185"/>
      <c r="HHU387" s="1185"/>
      <c r="HHV387" s="1185"/>
      <c r="HHW387" s="1185"/>
      <c r="HHX387" s="1185"/>
      <c r="HHY387" s="1185"/>
      <c r="HHZ387" s="1185"/>
      <c r="HIA387" s="1185"/>
      <c r="HIB387" s="1185"/>
      <c r="HIC387" s="1185"/>
      <c r="HID387" s="1185"/>
      <c r="HIE387" s="1185"/>
      <c r="HIF387" s="1185"/>
      <c r="HIG387" s="1185"/>
      <c r="HIH387" s="1185"/>
      <c r="HII387" s="1185"/>
      <c r="HIJ387" s="1185"/>
      <c r="HIK387" s="1185"/>
      <c r="HIL387" s="1185"/>
      <c r="HIM387" s="1185"/>
      <c r="HIN387" s="1185"/>
      <c r="HIO387" s="1185"/>
      <c r="HIP387" s="1185"/>
      <c r="HIQ387" s="1185"/>
      <c r="HIR387" s="1185"/>
      <c r="HIS387" s="1185"/>
      <c r="HIT387" s="1185"/>
      <c r="HIU387" s="1185"/>
      <c r="HIV387" s="1185"/>
      <c r="HIW387" s="1185"/>
      <c r="HIX387" s="1185"/>
      <c r="HIY387" s="1185"/>
      <c r="HIZ387" s="1185"/>
      <c r="HJA387" s="1185"/>
      <c r="HJB387" s="1185"/>
      <c r="HJC387" s="1185"/>
      <c r="HJD387" s="1185"/>
      <c r="HJE387" s="1185"/>
      <c r="HJF387" s="1185"/>
      <c r="HJG387" s="1185"/>
      <c r="HJH387" s="1185"/>
      <c r="HJI387" s="1185"/>
      <c r="HJJ387" s="1185"/>
      <c r="HJK387" s="1185"/>
      <c r="HJL387" s="1185"/>
      <c r="HJM387" s="1185"/>
      <c r="HJN387" s="1185"/>
      <c r="HJO387" s="1185"/>
      <c r="HJP387" s="1185"/>
      <c r="HJQ387" s="1185"/>
      <c r="HJR387" s="1185"/>
      <c r="HJS387" s="1185"/>
      <c r="HJT387" s="1185"/>
      <c r="HJU387" s="1185"/>
      <c r="HJV387" s="1185"/>
      <c r="HJW387" s="1185"/>
      <c r="HJX387" s="1185"/>
      <c r="HJY387" s="1185"/>
      <c r="HJZ387" s="1185"/>
      <c r="HKA387" s="1185"/>
      <c r="HKB387" s="1185"/>
      <c r="HKC387" s="1185"/>
      <c r="HKD387" s="1185"/>
      <c r="HKE387" s="1185"/>
      <c r="HKF387" s="1185"/>
      <c r="HKG387" s="1185"/>
      <c r="HKH387" s="1185"/>
      <c r="HKI387" s="1185"/>
      <c r="HKJ387" s="1185"/>
      <c r="HKK387" s="1185"/>
      <c r="HKL387" s="1185"/>
      <c r="HKM387" s="1185"/>
      <c r="HKN387" s="1185"/>
      <c r="HKO387" s="1185"/>
      <c r="HKP387" s="1185"/>
      <c r="HKQ387" s="1185"/>
      <c r="HKR387" s="1185"/>
      <c r="HKS387" s="1185"/>
      <c r="HKT387" s="1185"/>
      <c r="HKU387" s="1185"/>
      <c r="HKV387" s="1185"/>
      <c r="HKW387" s="1185"/>
      <c r="HKX387" s="1185"/>
      <c r="HKY387" s="1185"/>
      <c r="HKZ387" s="1185"/>
      <c r="HLA387" s="1185"/>
      <c r="HLB387" s="1185"/>
      <c r="HLC387" s="1185"/>
      <c r="HLD387" s="1185"/>
      <c r="HLE387" s="1185"/>
      <c r="HLF387" s="1185"/>
      <c r="HLG387" s="1185"/>
      <c r="HLH387" s="1185"/>
      <c r="HLI387" s="1185"/>
      <c r="HLJ387" s="1185"/>
      <c r="HLK387" s="1185"/>
      <c r="HLL387" s="1185"/>
      <c r="HLM387" s="1185"/>
      <c r="HLN387" s="1185"/>
      <c r="HLO387" s="1185"/>
      <c r="HLP387" s="1185"/>
      <c r="HLQ387" s="1185"/>
      <c r="HLR387" s="1185"/>
      <c r="HLS387" s="1185"/>
      <c r="HLT387" s="1185"/>
      <c r="HLU387" s="1185"/>
      <c r="HLV387" s="1185"/>
      <c r="HLW387" s="1185"/>
      <c r="HLX387" s="1185"/>
      <c r="HLY387" s="1185"/>
      <c r="HLZ387" s="1185"/>
      <c r="HMA387" s="1185"/>
      <c r="HMB387" s="1185"/>
      <c r="HMC387" s="1185"/>
      <c r="HMD387" s="1185"/>
      <c r="HME387" s="1185"/>
      <c r="HMF387" s="1185"/>
      <c r="HMG387" s="1185"/>
      <c r="HMH387" s="1185"/>
      <c r="HMI387" s="1185"/>
      <c r="HMJ387" s="1185"/>
      <c r="HMK387" s="1185"/>
      <c r="HML387" s="1185"/>
      <c r="HMM387" s="1185"/>
      <c r="HMN387" s="1185"/>
      <c r="HMO387" s="1185"/>
      <c r="HMP387" s="1185"/>
      <c r="HMQ387" s="1185"/>
      <c r="HMR387" s="1185"/>
      <c r="HMS387" s="1185"/>
      <c r="HMT387" s="1185"/>
      <c r="HMU387" s="1185"/>
      <c r="HMV387" s="1185"/>
      <c r="HMW387" s="1185"/>
      <c r="HMX387" s="1185"/>
      <c r="HMY387" s="1185"/>
      <c r="HMZ387" s="1185"/>
      <c r="HNA387" s="1185"/>
      <c r="HNB387" s="1185"/>
      <c r="HNC387" s="1185"/>
      <c r="HND387" s="1185"/>
      <c r="HNE387" s="1185"/>
      <c r="HNF387" s="1185"/>
      <c r="HNG387" s="1185"/>
      <c r="HNH387" s="1185"/>
      <c r="HNI387" s="1185"/>
      <c r="HNJ387" s="1185"/>
      <c r="HNK387" s="1185"/>
      <c r="HNL387" s="1185"/>
      <c r="HNM387" s="1185"/>
      <c r="HNN387" s="1185"/>
      <c r="HNO387" s="1185"/>
      <c r="HNP387" s="1185"/>
      <c r="HNQ387" s="1185"/>
      <c r="HNR387" s="1185"/>
      <c r="HNS387" s="1185"/>
      <c r="HNT387" s="1185"/>
      <c r="HNU387" s="1185"/>
      <c r="HNV387" s="1185"/>
      <c r="HNW387" s="1185"/>
      <c r="HNX387" s="1185"/>
      <c r="HNY387" s="1185"/>
      <c r="HNZ387" s="1185"/>
      <c r="HOA387" s="1185"/>
      <c r="HOB387" s="1185"/>
      <c r="HOC387" s="1185"/>
      <c r="HOD387" s="1185"/>
      <c r="HOE387" s="1185"/>
      <c r="HOF387" s="1185"/>
      <c r="HOG387" s="1185"/>
      <c r="HOH387" s="1185"/>
      <c r="HOI387" s="1185"/>
      <c r="HOJ387" s="1185"/>
      <c r="HOK387" s="1185"/>
      <c r="HOL387" s="1185"/>
      <c r="HOM387" s="1185"/>
      <c r="HON387" s="1185"/>
      <c r="HOO387" s="1185"/>
      <c r="HOP387" s="1185"/>
      <c r="HOQ387" s="1185"/>
      <c r="HOR387" s="1185"/>
      <c r="HOS387" s="1185"/>
      <c r="HOT387" s="1185"/>
      <c r="HOU387" s="1185"/>
      <c r="HOV387" s="1185"/>
      <c r="HOW387" s="1185"/>
      <c r="HOX387" s="1185"/>
      <c r="HOY387" s="1185"/>
      <c r="HOZ387" s="1185"/>
      <c r="HPA387" s="1185"/>
      <c r="HPB387" s="1185"/>
      <c r="HPC387" s="1185"/>
      <c r="HPD387" s="1185"/>
      <c r="HPE387" s="1185"/>
      <c r="HPF387" s="1185"/>
      <c r="HPG387" s="1185"/>
      <c r="HPH387" s="1185"/>
      <c r="HPI387" s="1185"/>
      <c r="HPJ387" s="1185"/>
      <c r="HPK387" s="1185"/>
      <c r="HPL387" s="1185"/>
      <c r="HPM387" s="1185"/>
      <c r="HPN387" s="1185"/>
      <c r="HPO387" s="1185"/>
      <c r="HPP387" s="1185"/>
      <c r="HPQ387" s="1185"/>
      <c r="HPR387" s="1185"/>
      <c r="HPS387" s="1185"/>
      <c r="HPT387" s="1185"/>
      <c r="HPU387" s="1185"/>
      <c r="HPV387" s="1185"/>
      <c r="HPW387" s="1185"/>
      <c r="HPX387" s="1185"/>
      <c r="HPY387" s="1185"/>
      <c r="HPZ387" s="1185"/>
      <c r="HQA387" s="1185"/>
      <c r="HQB387" s="1185"/>
      <c r="HQC387" s="1185"/>
      <c r="HQD387" s="1185"/>
      <c r="HQE387" s="1185"/>
      <c r="HQF387" s="1185"/>
      <c r="HQG387" s="1185"/>
      <c r="HQH387" s="1185"/>
      <c r="HQI387" s="1185"/>
      <c r="HQJ387" s="1185"/>
      <c r="HQK387" s="1185"/>
      <c r="HQL387" s="1185"/>
      <c r="HQM387" s="1185"/>
      <c r="HQN387" s="1185"/>
      <c r="HQO387" s="1185"/>
      <c r="HQP387" s="1185"/>
      <c r="HQQ387" s="1185"/>
      <c r="HQR387" s="1185"/>
      <c r="HQS387" s="1185"/>
      <c r="HQT387" s="1185"/>
      <c r="HQU387" s="1185"/>
      <c r="HQV387" s="1185"/>
      <c r="HQW387" s="1185"/>
      <c r="HQX387" s="1185"/>
      <c r="HQY387" s="1185"/>
      <c r="HQZ387" s="1185"/>
      <c r="HRA387" s="1185"/>
      <c r="HRB387" s="1185"/>
      <c r="HRC387" s="1185"/>
      <c r="HRD387" s="1185"/>
      <c r="HRE387" s="1185"/>
      <c r="HRF387" s="1185"/>
      <c r="HRG387" s="1185"/>
      <c r="HRH387" s="1185"/>
      <c r="HRI387" s="1185"/>
      <c r="HRJ387" s="1185"/>
      <c r="HRK387" s="1185"/>
      <c r="HRL387" s="1185"/>
      <c r="HRM387" s="1185"/>
      <c r="HRN387" s="1185"/>
      <c r="HRO387" s="1185"/>
      <c r="HRP387" s="1185"/>
      <c r="HRQ387" s="1185"/>
      <c r="HRR387" s="1185"/>
      <c r="HRS387" s="1185"/>
      <c r="HRT387" s="1185"/>
      <c r="HRU387" s="1185"/>
      <c r="HRV387" s="1185"/>
      <c r="HRW387" s="1185"/>
      <c r="HRX387" s="1185"/>
      <c r="HRY387" s="1185"/>
      <c r="HRZ387" s="1185"/>
      <c r="HSA387" s="1185"/>
      <c r="HSB387" s="1185"/>
      <c r="HSC387" s="1185"/>
      <c r="HSD387" s="1185"/>
      <c r="HSE387" s="1185"/>
      <c r="HSF387" s="1185"/>
      <c r="HSG387" s="1185"/>
      <c r="HSH387" s="1185"/>
      <c r="HSI387" s="1185"/>
      <c r="HSJ387" s="1185"/>
      <c r="HSK387" s="1185"/>
      <c r="HSL387" s="1185"/>
      <c r="HSM387" s="1185"/>
      <c r="HSN387" s="1185"/>
      <c r="HSO387" s="1185"/>
      <c r="HSP387" s="1185"/>
      <c r="HSQ387" s="1185"/>
      <c r="HSR387" s="1185"/>
      <c r="HSS387" s="1185"/>
      <c r="HST387" s="1185"/>
      <c r="HSU387" s="1185"/>
      <c r="HSV387" s="1185"/>
      <c r="HSW387" s="1185"/>
      <c r="HSX387" s="1185"/>
      <c r="HSY387" s="1185"/>
      <c r="HSZ387" s="1185"/>
      <c r="HTA387" s="1185"/>
      <c r="HTB387" s="1185"/>
      <c r="HTC387" s="1185"/>
      <c r="HTD387" s="1185"/>
      <c r="HTE387" s="1185"/>
      <c r="HTF387" s="1185"/>
      <c r="HTG387" s="1185"/>
      <c r="HTH387" s="1185"/>
      <c r="HTI387" s="1185"/>
      <c r="HTJ387" s="1185"/>
      <c r="HTK387" s="1185"/>
      <c r="HTL387" s="1185"/>
      <c r="HTM387" s="1185"/>
      <c r="HTN387" s="1185"/>
      <c r="HTO387" s="1185"/>
      <c r="HTP387" s="1185"/>
      <c r="HTQ387" s="1185"/>
      <c r="HTR387" s="1185"/>
      <c r="HTS387" s="1185"/>
      <c r="HTT387" s="1185"/>
      <c r="HTU387" s="1185"/>
      <c r="HTV387" s="1185"/>
      <c r="HTW387" s="1185"/>
      <c r="HTX387" s="1185"/>
      <c r="HTY387" s="1185"/>
      <c r="HTZ387" s="1185"/>
      <c r="HUA387" s="1185"/>
      <c r="HUB387" s="1185"/>
      <c r="HUC387" s="1185"/>
      <c r="HUD387" s="1185"/>
      <c r="HUE387" s="1185"/>
      <c r="HUF387" s="1185"/>
      <c r="HUG387" s="1185"/>
      <c r="HUH387" s="1185"/>
      <c r="HUI387" s="1185"/>
      <c r="HUJ387" s="1185"/>
      <c r="HUK387" s="1185"/>
      <c r="HUL387" s="1185"/>
      <c r="HUM387" s="1185"/>
      <c r="HUN387" s="1185"/>
      <c r="HUO387" s="1185"/>
      <c r="HUP387" s="1185"/>
      <c r="HUQ387" s="1185"/>
      <c r="HUR387" s="1185"/>
      <c r="HUS387" s="1185"/>
      <c r="HUT387" s="1185"/>
      <c r="HUU387" s="1185"/>
      <c r="HUV387" s="1185"/>
      <c r="HUW387" s="1185"/>
      <c r="HUX387" s="1185"/>
      <c r="HUY387" s="1185"/>
      <c r="HUZ387" s="1185"/>
      <c r="HVA387" s="1185"/>
      <c r="HVB387" s="1185"/>
      <c r="HVC387" s="1185"/>
      <c r="HVD387" s="1185"/>
      <c r="HVE387" s="1185"/>
      <c r="HVF387" s="1185"/>
      <c r="HVG387" s="1185"/>
      <c r="HVH387" s="1185"/>
      <c r="HVI387" s="1185"/>
      <c r="HVJ387" s="1185"/>
      <c r="HVK387" s="1185"/>
      <c r="HVL387" s="1185"/>
      <c r="HVM387" s="1185"/>
      <c r="HVN387" s="1185"/>
      <c r="HVO387" s="1185"/>
      <c r="HVP387" s="1185"/>
      <c r="HVQ387" s="1185"/>
      <c r="HVR387" s="1185"/>
      <c r="HVS387" s="1185"/>
      <c r="HVT387" s="1185"/>
      <c r="HVU387" s="1185"/>
      <c r="HVV387" s="1185"/>
      <c r="HVW387" s="1185"/>
      <c r="HVX387" s="1185"/>
      <c r="HVY387" s="1185"/>
      <c r="HVZ387" s="1185"/>
      <c r="HWA387" s="1185"/>
      <c r="HWB387" s="1185"/>
      <c r="HWC387" s="1185"/>
      <c r="HWD387" s="1185"/>
      <c r="HWE387" s="1185"/>
      <c r="HWF387" s="1185"/>
      <c r="HWG387" s="1185"/>
      <c r="HWH387" s="1185"/>
      <c r="HWI387" s="1185"/>
      <c r="HWJ387" s="1185"/>
      <c r="HWK387" s="1185"/>
      <c r="HWL387" s="1185"/>
      <c r="HWM387" s="1185"/>
      <c r="HWN387" s="1185"/>
      <c r="HWO387" s="1185"/>
      <c r="HWP387" s="1185"/>
      <c r="HWQ387" s="1185"/>
      <c r="HWR387" s="1185"/>
      <c r="HWS387" s="1185"/>
      <c r="HWT387" s="1185"/>
      <c r="HWU387" s="1185"/>
      <c r="HWV387" s="1185"/>
      <c r="HWW387" s="1185"/>
      <c r="HWX387" s="1185"/>
      <c r="HWY387" s="1185"/>
      <c r="HWZ387" s="1185"/>
      <c r="HXA387" s="1185"/>
      <c r="HXB387" s="1185"/>
      <c r="HXC387" s="1185"/>
      <c r="HXD387" s="1185"/>
      <c r="HXE387" s="1185"/>
      <c r="HXF387" s="1185"/>
      <c r="HXG387" s="1185"/>
      <c r="HXH387" s="1185"/>
      <c r="HXI387" s="1185"/>
      <c r="HXJ387" s="1185"/>
      <c r="HXK387" s="1185"/>
      <c r="HXL387" s="1185"/>
      <c r="HXM387" s="1185"/>
      <c r="HXN387" s="1185"/>
      <c r="HXO387" s="1185"/>
      <c r="HXP387" s="1185"/>
      <c r="HXQ387" s="1185"/>
      <c r="HXR387" s="1185"/>
      <c r="HXS387" s="1185"/>
      <c r="HXT387" s="1185"/>
      <c r="HXU387" s="1185"/>
      <c r="HXV387" s="1185"/>
      <c r="HXW387" s="1185"/>
      <c r="HXX387" s="1185"/>
      <c r="HXY387" s="1185"/>
      <c r="HXZ387" s="1185"/>
      <c r="HYA387" s="1185"/>
      <c r="HYB387" s="1185"/>
      <c r="HYC387" s="1185"/>
      <c r="HYD387" s="1185"/>
      <c r="HYE387" s="1185"/>
      <c r="HYF387" s="1185"/>
      <c r="HYG387" s="1185"/>
      <c r="HYH387" s="1185"/>
      <c r="HYI387" s="1185"/>
      <c r="HYJ387" s="1185"/>
      <c r="HYK387" s="1185"/>
      <c r="HYL387" s="1185"/>
      <c r="HYM387" s="1185"/>
      <c r="HYN387" s="1185"/>
      <c r="HYO387" s="1185"/>
      <c r="HYP387" s="1185"/>
      <c r="HYQ387" s="1185"/>
      <c r="HYR387" s="1185"/>
      <c r="HYS387" s="1185"/>
      <c r="HYT387" s="1185"/>
      <c r="HYU387" s="1185"/>
      <c r="HYV387" s="1185"/>
      <c r="HYW387" s="1185"/>
      <c r="HYX387" s="1185"/>
      <c r="HYY387" s="1185"/>
      <c r="HYZ387" s="1185"/>
      <c r="HZA387" s="1185"/>
      <c r="HZB387" s="1185"/>
      <c r="HZC387" s="1185"/>
      <c r="HZD387" s="1185"/>
      <c r="HZE387" s="1185"/>
      <c r="HZF387" s="1185"/>
      <c r="HZG387" s="1185"/>
      <c r="HZH387" s="1185"/>
      <c r="HZI387" s="1185"/>
      <c r="HZJ387" s="1185"/>
      <c r="HZK387" s="1185"/>
      <c r="HZL387" s="1185"/>
      <c r="HZM387" s="1185"/>
      <c r="HZN387" s="1185"/>
      <c r="HZO387" s="1185"/>
      <c r="HZP387" s="1185"/>
      <c r="HZQ387" s="1185"/>
      <c r="HZR387" s="1185"/>
      <c r="HZS387" s="1185"/>
      <c r="HZT387" s="1185"/>
      <c r="HZU387" s="1185"/>
      <c r="HZV387" s="1185"/>
      <c r="HZW387" s="1185"/>
      <c r="HZX387" s="1185"/>
      <c r="HZY387" s="1185"/>
      <c r="HZZ387" s="1185"/>
      <c r="IAA387" s="1185"/>
      <c r="IAB387" s="1185"/>
      <c r="IAC387" s="1185"/>
      <c r="IAD387" s="1185"/>
      <c r="IAE387" s="1185"/>
      <c r="IAF387" s="1185"/>
      <c r="IAG387" s="1185"/>
      <c r="IAH387" s="1185"/>
      <c r="IAI387" s="1185"/>
      <c r="IAJ387" s="1185"/>
      <c r="IAK387" s="1185"/>
      <c r="IAL387" s="1185"/>
      <c r="IAM387" s="1185"/>
      <c r="IAN387" s="1185"/>
      <c r="IAO387" s="1185"/>
      <c r="IAP387" s="1185"/>
      <c r="IAQ387" s="1185"/>
      <c r="IAR387" s="1185"/>
      <c r="IAS387" s="1185"/>
      <c r="IAT387" s="1185"/>
      <c r="IAU387" s="1185"/>
      <c r="IAV387" s="1185"/>
      <c r="IAW387" s="1185"/>
      <c r="IAX387" s="1185"/>
      <c r="IAY387" s="1185"/>
      <c r="IAZ387" s="1185"/>
      <c r="IBA387" s="1185"/>
      <c r="IBB387" s="1185"/>
      <c r="IBC387" s="1185"/>
      <c r="IBD387" s="1185"/>
      <c r="IBE387" s="1185"/>
      <c r="IBF387" s="1185"/>
      <c r="IBG387" s="1185"/>
      <c r="IBH387" s="1185"/>
      <c r="IBI387" s="1185"/>
      <c r="IBJ387" s="1185"/>
      <c r="IBK387" s="1185"/>
      <c r="IBL387" s="1185"/>
      <c r="IBM387" s="1185"/>
      <c r="IBN387" s="1185"/>
      <c r="IBO387" s="1185"/>
      <c r="IBP387" s="1185"/>
      <c r="IBQ387" s="1185"/>
      <c r="IBR387" s="1185"/>
      <c r="IBS387" s="1185"/>
      <c r="IBT387" s="1185"/>
      <c r="IBU387" s="1185"/>
      <c r="IBV387" s="1185"/>
      <c r="IBW387" s="1185"/>
      <c r="IBX387" s="1185"/>
      <c r="IBY387" s="1185"/>
      <c r="IBZ387" s="1185"/>
      <c r="ICA387" s="1185"/>
      <c r="ICB387" s="1185"/>
      <c r="ICC387" s="1185"/>
      <c r="ICD387" s="1185"/>
      <c r="ICE387" s="1185"/>
      <c r="ICF387" s="1185"/>
      <c r="ICG387" s="1185"/>
      <c r="ICH387" s="1185"/>
      <c r="ICI387" s="1185"/>
      <c r="ICJ387" s="1185"/>
      <c r="ICK387" s="1185"/>
      <c r="ICL387" s="1185"/>
      <c r="ICM387" s="1185"/>
      <c r="ICN387" s="1185"/>
      <c r="ICO387" s="1185"/>
      <c r="ICP387" s="1185"/>
      <c r="ICQ387" s="1185"/>
      <c r="ICR387" s="1185"/>
      <c r="ICS387" s="1185"/>
      <c r="ICT387" s="1185"/>
      <c r="ICU387" s="1185"/>
      <c r="ICV387" s="1185"/>
      <c r="ICW387" s="1185"/>
      <c r="ICX387" s="1185"/>
      <c r="ICY387" s="1185"/>
      <c r="ICZ387" s="1185"/>
      <c r="IDA387" s="1185"/>
      <c r="IDB387" s="1185"/>
      <c r="IDC387" s="1185"/>
      <c r="IDD387" s="1185"/>
      <c r="IDE387" s="1185"/>
      <c r="IDF387" s="1185"/>
      <c r="IDG387" s="1185"/>
      <c r="IDH387" s="1185"/>
      <c r="IDI387" s="1185"/>
      <c r="IDJ387" s="1185"/>
      <c r="IDK387" s="1185"/>
      <c r="IDL387" s="1185"/>
      <c r="IDM387" s="1185"/>
      <c r="IDN387" s="1185"/>
      <c r="IDO387" s="1185"/>
      <c r="IDP387" s="1185"/>
      <c r="IDQ387" s="1185"/>
      <c r="IDR387" s="1185"/>
      <c r="IDS387" s="1185"/>
      <c r="IDT387" s="1185"/>
      <c r="IDU387" s="1185"/>
      <c r="IDV387" s="1185"/>
      <c r="IDW387" s="1185"/>
      <c r="IDX387" s="1185"/>
      <c r="IDY387" s="1185"/>
      <c r="IDZ387" s="1185"/>
      <c r="IEA387" s="1185"/>
      <c r="IEB387" s="1185"/>
      <c r="IEC387" s="1185"/>
      <c r="IED387" s="1185"/>
      <c r="IEE387" s="1185"/>
      <c r="IEF387" s="1185"/>
      <c r="IEG387" s="1185"/>
      <c r="IEH387" s="1185"/>
      <c r="IEI387" s="1185"/>
      <c r="IEJ387" s="1185"/>
      <c r="IEK387" s="1185"/>
      <c r="IEL387" s="1185"/>
      <c r="IEM387" s="1185"/>
      <c r="IEN387" s="1185"/>
      <c r="IEO387" s="1185"/>
      <c r="IEP387" s="1185"/>
      <c r="IEQ387" s="1185"/>
      <c r="IER387" s="1185"/>
      <c r="IES387" s="1185"/>
      <c r="IET387" s="1185"/>
      <c r="IEU387" s="1185"/>
      <c r="IEV387" s="1185"/>
      <c r="IEW387" s="1185"/>
      <c r="IEX387" s="1185"/>
      <c r="IEY387" s="1185"/>
      <c r="IEZ387" s="1185"/>
      <c r="IFA387" s="1185"/>
      <c r="IFB387" s="1185"/>
      <c r="IFC387" s="1185"/>
      <c r="IFD387" s="1185"/>
      <c r="IFE387" s="1185"/>
      <c r="IFF387" s="1185"/>
      <c r="IFG387" s="1185"/>
      <c r="IFH387" s="1185"/>
      <c r="IFI387" s="1185"/>
      <c r="IFJ387" s="1185"/>
      <c r="IFK387" s="1185"/>
      <c r="IFL387" s="1185"/>
      <c r="IFM387" s="1185"/>
      <c r="IFN387" s="1185"/>
      <c r="IFO387" s="1185"/>
      <c r="IFP387" s="1185"/>
      <c r="IFQ387" s="1185"/>
      <c r="IFR387" s="1185"/>
      <c r="IFS387" s="1185"/>
      <c r="IFT387" s="1185"/>
      <c r="IFU387" s="1185"/>
      <c r="IFV387" s="1185"/>
      <c r="IFW387" s="1185"/>
      <c r="IFX387" s="1185"/>
      <c r="IFY387" s="1185"/>
      <c r="IFZ387" s="1185"/>
      <c r="IGA387" s="1185"/>
      <c r="IGB387" s="1185"/>
      <c r="IGC387" s="1185"/>
      <c r="IGD387" s="1185"/>
      <c r="IGE387" s="1185"/>
      <c r="IGF387" s="1185"/>
      <c r="IGG387" s="1185"/>
      <c r="IGH387" s="1185"/>
      <c r="IGI387" s="1185"/>
      <c r="IGJ387" s="1185"/>
      <c r="IGK387" s="1185"/>
      <c r="IGL387" s="1185"/>
      <c r="IGM387" s="1185"/>
      <c r="IGN387" s="1185"/>
      <c r="IGO387" s="1185"/>
      <c r="IGP387" s="1185"/>
      <c r="IGQ387" s="1185"/>
      <c r="IGR387" s="1185"/>
      <c r="IGS387" s="1185"/>
      <c r="IGT387" s="1185"/>
      <c r="IGU387" s="1185"/>
      <c r="IGV387" s="1185"/>
      <c r="IGW387" s="1185"/>
      <c r="IGX387" s="1185"/>
      <c r="IGY387" s="1185"/>
      <c r="IGZ387" s="1185"/>
      <c r="IHA387" s="1185"/>
      <c r="IHB387" s="1185"/>
      <c r="IHC387" s="1185"/>
      <c r="IHD387" s="1185"/>
      <c r="IHE387" s="1185"/>
      <c r="IHF387" s="1185"/>
      <c r="IHG387" s="1185"/>
      <c r="IHH387" s="1185"/>
      <c r="IHI387" s="1185"/>
      <c r="IHJ387" s="1185"/>
      <c r="IHK387" s="1185"/>
      <c r="IHL387" s="1185"/>
      <c r="IHM387" s="1185"/>
      <c r="IHN387" s="1185"/>
      <c r="IHO387" s="1185"/>
      <c r="IHP387" s="1185"/>
      <c r="IHQ387" s="1185"/>
      <c r="IHR387" s="1185"/>
      <c r="IHS387" s="1185"/>
      <c r="IHT387" s="1185"/>
      <c r="IHU387" s="1185"/>
      <c r="IHV387" s="1185"/>
      <c r="IHW387" s="1185"/>
      <c r="IHX387" s="1185"/>
      <c r="IHY387" s="1185"/>
      <c r="IHZ387" s="1185"/>
      <c r="IIA387" s="1185"/>
      <c r="IIB387" s="1185"/>
      <c r="IIC387" s="1185"/>
      <c r="IID387" s="1185"/>
      <c r="IIE387" s="1185"/>
      <c r="IIF387" s="1185"/>
      <c r="IIG387" s="1185"/>
      <c r="IIH387" s="1185"/>
      <c r="III387" s="1185"/>
      <c r="IIJ387" s="1185"/>
      <c r="IIK387" s="1185"/>
      <c r="IIL387" s="1185"/>
      <c r="IIM387" s="1185"/>
      <c r="IIN387" s="1185"/>
      <c r="IIO387" s="1185"/>
      <c r="IIP387" s="1185"/>
      <c r="IIQ387" s="1185"/>
      <c r="IIR387" s="1185"/>
      <c r="IIS387" s="1185"/>
      <c r="IIT387" s="1185"/>
      <c r="IIU387" s="1185"/>
      <c r="IIV387" s="1185"/>
      <c r="IIW387" s="1185"/>
      <c r="IIX387" s="1185"/>
      <c r="IIY387" s="1185"/>
      <c r="IIZ387" s="1185"/>
      <c r="IJA387" s="1185"/>
      <c r="IJB387" s="1185"/>
      <c r="IJC387" s="1185"/>
      <c r="IJD387" s="1185"/>
      <c r="IJE387" s="1185"/>
      <c r="IJF387" s="1185"/>
      <c r="IJG387" s="1185"/>
      <c r="IJH387" s="1185"/>
      <c r="IJI387" s="1185"/>
      <c r="IJJ387" s="1185"/>
      <c r="IJK387" s="1185"/>
      <c r="IJL387" s="1185"/>
      <c r="IJM387" s="1185"/>
      <c r="IJN387" s="1185"/>
      <c r="IJO387" s="1185"/>
      <c r="IJP387" s="1185"/>
      <c r="IJQ387" s="1185"/>
      <c r="IJR387" s="1185"/>
      <c r="IJS387" s="1185"/>
      <c r="IJT387" s="1185"/>
      <c r="IJU387" s="1185"/>
      <c r="IJV387" s="1185"/>
      <c r="IJW387" s="1185"/>
      <c r="IJX387" s="1185"/>
      <c r="IJY387" s="1185"/>
      <c r="IJZ387" s="1185"/>
      <c r="IKA387" s="1185"/>
      <c r="IKB387" s="1185"/>
      <c r="IKC387" s="1185"/>
      <c r="IKD387" s="1185"/>
      <c r="IKE387" s="1185"/>
      <c r="IKF387" s="1185"/>
      <c r="IKG387" s="1185"/>
      <c r="IKH387" s="1185"/>
      <c r="IKI387" s="1185"/>
      <c r="IKJ387" s="1185"/>
      <c r="IKK387" s="1185"/>
      <c r="IKL387" s="1185"/>
      <c r="IKM387" s="1185"/>
      <c r="IKN387" s="1185"/>
      <c r="IKO387" s="1185"/>
      <c r="IKP387" s="1185"/>
      <c r="IKQ387" s="1185"/>
      <c r="IKR387" s="1185"/>
      <c r="IKS387" s="1185"/>
      <c r="IKT387" s="1185"/>
      <c r="IKU387" s="1185"/>
      <c r="IKV387" s="1185"/>
      <c r="IKW387" s="1185"/>
      <c r="IKX387" s="1185"/>
      <c r="IKY387" s="1185"/>
      <c r="IKZ387" s="1185"/>
      <c r="ILA387" s="1185"/>
      <c r="ILB387" s="1185"/>
      <c r="ILC387" s="1185"/>
      <c r="ILD387" s="1185"/>
      <c r="ILE387" s="1185"/>
      <c r="ILF387" s="1185"/>
      <c r="ILG387" s="1185"/>
      <c r="ILH387" s="1185"/>
      <c r="ILI387" s="1185"/>
      <c r="ILJ387" s="1185"/>
      <c r="ILK387" s="1185"/>
      <c r="ILL387" s="1185"/>
      <c r="ILM387" s="1185"/>
      <c r="ILN387" s="1185"/>
      <c r="ILO387" s="1185"/>
      <c r="ILP387" s="1185"/>
      <c r="ILQ387" s="1185"/>
      <c r="ILR387" s="1185"/>
      <c r="ILS387" s="1185"/>
      <c r="ILT387" s="1185"/>
      <c r="ILU387" s="1185"/>
      <c r="ILV387" s="1185"/>
      <c r="ILW387" s="1185"/>
      <c r="ILX387" s="1185"/>
      <c r="ILY387" s="1185"/>
      <c r="ILZ387" s="1185"/>
      <c r="IMA387" s="1185"/>
      <c r="IMB387" s="1185"/>
      <c r="IMC387" s="1185"/>
      <c r="IMD387" s="1185"/>
      <c r="IME387" s="1185"/>
      <c r="IMF387" s="1185"/>
      <c r="IMG387" s="1185"/>
      <c r="IMH387" s="1185"/>
      <c r="IMI387" s="1185"/>
      <c r="IMJ387" s="1185"/>
      <c r="IMK387" s="1185"/>
      <c r="IML387" s="1185"/>
      <c r="IMM387" s="1185"/>
      <c r="IMN387" s="1185"/>
      <c r="IMO387" s="1185"/>
      <c r="IMP387" s="1185"/>
      <c r="IMQ387" s="1185"/>
      <c r="IMR387" s="1185"/>
      <c r="IMS387" s="1185"/>
      <c r="IMT387" s="1185"/>
      <c r="IMU387" s="1185"/>
      <c r="IMV387" s="1185"/>
      <c r="IMW387" s="1185"/>
      <c r="IMX387" s="1185"/>
      <c r="IMY387" s="1185"/>
      <c r="IMZ387" s="1185"/>
      <c r="INA387" s="1185"/>
      <c r="INB387" s="1185"/>
      <c r="INC387" s="1185"/>
      <c r="IND387" s="1185"/>
      <c r="INE387" s="1185"/>
      <c r="INF387" s="1185"/>
      <c r="ING387" s="1185"/>
      <c r="INH387" s="1185"/>
      <c r="INI387" s="1185"/>
      <c r="INJ387" s="1185"/>
      <c r="INK387" s="1185"/>
      <c r="INL387" s="1185"/>
      <c r="INM387" s="1185"/>
      <c r="INN387" s="1185"/>
      <c r="INO387" s="1185"/>
      <c r="INP387" s="1185"/>
      <c r="INQ387" s="1185"/>
      <c r="INR387" s="1185"/>
      <c r="INS387" s="1185"/>
      <c r="INT387" s="1185"/>
      <c r="INU387" s="1185"/>
      <c r="INV387" s="1185"/>
      <c r="INW387" s="1185"/>
      <c r="INX387" s="1185"/>
      <c r="INY387" s="1185"/>
      <c r="INZ387" s="1185"/>
      <c r="IOA387" s="1185"/>
      <c r="IOB387" s="1185"/>
      <c r="IOC387" s="1185"/>
      <c r="IOD387" s="1185"/>
      <c r="IOE387" s="1185"/>
      <c r="IOF387" s="1185"/>
      <c r="IOG387" s="1185"/>
      <c r="IOH387" s="1185"/>
      <c r="IOI387" s="1185"/>
      <c r="IOJ387" s="1185"/>
      <c r="IOK387" s="1185"/>
      <c r="IOL387" s="1185"/>
      <c r="IOM387" s="1185"/>
      <c r="ION387" s="1185"/>
      <c r="IOO387" s="1185"/>
      <c r="IOP387" s="1185"/>
      <c r="IOQ387" s="1185"/>
      <c r="IOR387" s="1185"/>
      <c r="IOS387" s="1185"/>
      <c r="IOT387" s="1185"/>
      <c r="IOU387" s="1185"/>
      <c r="IOV387" s="1185"/>
      <c r="IOW387" s="1185"/>
      <c r="IOX387" s="1185"/>
      <c r="IOY387" s="1185"/>
      <c r="IOZ387" s="1185"/>
      <c r="IPA387" s="1185"/>
      <c r="IPB387" s="1185"/>
      <c r="IPC387" s="1185"/>
      <c r="IPD387" s="1185"/>
      <c r="IPE387" s="1185"/>
      <c r="IPF387" s="1185"/>
      <c r="IPG387" s="1185"/>
      <c r="IPH387" s="1185"/>
      <c r="IPI387" s="1185"/>
      <c r="IPJ387" s="1185"/>
      <c r="IPK387" s="1185"/>
      <c r="IPL387" s="1185"/>
      <c r="IPM387" s="1185"/>
      <c r="IPN387" s="1185"/>
      <c r="IPO387" s="1185"/>
      <c r="IPP387" s="1185"/>
      <c r="IPQ387" s="1185"/>
      <c r="IPR387" s="1185"/>
      <c r="IPS387" s="1185"/>
      <c r="IPT387" s="1185"/>
      <c r="IPU387" s="1185"/>
      <c r="IPV387" s="1185"/>
      <c r="IPW387" s="1185"/>
      <c r="IPX387" s="1185"/>
      <c r="IPY387" s="1185"/>
      <c r="IPZ387" s="1185"/>
      <c r="IQA387" s="1185"/>
      <c r="IQB387" s="1185"/>
      <c r="IQC387" s="1185"/>
      <c r="IQD387" s="1185"/>
      <c r="IQE387" s="1185"/>
      <c r="IQF387" s="1185"/>
      <c r="IQG387" s="1185"/>
      <c r="IQH387" s="1185"/>
      <c r="IQI387" s="1185"/>
      <c r="IQJ387" s="1185"/>
      <c r="IQK387" s="1185"/>
      <c r="IQL387" s="1185"/>
      <c r="IQM387" s="1185"/>
      <c r="IQN387" s="1185"/>
      <c r="IQO387" s="1185"/>
      <c r="IQP387" s="1185"/>
      <c r="IQQ387" s="1185"/>
      <c r="IQR387" s="1185"/>
      <c r="IQS387" s="1185"/>
      <c r="IQT387" s="1185"/>
      <c r="IQU387" s="1185"/>
      <c r="IQV387" s="1185"/>
      <c r="IQW387" s="1185"/>
      <c r="IQX387" s="1185"/>
      <c r="IQY387" s="1185"/>
      <c r="IQZ387" s="1185"/>
      <c r="IRA387" s="1185"/>
      <c r="IRB387" s="1185"/>
      <c r="IRC387" s="1185"/>
      <c r="IRD387" s="1185"/>
      <c r="IRE387" s="1185"/>
      <c r="IRF387" s="1185"/>
      <c r="IRG387" s="1185"/>
      <c r="IRH387" s="1185"/>
      <c r="IRI387" s="1185"/>
      <c r="IRJ387" s="1185"/>
      <c r="IRK387" s="1185"/>
      <c r="IRL387" s="1185"/>
      <c r="IRM387" s="1185"/>
      <c r="IRN387" s="1185"/>
      <c r="IRO387" s="1185"/>
      <c r="IRP387" s="1185"/>
      <c r="IRQ387" s="1185"/>
      <c r="IRR387" s="1185"/>
      <c r="IRS387" s="1185"/>
      <c r="IRT387" s="1185"/>
      <c r="IRU387" s="1185"/>
      <c r="IRV387" s="1185"/>
      <c r="IRW387" s="1185"/>
      <c r="IRX387" s="1185"/>
      <c r="IRY387" s="1185"/>
      <c r="IRZ387" s="1185"/>
      <c r="ISA387" s="1185"/>
      <c r="ISB387" s="1185"/>
      <c r="ISC387" s="1185"/>
      <c r="ISD387" s="1185"/>
      <c r="ISE387" s="1185"/>
      <c r="ISF387" s="1185"/>
      <c r="ISG387" s="1185"/>
      <c r="ISH387" s="1185"/>
      <c r="ISI387" s="1185"/>
      <c r="ISJ387" s="1185"/>
      <c r="ISK387" s="1185"/>
      <c r="ISL387" s="1185"/>
      <c r="ISM387" s="1185"/>
      <c r="ISN387" s="1185"/>
      <c r="ISO387" s="1185"/>
      <c r="ISP387" s="1185"/>
      <c r="ISQ387" s="1185"/>
      <c r="ISR387" s="1185"/>
      <c r="ISS387" s="1185"/>
      <c r="IST387" s="1185"/>
      <c r="ISU387" s="1185"/>
      <c r="ISV387" s="1185"/>
      <c r="ISW387" s="1185"/>
      <c r="ISX387" s="1185"/>
      <c r="ISY387" s="1185"/>
      <c r="ISZ387" s="1185"/>
      <c r="ITA387" s="1185"/>
      <c r="ITB387" s="1185"/>
      <c r="ITC387" s="1185"/>
      <c r="ITD387" s="1185"/>
      <c r="ITE387" s="1185"/>
      <c r="ITF387" s="1185"/>
      <c r="ITG387" s="1185"/>
      <c r="ITH387" s="1185"/>
      <c r="ITI387" s="1185"/>
      <c r="ITJ387" s="1185"/>
      <c r="ITK387" s="1185"/>
      <c r="ITL387" s="1185"/>
      <c r="ITM387" s="1185"/>
      <c r="ITN387" s="1185"/>
      <c r="ITO387" s="1185"/>
      <c r="ITP387" s="1185"/>
      <c r="ITQ387" s="1185"/>
      <c r="ITR387" s="1185"/>
      <c r="ITS387" s="1185"/>
      <c r="ITT387" s="1185"/>
      <c r="ITU387" s="1185"/>
      <c r="ITV387" s="1185"/>
      <c r="ITW387" s="1185"/>
      <c r="ITX387" s="1185"/>
      <c r="ITY387" s="1185"/>
      <c r="ITZ387" s="1185"/>
      <c r="IUA387" s="1185"/>
      <c r="IUB387" s="1185"/>
      <c r="IUC387" s="1185"/>
      <c r="IUD387" s="1185"/>
      <c r="IUE387" s="1185"/>
      <c r="IUF387" s="1185"/>
      <c r="IUG387" s="1185"/>
      <c r="IUH387" s="1185"/>
      <c r="IUI387" s="1185"/>
      <c r="IUJ387" s="1185"/>
      <c r="IUK387" s="1185"/>
      <c r="IUL387" s="1185"/>
      <c r="IUM387" s="1185"/>
      <c r="IUN387" s="1185"/>
      <c r="IUO387" s="1185"/>
      <c r="IUP387" s="1185"/>
      <c r="IUQ387" s="1185"/>
      <c r="IUR387" s="1185"/>
      <c r="IUS387" s="1185"/>
      <c r="IUT387" s="1185"/>
      <c r="IUU387" s="1185"/>
      <c r="IUV387" s="1185"/>
      <c r="IUW387" s="1185"/>
      <c r="IUX387" s="1185"/>
      <c r="IUY387" s="1185"/>
      <c r="IUZ387" s="1185"/>
      <c r="IVA387" s="1185"/>
      <c r="IVB387" s="1185"/>
      <c r="IVC387" s="1185"/>
      <c r="IVD387" s="1185"/>
      <c r="IVE387" s="1185"/>
      <c r="IVF387" s="1185"/>
      <c r="IVG387" s="1185"/>
      <c r="IVH387" s="1185"/>
      <c r="IVI387" s="1185"/>
      <c r="IVJ387" s="1185"/>
      <c r="IVK387" s="1185"/>
      <c r="IVL387" s="1185"/>
      <c r="IVM387" s="1185"/>
      <c r="IVN387" s="1185"/>
      <c r="IVO387" s="1185"/>
      <c r="IVP387" s="1185"/>
      <c r="IVQ387" s="1185"/>
      <c r="IVR387" s="1185"/>
      <c r="IVS387" s="1185"/>
      <c r="IVT387" s="1185"/>
      <c r="IVU387" s="1185"/>
      <c r="IVV387" s="1185"/>
      <c r="IVW387" s="1185"/>
      <c r="IVX387" s="1185"/>
      <c r="IVY387" s="1185"/>
      <c r="IVZ387" s="1185"/>
      <c r="IWA387" s="1185"/>
      <c r="IWB387" s="1185"/>
      <c r="IWC387" s="1185"/>
      <c r="IWD387" s="1185"/>
      <c r="IWE387" s="1185"/>
      <c r="IWF387" s="1185"/>
      <c r="IWG387" s="1185"/>
      <c r="IWH387" s="1185"/>
      <c r="IWI387" s="1185"/>
      <c r="IWJ387" s="1185"/>
      <c r="IWK387" s="1185"/>
      <c r="IWL387" s="1185"/>
      <c r="IWM387" s="1185"/>
      <c r="IWN387" s="1185"/>
      <c r="IWO387" s="1185"/>
      <c r="IWP387" s="1185"/>
      <c r="IWQ387" s="1185"/>
      <c r="IWR387" s="1185"/>
      <c r="IWS387" s="1185"/>
      <c r="IWT387" s="1185"/>
      <c r="IWU387" s="1185"/>
      <c r="IWV387" s="1185"/>
      <c r="IWW387" s="1185"/>
      <c r="IWX387" s="1185"/>
      <c r="IWY387" s="1185"/>
      <c r="IWZ387" s="1185"/>
      <c r="IXA387" s="1185"/>
      <c r="IXB387" s="1185"/>
      <c r="IXC387" s="1185"/>
      <c r="IXD387" s="1185"/>
      <c r="IXE387" s="1185"/>
      <c r="IXF387" s="1185"/>
      <c r="IXG387" s="1185"/>
      <c r="IXH387" s="1185"/>
      <c r="IXI387" s="1185"/>
      <c r="IXJ387" s="1185"/>
      <c r="IXK387" s="1185"/>
      <c r="IXL387" s="1185"/>
      <c r="IXM387" s="1185"/>
      <c r="IXN387" s="1185"/>
      <c r="IXO387" s="1185"/>
      <c r="IXP387" s="1185"/>
      <c r="IXQ387" s="1185"/>
      <c r="IXR387" s="1185"/>
      <c r="IXS387" s="1185"/>
      <c r="IXT387" s="1185"/>
      <c r="IXU387" s="1185"/>
      <c r="IXV387" s="1185"/>
      <c r="IXW387" s="1185"/>
      <c r="IXX387" s="1185"/>
      <c r="IXY387" s="1185"/>
      <c r="IXZ387" s="1185"/>
      <c r="IYA387" s="1185"/>
      <c r="IYB387" s="1185"/>
      <c r="IYC387" s="1185"/>
      <c r="IYD387" s="1185"/>
      <c r="IYE387" s="1185"/>
      <c r="IYF387" s="1185"/>
      <c r="IYG387" s="1185"/>
      <c r="IYH387" s="1185"/>
      <c r="IYI387" s="1185"/>
      <c r="IYJ387" s="1185"/>
      <c r="IYK387" s="1185"/>
      <c r="IYL387" s="1185"/>
      <c r="IYM387" s="1185"/>
      <c r="IYN387" s="1185"/>
      <c r="IYO387" s="1185"/>
      <c r="IYP387" s="1185"/>
      <c r="IYQ387" s="1185"/>
      <c r="IYR387" s="1185"/>
      <c r="IYS387" s="1185"/>
      <c r="IYT387" s="1185"/>
      <c r="IYU387" s="1185"/>
      <c r="IYV387" s="1185"/>
      <c r="IYW387" s="1185"/>
      <c r="IYX387" s="1185"/>
      <c r="IYY387" s="1185"/>
      <c r="IYZ387" s="1185"/>
      <c r="IZA387" s="1185"/>
      <c r="IZB387" s="1185"/>
      <c r="IZC387" s="1185"/>
      <c r="IZD387" s="1185"/>
      <c r="IZE387" s="1185"/>
      <c r="IZF387" s="1185"/>
      <c r="IZG387" s="1185"/>
      <c r="IZH387" s="1185"/>
      <c r="IZI387" s="1185"/>
      <c r="IZJ387" s="1185"/>
      <c r="IZK387" s="1185"/>
      <c r="IZL387" s="1185"/>
      <c r="IZM387" s="1185"/>
      <c r="IZN387" s="1185"/>
      <c r="IZO387" s="1185"/>
      <c r="IZP387" s="1185"/>
      <c r="IZQ387" s="1185"/>
      <c r="IZR387" s="1185"/>
      <c r="IZS387" s="1185"/>
      <c r="IZT387" s="1185"/>
      <c r="IZU387" s="1185"/>
      <c r="IZV387" s="1185"/>
      <c r="IZW387" s="1185"/>
      <c r="IZX387" s="1185"/>
      <c r="IZY387" s="1185"/>
      <c r="IZZ387" s="1185"/>
      <c r="JAA387" s="1185"/>
      <c r="JAB387" s="1185"/>
      <c r="JAC387" s="1185"/>
      <c r="JAD387" s="1185"/>
      <c r="JAE387" s="1185"/>
      <c r="JAF387" s="1185"/>
      <c r="JAG387" s="1185"/>
      <c r="JAH387" s="1185"/>
      <c r="JAI387" s="1185"/>
      <c r="JAJ387" s="1185"/>
      <c r="JAK387" s="1185"/>
      <c r="JAL387" s="1185"/>
      <c r="JAM387" s="1185"/>
      <c r="JAN387" s="1185"/>
      <c r="JAO387" s="1185"/>
      <c r="JAP387" s="1185"/>
      <c r="JAQ387" s="1185"/>
      <c r="JAR387" s="1185"/>
      <c r="JAS387" s="1185"/>
      <c r="JAT387" s="1185"/>
      <c r="JAU387" s="1185"/>
      <c r="JAV387" s="1185"/>
      <c r="JAW387" s="1185"/>
      <c r="JAX387" s="1185"/>
      <c r="JAY387" s="1185"/>
      <c r="JAZ387" s="1185"/>
      <c r="JBA387" s="1185"/>
      <c r="JBB387" s="1185"/>
      <c r="JBC387" s="1185"/>
      <c r="JBD387" s="1185"/>
      <c r="JBE387" s="1185"/>
      <c r="JBF387" s="1185"/>
      <c r="JBG387" s="1185"/>
      <c r="JBH387" s="1185"/>
      <c r="JBI387" s="1185"/>
      <c r="JBJ387" s="1185"/>
      <c r="JBK387" s="1185"/>
      <c r="JBL387" s="1185"/>
      <c r="JBM387" s="1185"/>
      <c r="JBN387" s="1185"/>
      <c r="JBO387" s="1185"/>
      <c r="JBP387" s="1185"/>
      <c r="JBQ387" s="1185"/>
      <c r="JBR387" s="1185"/>
      <c r="JBS387" s="1185"/>
      <c r="JBT387" s="1185"/>
      <c r="JBU387" s="1185"/>
      <c r="JBV387" s="1185"/>
      <c r="JBW387" s="1185"/>
      <c r="JBX387" s="1185"/>
      <c r="JBY387" s="1185"/>
      <c r="JBZ387" s="1185"/>
      <c r="JCA387" s="1185"/>
      <c r="JCB387" s="1185"/>
      <c r="JCC387" s="1185"/>
      <c r="JCD387" s="1185"/>
      <c r="JCE387" s="1185"/>
      <c r="JCF387" s="1185"/>
      <c r="JCG387" s="1185"/>
      <c r="JCH387" s="1185"/>
      <c r="JCI387" s="1185"/>
      <c r="JCJ387" s="1185"/>
      <c r="JCK387" s="1185"/>
      <c r="JCL387" s="1185"/>
      <c r="JCM387" s="1185"/>
      <c r="JCN387" s="1185"/>
      <c r="JCO387" s="1185"/>
      <c r="JCP387" s="1185"/>
      <c r="JCQ387" s="1185"/>
      <c r="JCR387" s="1185"/>
      <c r="JCS387" s="1185"/>
      <c r="JCT387" s="1185"/>
      <c r="JCU387" s="1185"/>
      <c r="JCV387" s="1185"/>
      <c r="JCW387" s="1185"/>
      <c r="JCX387" s="1185"/>
      <c r="JCY387" s="1185"/>
      <c r="JCZ387" s="1185"/>
      <c r="JDA387" s="1185"/>
      <c r="JDB387" s="1185"/>
      <c r="JDC387" s="1185"/>
      <c r="JDD387" s="1185"/>
      <c r="JDE387" s="1185"/>
      <c r="JDF387" s="1185"/>
      <c r="JDG387" s="1185"/>
      <c r="JDH387" s="1185"/>
      <c r="JDI387" s="1185"/>
      <c r="JDJ387" s="1185"/>
      <c r="JDK387" s="1185"/>
      <c r="JDL387" s="1185"/>
      <c r="JDM387" s="1185"/>
      <c r="JDN387" s="1185"/>
      <c r="JDO387" s="1185"/>
      <c r="JDP387" s="1185"/>
      <c r="JDQ387" s="1185"/>
      <c r="JDR387" s="1185"/>
      <c r="JDS387" s="1185"/>
      <c r="JDT387" s="1185"/>
      <c r="JDU387" s="1185"/>
      <c r="JDV387" s="1185"/>
      <c r="JDW387" s="1185"/>
      <c r="JDX387" s="1185"/>
      <c r="JDY387" s="1185"/>
      <c r="JDZ387" s="1185"/>
      <c r="JEA387" s="1185"/>
      <c r="JEB387" s="1185"/>
      <c r="JEC387" s="1185"/>
      <c r="JED387" s="1185"/>
      <c r="JEE387" s="1185"/>
      <c r="JEF387" s="1185"/>
      <c r="JEG387" s="1185"/>
      <c r="JEH387" s="1185"/>
      <c r="JEI387" s="1185"/>
      <c r="JEJ387" s="1185"/>
      <c r="JEK387" s="1185"/>
      <c r="JEL387" s="1185"/>
      <c r="JEM387" s="1185"/>
      <c r="JEN387" s="1185"/>
      <c r="JEO387" s="1185"/>
      <c r="JEP387" s="1185"/>
      <c r="JEQ387" s="1185"/>
      <c r="JER387" s="1185"/>
      <c r="JES387" s="1185"/>
      <c r="JET387" s="1185"/>
      <c r="JEU387" s="1185"/>
      <c r="JEV387" s="1185"/>
      <c r="JEW387" s="1185"/>
      <c r="JEX387" s="1185"/>
      <c r="JEY387" s="1185"/>
      <c r="JEZ387" s="1185"/>
      <c r="JFA387" s="1185"/>
      <c r="JFB387" s="1185"/>
      <c r="JFC387" s="1185"/>
      <c r="JFD387" s="1185"/>
      <c r="JFE387" s="1185"/>
      <c r="JFF387" s="1185"/>
      <c r="JFG387" s="1185"/>
      <c r="JFH387" s="1185"/>
      <c r="JFI387" s="1185"/>
      <c r="JFJ387" s="1185"/>
      <c r="JFK387" s="1185"/>
      <c r="JFL387" s="1185"/>
      <c r="JFM387" s="1185"/>
      <c r="JFN387" s="1185"/>
      <c r="JFO387" s="1185"/>
      <c r="JFP387" s="1185"/>
      <c r="JFQ387" s="1185"/>
      <c r="JFR387" s="1185"/>
      <c r="JFS387" s="1185"/>
      <c r="JFT387" s="1185"/>
      <c r="JFU387" s="1185"/>
      <c r="JFV387" s="1185"/>
      <c r="JFW387" s="1185"/>
      <c r="JFX387" s="1185"/>
      <c r="JFY387" s="1185"/>
      <c r="JFZ387" s="1185"/>
      <c r="JGA387" s="1185"/>
      <c r="JGB387" s="1185"/>
      <c r="JGC387" s="1185"/>
      <c r="JGD387" s="1185"/>
      <c r="JGE387" s="1185"/>
      <c r="JGF387" s="1185"/>
      <c r="JGG387" s="1185"/>
      <c r="JGH387" s="1185"/>
      <c r="JGI387" s="1185"/>
      <c r="JGJ387" s="1185"/>
      <c r="JGK387" s="1185"/>
      <c r="JGL387" s="1185"/>
      <c r="JGM387" s="1185"/>
      <c r="JGN387" s="1185"/>
      <c r="JGO387" s="1185"/>
      <c r="JGP387" s="1185"/>
      <c r="JGQ387" s="1185"/>
      <c r="JGR387" s="1185"/>
      <c r="JGS387" s="1185"/>
      <c r="JGT387" s="1185"/>
      <c r="JGU387" s="1185"/>
      <c r="JGV387" s="1185"/>
      <c r="JGW387" s="1185"/>
      <c r="JGX387" s="1185"/>
      <c r="JGY387" s="1185"/>
      <c r="JGZ387" s="1185"/>
      <c r="JHA387" s="1185"/>
      <c r="JHB387" s="1185"/>
      <c r="JHC387" s="1185"/>
      <c r="JHD387" s="1185"/>
      <c r="JHE387" s="1185"/>
      <c r="JHF387" s="1185"/>
      <c r="JHG387" s="1185"/>
      <c r="JHH387" s="1185"/>
      <c r="JHI387" s="1185"/>
      <c r="JHJ387" s="1185"/>
      <c r="JHK387" s="1185"/>
      <c r="JHL387" s="1185"/>
      <c r="JHM387" s="1185"/>
      <c r="JHN387" s="1185"/>
      <c r="JHO387" s="1185"/>
      <c r="JHP387" s="1185"/>
      <c r="JHQ387" s="1185"/>
      <c r="JHR387" s="1185"/>
      <c r="JHS387" s="1185"/>
      <c r="JHT387" s="1185"/>
      <c r="JHU387" s="1185"/>
      <c r="JHV387" s="1185"/>
      <c r="JHW387" s="1185"/>
      <c r="JHX387" s="1185"/>
      <c r="JHY387" s="1185"/>
      <c r="JHZ387" s="1185"/>
      <c r="JIA387" s="1185"/>
      <c r="JIB387" s="1185"/>
      <c r="JIC387" s="1185"/>
      <c r="JID387" s="1185"/>
      <c r="JIE387" s="1185"/>
      <c r="JIF387" s="1185"/>
      <c r="JIG387" s="1185"/>
      <c r="JIH387" s="1185"/>
      <c r="JII387" s="1185"/>
      <c r="JIJ387" s="1185"/>
      <c r="JIK387" s="1185"/>
      <c r="JIL387" s="1185"/>
      <c r="JIM387" s="1185"/>
      <c r="JIN387" s="1185"/>
      <c r="JIO387" s="1185"/>
      <c r="JIP387" s="1185"/>
      <c r="JIQ387" s="1185"/>
      <c r="JIR387" s="1185"/>
      <c r="JIS387" s="1185"/>
      <c r="JIT387" s="1185"/>
      <c r="JIU387" s="1185"/>
      <c r="JIV387" s="1185"/>
      <c r="JIW387" s="1185"/>
      <c r="JIX387" s="1185"/>
      <c r="JIY387" s="1185"/>
      <c r="JIZ387" s="1185"/>
      <c r="JJA387" s="1185"/>
      <c r="JJB387" s="1185"/>
      <c r="JJC387" s="1185"/>
      <c r="JJD387" s="1185"/>
      <c r="JJE387" s="1185"/>
      <c r="JJF387" s="1185"/>
      <c r="JJG387" s="1185"/>
      <c r="JJH387" s="1185"/>
      <c r="JJI387" s="1185"/>
      <c r="JJJ387" s="1185"/>
      <c r="JJK387" s="1185"/>
      <c r="JJL387" s="1185"/>
      <c r="JJM387" s="1185"/>
      <c r="JJN387" s="1185"/>
      <c r="JJO387" s="1185"/>
      <c r="JJP387" s="1185"/>
      <c r="JJQ387" s="1185"/>
      <c r="JJR387" s="1185"/>
      <c r="JJS387" s="1185"/>
      <c r="JJT387" s="1185"/>
      <c r="JJU387" s="1185"/>
      <c r="JJV387" s="1185"/>
      <c r="JJW387" s="1185"/>
      <c r="JJX387" s="1185"/>
      <c r="JJY387" s="1185"/>
      <c r="JJZ387" s="1185"/>
      <c r="JKA387" s="1185"/>
      <c r="JKB387" s="1185"/>
      <c r="JKC387" s="1185"/>
      <c r="JKD387" s="1185"/>
      <c r="JKE387" s="1185"/>
      <c r="JKF387" s="1185"/>
      <c r="JKG387" s="1185"/>
      <c r="JKH387" s="1185"/>
      <c r="JKI387" s="1185"/>
      <c r="JKJ387" s="1185"/>
      <c r="JKK387" s="1185"/>
      <c r="JKL387" s="1185"/>
      <c r="JKM387" s="1185"/>
      <c r="JKN387" s="1185"/>
      <c r="JKO387" s="1185"/>
      <c r="JKP387" s="1185"/>
      <c r="JKQ387" s="1185"/>
      <c r="JKR387" s="1185"/>
      <c r="JKS387" s="1185"/>
      <c r="JKT387" s="1185"/>
      <c r="JKU387" s="1185"/>
      <c r="JKV387" s="1185"/>
      <c r="JKW387" s="1185"/>
      <c r="JKX387" s="1185"/>
      <c r="JKY387" s="1185"/>
      <c r="JKZ387" s="1185"/>
      <c r="JLA387" s="1185"/>
      <c r="JLB387" s="1185"/>
      <c r="JLC387" s="1185"/>
      <c r="JLD387" s="1185"/>
      <c r="JLE387" s="1185"/>
      <c r="JLF387" s="1185"/>
      <c r="JLG387" s="1185"/>
      <c r="JLH387" s="1185"/>
      <c r="JLI387" s="1185"/>
      <c r="JLJ387" s="1185"/>
      <c r="JLK387" s="1185"/>
      <c r="JLL387" s="1185"/>
      <c r="JLM387" s="1185"/>
      <c r="JLN387" s="1185"/>
      <c r="JLO387" s="1185"/>
      <c r="JLP387" s="1185"/>
      <c r="JLQ387" s="1185"/>
      <c r="JLR387" s="1185"/>
      <c r="JLS387" s="1185"/>
      <c r="JLT387" s="1185"/>
      <c r="JLU387" s="1185"/>
      <c r="JLV387" s="1185"/>
      <c r="JLW387" s="1185"/>
      <c r="JLX387" s="1185"/>
      <c r="JLY387" s="1185"/>
      <c r="JLZ387" s="1185"/>
      <c r="JMA387" s="1185"/>
      <c r="JMB387" s="1185"/>
      <c r="JMC387" s="1185"/>
      <c r="JMD387" s="1185"/>
      <c r="JME387" s="1185"/>
      <c r="JMF387" s="1185"/>
      <c r="JMG387" s="1185"/>
      <c r="JMH387" s="1185"/>
      <c r="JMI387" s="1185"/>
      <c r="JMJ387" s="1185"/>
      <c r="JMK387" s="1185"/>
      <c r="JML387" s="1185"/>
      <c r="JMM387" s="1185"/>
      <c r="JMN387" s="1185"/>
      <c r="JMO387" s="1185"/>
      <c r="JMP387" s="1185"/>
      <c r="JMQ387" s="1185"/>
      <c r="JMR387" s="1185"/>
      <c r="JMS387" s="1185"/>
      <c r="JMT387" s="1185"/>
      <c r="JMU387" s="1185"/>
      <c r="JMV387" s="1185"/>
      <c r="JMW387" s="1185"/>
      <c r="JMX387" s="1185"/>
      <c r="JMY387" s="1185"/>
      <c r="JMZ387" s="1185"/>
      <c r="JNA387" s="1185"/>
      <c r="JNB387" s="1185"/>
      <c r="JNC387" s="1185"/>
      <c r="JND387" s="1185"/>
      <c r="JNE387" s="1185"/>
      <c r="JNF387" s="1185"/>
      <c r="JNG387" s="1185"/>
      <c r="JNH387" s="1185"/>
      <c r="JNI387" s="1185"/>
      <c r="JNJ387" s="1185"/>
      <c r="JNK387" s="1185"/>
      <c r="JNL387" s="1185"/>
      <c r="JNM387" s="1185"/>
      <c r="JNN387" s="1185"/>
      <c r="JNO387" s="1185"/>
      <c r="JNP387" s="1185"/>
      <c r="JNQ387" s="1185"/>
      <c r="JNR387" s="1185"/>
      <c r="JNS387" s="1185"/>
      <c r="JNT387" s="1185"/>
      <c r="JNU387" s="1185"/>
      <c r="JNV387" s="1185"/>
      <c r="JNW387" s="1185"/>
      <c r="JNX387" s="1185"/>
      <c r="JNY387" s="1185"/>
      <c r="JNZ387" s="1185"/>
      <c r="JOA387" s="1185"/>
      <c r="JOB387" s="1185"/>
      <c r="JOC387" s="1185"/>
      <c r="JOD387" s="1185"/>
      <c r="JOE387" s="1185"/>
      <c r="JOF387" s="1185"/>
      <c r="JOG387" s="1185"/>
      <c r="JOH387" s="1185"/>
      <c r="JOI387" s="1185"/>
      <c r="JOJ387" s="1185"/>
      <c r="JOK387" s="1185"/>
      <c r="JOL387" s="1185"/>
      <c r="JOM387" s="1185"/>
      <c r="JON387" s="1185"/>
      <c r="JOO387" s="1185"/>
      <c r="JOP387" s="1185"/>
      <c r="JOQ387" s="1185"/>
      <c r="JOR387" s="1185"/>
      <c r="JOS387" s="1185"/>
      <c r="JOT387" s="1185"/>
      <c r="JOU387" s="1185"/>
      <c r="JOV387" s="1185"/>
      <c r="JOW387" s="1185"/>
      <c r="JOX387" s="1185"/>
      <c r="JOY387" s="1185"/>
      <c r="JOZ387" s="1185"/>
      <c r="JPA387" s="1185"/>
      <c r="JPB387" s="1185"/>
      <c r="JPC387" s="1185"/>
      <c r="JPD387" s="1185"/>
      <c r="JPE387" s="1185"/>
      <c r="JPF387" s="1185"/>
      <c r="JPG387" s="1185"/>
      <c r="JPH387" s="1185"/>
      <c r="JPI387" s="1185"/>
      <c r="JPJ387" s="1185"/>
      <c r="JPK387" s="1185"/>
      <c r="JPL387" s="1185"/>
      <c r="JPM387" s="1185"/>
      <c r="JPN387" s="1185"/>
      <c r="JPO387" s="1185"/>
      <c r="JPP387" s="1185"/>
      <c r="JPQ387" s="1185"/>
      <c r="JPR387" s="1185"/>
      <c r="JPS387" s="1185"/>
      <c r="JPT387" s="1185"/>
      <c r="JPU387" s="1185"/>
      <c r="JPV387" s="1185"/>
      <c r="JPW387" s="1185"/>
      <c r="JPX387" s="1185"/>
      <c r="JPY387" s="1185"/>
      <c r="JPZ387" s="1185"/>
      <c r="JQA387" s="1185"/>
      <c r="JQB387" s="1185"/>
      <c r="JQC387" s="1185"/>
      <c r="JQD387" s="1185"/>
      <c r="JQE387" s="1185"/>
      <c r="JQF387" s="1185"/>
      <c r="JQG387" s="1185"/>
      <c r="JQH387" s="1185"/>
      <c r="JQI387" s="1185"/>
      <c r="JQJ387" s="1185"/>
      <c r="JQK387" s="1185"/>
      <c r="JQL387" s="1185"/>
      <c r="JQM387" s="1185"/>
      <c r="JQN387" s="1185"/>
      <c r="JQO387" s="1185"/>
      <c r="JQP387" s="1185"/>
      <c r="JQQ387" s="1185"/>
      <c r="JQR387" s="1185"/>
      <c r="JQS387" s="1185"/>
      <c r="JQT387" s="1185"/>
      <c r="JQU387" s="1185"/>
      <c r="JQV387" s="1185"/>
      <c r="JQW387" s="1185"/>
      <c r="JQX387" s="1185"/>
      <c r="JQY387" s="1185"/>
      <c r="JQZ387" s="1185"/>
      <c r="JRA387" s="1185"/>
      <c r="JRB387" s="1185"/>
      <c r="JRC387" s="1185"/>
      <c r="JRD387" s="1185"/>
      <c r="JRE387" s="1185"/>
      <c r="JRF387" s="1185"/>
      <c r="JRG387" s="1185"/>
      <c r="JRH387" s="1185"/>
      <c r="JRI387" s="1185"/>
      <c r="JRJ387" s="1185"/>
      <c r="JRK387" s="1185"/>
      <c r="JRL387" s="1185"/>
      <c r="JRM387" s="1185"/>
      <c r="JRN387" s="1185"/>
      <c r="JRO387" s="1185"/>
      <c r="JRP387" s="1185"/>
      <c r="JRQ387" s="1185"/>
      <c r="JRR387" s="1185"/>
      <c r="JRS387" s="1185"/>
      <c r="JRT387" s="1185"/>
      <c r="JRU387" s="1185"/>
      <c r="JRV387" s="1185"/>
      <c r="JRW387" s="1185"/>
      <c r="JRX387" s="1185"/>
      <c r="JRY387" s="1185"/>
      <c r="JRZ387" s="1185"/>
      <c r="JSA387" s="1185"/>
      <c r="JSB387" s="1185"/>
      <c r="JSC387" s="1185"/>
      <c r="JSD387" s="1185"/>
      <c r="JSE387" s="1185"/>
      <c r="JSF387" s="1185"/>
      <c r="JSG387" s="1185"/>
      <c r="JSH387" s="1185"/>
      <c r="JSI387" s="1185"/>
      <c r="JSJ387" s="1185"/>
      <c r="JSK387" s="1185"/>
      <c r="JSL387" s="1185"/>
      <c r="JSM387" s="1185"/>
      <c r="JSN387" s="1185"/>
      <c r="JSO387" s="1185"/>
      <c r="JSP387" s="1185"/>
      <c r="JSQ387" s="1185"/>
      <c r="JSR387" s="1185"/>
      <c r="JSS387" s="1185"/>
      <c r="JST387" s="1185"/>
      <c r="JSU387" s="1185"/>
      <c r="JSV387" s="1185"/>
      <c r="JSW387" s="1185"/>
      <c r="JSX387" s="1185"/>
      <c r="JSY387" s="1185"/>
      <c r="JSZ387" s="1185"/>
      <c r="JTA387" s="1185"/>
      <c r="JTB387" s="1185"/>
      <c r="JTC387" s="1185"/>
      <c r="JTD387" s="1185"/>
      <c r="JTE387" s="1185"/>
      <c r="JTF387" s="1185"/>
      <c r="JTG387" s="1185"/>
      <c r="JTH387" s="1185"/>
      <c r="JTI387" s="1185"/>
      <c r="JTJ387" s="1185"/>
      <c r="JTK387" s="1185"/>
      <c r="JTL387" s="1185"/>
      <c r="JTM387" s="1185"/>
      <c r="JTN387" s="1185"/>
      <c r="JTO387" s="1185"/>
      <c r="JTP387" s="1185"/>
      <c r="JTQ387" s="1185"/>
      <c r="JTR387" s="1185"/>
      <c r="JTS387" s="1185"/>
      <c r="JTT387" s="1185"/>
      <c r="JTU387" s="1185"/>
      <c r="JTV387" s="1185"/>
      <c r="JTW387" s="1185"/>
      <c r="JTX387" s="1185"/>
      <c r="JTY387" s="1185"/>
      <c r="JTZ387" s="1185"/>
      <c r="JUA387" s="1185"/>
      <c r="JUB387" s="1185"/>
      <c r="JUC387" s="1185"/>
      <c r="JUD387" s="1185"/>
      <c r="JUE387" s="1185"/>
      <c r="JUF387" s="1185"/>
      <c r="JUG387" s="1185"/>
      <c r="JUH387" s="1185"/>
      <c r="JUI387" s="1185"/>
      <c r="JUJ387" s="1185"/>
      <c r="JUK387" s="1185"/>
      <c r="JUL387" s="1185"/>
      <c r="JUM387" s="1185"/>
      <c r="JUN387" s="1185"/>
      <c r="JUO387" s="1185"/>
      <c r="JUP387" s="1185"/>
      <c r="JUQ387" s="1185"/>
      <c r="JUR387" s="1185"/>
      <c r="JUS387" s="1185"/>
      <c r="JUT387" s="1185"/>
      <c r="JUU387" s="1185"/>
      <c r="JUV387" s="1185"/>
      <c r="JUW387" s="1185"/>
      <c r="JUX387" s="1185"/>
      <c r="JUY387" s="1185"/>
      <c r="JUZ387" s="1185"/>
      <c r="JVA387" s="1185"/>
      <c r="JVB387" s="1185"/>
      <c r="JVC387" s="1185"/>
      <c r="JVD387" s="1185"/>
      <c r="JVE387" s="1185"/>
      <c r="JVF387" s="1185"/>
      <c r="JVG387" s="1185"/>
      <c r="JVH387" s="1185"/>
      <c r="JVI387" s="1185"/>
      <c r="JVJ387" s="1185"/>
      <c r="JVK387" s="1185"/>
      <c r="JVL387" s="1185"/>
      <c r="JVM387" s="1185"/>
      <c r="JVN387" s="1185"/>
      <c r="JVO387" s="1185"/>
      <c r="JVP387" s="1185"/>
      <c r="JVQ387" s="1185"/>
      <c r="JVR387" s="1185"/>
      <c r="JVS387" s="1185"/>
      <c r="JVT387" s="1185"/>
      <c r="JVU387" s="1185"/>
      <c r="JVV387" s="1185"/>
      <c r="JVW387" s="1185"/>
      <c r="JVX387" s="1185"/>
      <c r="JVY387" s="1185"/>
      <c r="JVZ387" s="1185"/>
      <c r="JWA387" s="1185"/>
      <c r="JWB387" s="1185"/>
      <c r="JWC387" s="1185"/>
      <c r="JWD387" s="1185"/>
      <c r="JWE387" s="1185"/>
      <c r="JWF387" s="1185"/>
      <c r="JWG387" s="1185"/>
      <c r="JWH387" s="1185"/>
      <c r="JWI387" s="1185"/>
      <c r="JWJ387" s="1185"/>
      <c r="JWK387" s="1185"/>
      <c r="JWL387" s="1185"/>
      <c r="JWM387" s="1185"/>
      <c r="JWN387" s="1185"/>
      <c r="JWO387" s="1185"/>
      <c r="JWP387" s="1185"/>
      <c r="JWQ387" s="1185"/>
      <c r="JWR387" s="1185"/>
      <c r="JWS387" s="1185"/>
      <c r="JWT387" s="1185"/>
      <c r="JWU387" s="1185"/>
      <c r="JWV387" s="1185"/>
      <c r="JWW387" s="1185"/>
      <c r="JWX387" s="1185"/>
      <c r="JWY387" s="1185"/>
      <c r="JWZ387" s="1185"/>
      <c r="JXA387" s="1185"/>
      <c r="JXB387" s="1185"/>
      <c r="JXC387" s="1185"/>
      <c r="JXD387" s="1185"/>
      <c r="JXE387" s="1185"/>
      <c r="JXF387" s="1185"/>
      <c r="JXG387" s="1185"/>
      <c r="JXH387" s="1185"/>
      <c r="JXI387" s="1185"/>
      <c r="JXJ387" s="1185"/>
      <c r="JXK387" s="1185"/>
      <c r="JXL387" s="1185"/>
      <c r="JXM387" s="1185"/>
      <c r="JXN387" s="1185"/>
      <c r="JXO387" s="1185"/>
      <c r="JXP387" s="1185"/>
      <c r="JXQ387" s="1185"/>
      <c r="JXR387" s="1185"/>
      <c r="JXS387" s="1185"/>
      <c r="JXT387" s="1185"/>
      <c r="JXU387" s="1185"/>
      <c r="JXV387" s="1185"/>
      <c r="JXW387" s="1185"/>
      <c r="JXX387" s="1185"/>
      <c r="JXY387" s="1185"/>
      <c r="JXZ387" s="1185"/>
      <c r="JYA387" s="1185"/>
      <c r="JYB387" s="1185"/>
      <c r="JYC387" s="1185"/>
      <c r="JYD387" s="1185"/>
      <c r="JYE387" s="1185"/>
      <c r="JYF387" s="1185"/>
      <c r="JYG387" s="1185"/>
      <c r="JYH387" s="1185"/>
      <c r="JYI387" s="1185"/>
      <c r="JYJ387" s="1185"/>
      <c r="JYK387" s="1185"/>
      <c r="JYL387" s="1185"/>
      <c r="JYM387" s="1185"/>
      <c r="JYN387" s="1185"/>
      <c r="JYO387" s="1185"/>
      <c r="JYP387" s="1185"/>
      <c r="JYQ387" s="1185"/>
      <c r="JYR387" s="1185"/>
      <c r="JYS387" s="1185"/>
      <c r="JYT387" s="1185"/>
      <c r="JYU387" s="1185"/>
      <c r="JYV387" s="1185"/>
      <c r="JYW387" s="1185"/>
      <c r="JYX387" s="1185"/>
      <c r="JYY387" s="1185"/>
      <c r="JYZ387" s="1185"/>
      <c r="JZA387" s="1185"/>
      <c r="JZB387" s="1185"/>
      <c r="JZC387" s="1185"/>
      <c r="JZD387" s="1185"/>
      <c r="JZE387" s="1185"/>
      <c r="JZF387" s="1185"/>
      <c r="JZG387" s="1185"/>
      <c r="JZH387" s="1185"/>
      <c r="JZI387" s="1185"/>
      <c r="JZJ387" s="1185"/>
      <c r="JZK387" s="1185"/>
      <c r="JZL387" s="1185"/>
      <c r="JZM387" s="1185"/>
      <c r="JZN387" s="1185"/>
      <c r="JZO387" s="1185"/>
      <c r="JZP387" s="1185"/>
      <c r="JZQ387" s="1185"/>
      <c r="JZR387" s="1185"/>
      <c r="JZS387" s="1185"/>
      <c r="JZT387" s="1185"/>
      <c r="JZU387" s="1185"/>
      <c r="JZV387" s="1185"/>
      <c r="JZW387" s="1185"/>
      <c r="JZX387" s="1185"/>
      <c r="JZY387" s="1185"/>
      <c r="JZZ387" s="1185"/>
      <c r="KAA387" s="1185"/>
      <c r="KAB387" s="1185"/>
      <c r="KAC387" s="1185"/>
      <c r="KAD387" s="1185"/>
      <c r="KAE387" s="1185"/>
      <c r="KAF387" s="1185"/>
      <c r="KAG387" s="1185"/>
      <c r="KAH387" s="1185"/>
      <c r="KAI387" s="1185"/>
      <c r="KAJ387" s="1185"/>
      <c r="KAK387" s="1185"/>
      <c r="KAL387" s="1185"/>
      <c r="KAM387" s="1185"/>
      <c r="KAN387" s="1185"/>
      <c r="KAO387" s="1185"/>
      <c r="KAP387" s="1185"/>
      <c r="KAQ387" s="1185"/>
      <c r="KAR387" s="1185"/>
      <c r="KAS387" s="1185"/>
      <c r="KAT387" s="1185"/>
      <c r="KAU387" s="1185"/>
      <c r="KAV387" s="1185"/>
      <c r="KAW387" s="1185"/>
      <c r="KAX387" s="1185"/>
      <c r="KAY387" s="1185"/>
      <c r="KAZ387" s="1185"/>
      <c r="KBA387" s="1185"/>
      <c r="KBB387" s="1185"/>
      <c r="KBC387" s="1185"/>
      <c r="KBD387" s="1185"/>
      <c r="KBE387" s="1185"/>
      <c r="KBF387" s="1185"/>
      <c r="KBG387" s="1185"/>
      <c r="KBH387" s="1185"/>
      <c r="KBI387" s="1185"/>
      <c r="KBJ387" s="1185"/>
      <c r="KBK387" s="1185"/>
      <c r="KBL387" s="1185"/>
      <c r="KBM387" s="1185"/>
      <c r="KBN387" s="1185"/>
      <c r="KBO387" s="1185"/>
      <c r="KBP387" s="1185"/>
      <c r="KBQ387" s="1185"/>
      <c r="KBR387" s="1185"/>
      <c r="KBS387" s="1185"/>
      <c r="KBT387" s="1185"/>
      <c r="KBU387" s="1185"/>
      <c r="KBV387" s="1185"/>
      <c r="KBW387" s="1185"/>
      <c r="KBX387" s="1185"/>
      <c r="KBY387" s="1185"/>
      <c r="KBZ387" s="1185"/>
      <c r="KCA387" s="1185"/>
      <c r="KCB387" s="1185"/>
      <c r="KCC387" s="1185"/>
      <c r="KCD387" s="1185"/>
      <c r="KCE387" s="1185"/>
      <c r="KCF387" s="1185"/>
      <c r="KCG387" s="1185"/>
      <c r="KCH387" s="1185"/>
      <c r="KCI387" s="1185"/>
      <c r="KCJ387" s="1185"/>
      <c r="KCK387" s="1185"/>
      <c r="KCL387" s="1185"/>
      <c r="KCM387" s="1185"/>
      <c r="KCN387" s="1185"/>
      <c r="KCO387" s="1185"/>
      <c r="KCP387" s="1185"/>
      <c r="KCQ387" s="1185"/>
      <c r="KCR387" s="1185"/>
      <c r="KCS387" s="1185"/>
      <c r="KCT387" s="1185"/>
      <c r="KCU387" s="1185"/>
      <c r="KCV387" s="1185"/>
      <c r="KCW387" s="1185"/>
      <c r="KCX387" s="1185"/>
      <c r="KCY387" s="1185"/>
      <c r="KCZ387" s="1185"/>
      <c r="KDA387" s="1185"/>
      <c r="KDB387" s="1185"/>
      <c r="KDC387" s="1185"/>
      <c r="KDD387" s="1185"/>
      <c r="KDE387" s="1185"/>
      <c r="KDF387" s="1185"/>
      <c r="KDG387" s="1185"/>
      <c r="KDH387" s="1185"/>
      <c r="KDI387" s="1185"/>
      <c r="KDJ387" s="1185"/>
      <c r="KDK387" s="1185"/>
      <c r="KDL387" s="1185"/>
      <c r="KDM387" s="1185"/>
      <c r="KDN387" s="1185"/>
      <c r="KDO387" s="1185"/>
      <c r="KDP387" s="1185"/>
      <c r="KDQ387" s="1185"/>
      <c r="KDR387" s="1185"/>
      <c r="KDS387" s="1185"/>
      <c r="KDT387" s="1185"/>
      <c r="KDU387" s="1185"/>
      <c r="KDV387" s="1185"/>
      <c r="KDW387" s="1185"/>
      <c r="KDX387" s="1185"/>
      <c r="KDY387" s="1185"/>
      <c r="KDZ387" s="1185"/>
      <c r="KEA387" s="1185"/>
      <c r="KEB387" s="1185"/>
      <c r="KEC387" s="1185"/>
      <c r="KED387" s="1185"/>
      <c r="KEE387" s="1185"/>
      <c r="KEF387" s="1185"/>
      <c r="KEG387" s="1185"/>
      <c r="KEH387" s="1185"/>
      <c r="KEI387" s="1185"/>
      <c r="KEJ387" s="1185"/>
      <c r="KEK387" s="1185"/>
      <c r="KEL387" s="1185"/>
      <c r="KEM387" s="1185"/>
      <c r="KEN387" s="1185"/>
      <c r="KEO387" s="1185"/>
      <c r="KEP387" s="1185"/>
      <c r="KEQ387" s="1185"/>
      <c r="KER387" s="1185"/>
      <c r="KES387" s="1185"/>
      <c r="KET387" s="1185"/>
      <c r="KEU387" s="1185"/>
      <c r="KEV387" s="1185"/>
      <c r="KEW387" s="1185"/>
      <c r="KEX387" s="1185"/>
      <c r="KEY387" s="1185"/>
      <c r="KEZ387" s="1185"/>
      <c r="KFA387" s="1185"/>
      <c r="KFB387" s="1185"/>
      <c r="KFC387" s="1185"/>
      <c r="KFD387" s="1185"/>
      <c r="KFE387" s="1185"/>
      <c r="KFF387" s="1185"/>
      <c r="KFG387" s="1185"/>
      <c r="KFH387" s="1185"/>
      <c r="KFI387" s="1185"/>
      <c r="KFJ387" s="1185"/>
      <c r="KFK387" s="1185"/>
      <c r="KFL387" s="1185"/>
      <c r="KFM387" s="1185"/>
      <c r="KFN387" s="1185"/>
      <c r="KFO387" s="1185"/>
      <c r="KFP387" s="1185"/>
      <c r="KFQ387" s="1185"/>
      <c r="KFR387" s="1185"/>
      <c r="KFS387" s="1185"/>
      <c r="KFT387" s="1185"/>
      <c r="KFU387" s="1185"/>
      <c r="KFV387" s="1185"/>
      <c r="KFW387" s="1185"/>
      <c r="KFX387" s="1185"/>
      <c r="KFY387" s="1185"/>
      <c r="KFZ387" s="1185"/>
      <c r="KGA387" s="1185"/>
      <c r="KGB387" s="1185"/>
      <c r="KGC387" s="1185"/>
      <c r="KGD387" s="1185"/>
      <c r="KGE387" s="1185"/>
      <c r="KGF387" s="1185"/>
      <c r="KGG387" s="1185"/>
      <c r="KGH387" s="1185"/>
      <c r="KGI387" s="1185"/>
      <c r="KGJ387" s="1185"/>
      <c r="KGK387" s="1185"/>
      <c r="KGL387" s="1185"/>
      <c r="KGM387" s="1185"/>
      <c r="KGN387" s="1185"/>
      <c r="KGO387" s="1185"/>
      <c r="KGP387" s="1185"/>
      <c r="KGQ387" s="1185"/>
      <c r="KGR387" s="1185"/>
      <c r="KGS387" s="1185"/>
      <c r="KGT387" s="1185"/>
      <c r="KGU387" s="1185"/>
      <c r="KGV387" s="1185"/>
      <c r="KGW387" s="1185"/>
      <c r="KGX387" s="1185"/>
      <c r="KGY387" s="1185"/>
      <c r="KGZ387" s="1185"/>
      <c r="KHA387" s="1185"/>
      <c r="KHB387" s="1185"/>
      <c r="KHC387" s="1185"/>
      <c r="KHD387" s="1185"/>
      <c r="KHE387" s="1185"/>
      <c r="KHF387" s="1185"/>
      <c r="KHG387" s="1185"/>
      <c r="KHH387" s="1185"/>
      <c r="KHI387" s="1185"/>
      <c r="KHJ387" s="1185"/>
      <c r="KHK387" s="1185"/>
      <c r="KHL387" s="1185"/>
      <c r="KHM387" s="1185"/>
      <c r="KHN387" s="1185"/>
      <c r="KHO387" s="1185"/>
      <c r="KHP387" s="1185"/>
      <c r="KHQ387" s="1185"/>
      <c r="KHR387" s="1185"/>
      <c r="KHS387" s="1185"/>
      <c r="KHT387" s="1185"/>
      <c r="KHU387" s="1185"/>
      <c r="KHV387" s="1185"/>
      <c r="KHW387" s="1185"/>
      <c r="KHX387" s="1185"/>
      <c r="KHY387" s="1185"/>
      <c r="KHZ387" s="1185"/>
      <c r="KIA387" s="1185"/>
      <c r="KIB387" s="1185"/>
      <c r="KIC387" s="1185"/>
      <c r="KID387" s="1185"/>
      <c r="KIE387" s="1185"/>
      <c r="KIF387" s="1185"/>
      <c r="KIG387" s="1185"/>
      <c r="KIH387" s="1185"/>
      <c r="KII387" s="1185"/>
      <c r="KIJ387" s="1185"/>
      <c r="KIK387" s="1185"/>
      <c r="KIL387" s="1185"/>
      <c r="KIM387" s="1185"/>
      <c r="KIN387" s="1185"/>
      <c r="KIO387" s="1185"/>
      <c r="KIP387" s="1185"/>
      <c r="KIQ387" s="1185"/>
      <c r="KIR387" s="1185"/>
      <c r="KIS387" s="1185"/>
      <c r="KIT387" s="1185"/>
      <c r="KIU387" s="1185"/>
      <c r="KIV387" s="1185"/>
      <c r="KIW387" s="1185"/>
      <c r="KIX387" s="1185"/>
      <c r="KIY387" s="1185"/>
      <c r="KIZ387" s="1185"/>
      <c r="KJA387" s="1185"/>
      <c r="KJB387" s="1185"/>
      <c r="KJC387" s="1185"/>
      <c r="KJD387" s="1185"/>
      <c r="KJE387" s="1185"/>
      <c r="KJF387" s="1185"/>
      <c r="KJG387" s="1185"/>
      <c r="KJH387" s="1185"/>
      <c r="KJI387" s="1185"/>
      <c r="KJJ387" s="1185"/>
      <c r="KJK387" s="1185"/>
      <c r="KJL387" s="1185"/>
      <c r="KJM387" s="1185"/>
      <c r="KJN387" s="1185"/>
      <c r="KJO387" s="1185"/>
      <c r="KJP387" s="1185"/>
      <c r="KJQ387" s="1185"/>
      <c r="KJR387" s="1185"/>
      <c r="KJS387" s="1185"/>
      <c r="KJT387" s="1185"/>
      <c r="KJU387" s="1185"/>
      <c r="KJV387" s="1185"/>
      <c r="KJW387" s="1185"/>
      <c r="KJX387" s="1185"/>
      <c r="KJY387" s="1185"/>
      <c r="KJZ387" s="1185"/>
      <c r="KKA387" s="1185"/>
      <c r="KKB387" s="1185"/>
      <c r="KKC387" s="1185"/>
      <c r="KKD387" s="1185"/>
      <c r="KKE387" s="1185"/>
      <c r="KKF387" s="1185"/>
      <c r="KKG387" s="1185"/>
      <c r="KKH387" s="1185"/>
      <c r="KKI387" s="1185"/>
      <c r="KKJ387" s="1185"/>
      <c r="KKK387" s="1185"/>
      <c r="KKL387" s="1185"/>
      <c r="KKM387" s="1185"/>
      <c r="KKN387" s="1185"/>
      <c r="KKO387" s="1185"/>
      <c r="KKP387" s="1185"/>
      <c r="KKQ387" s="1185"/>
      <c r="KKR387" s="1185"/>
      <c r="KKS387" s="1185"/>
      <c r="KKT387" s="1185"/>
      <c r="KKU387" s="1185"/>
      <c r="KKV387" s="1185"/>
      <c r="KKW387" s="1185"/>
      <c r="KKX387" s="1185"/>
      <c r="KKY387" s="1185"/>
      <c r="KKZ387" s="1185"/>
      <c r="KLA387" s="1185"/>
      <c r="KLB387" s="1185"/>
      <c r="KLC387" s="1185"/>
      <c r="KLD387" s="1185"/>
      <c r="KLE387" s="1185"/>
      <c r="KLF387" s="1185"/>
      <c r="KLG387" s="1185"/>
      <c r="KLH387" s="1185"/>
      <c r="KLI387" s="1185"/>
      <c r="KLJ387" s="1185"/>
      <c r="KLK387" s="1185"/>
      <c r="KLL387" s="1185"/>
      <c r="KLM387" s="1185"/>
      <c r="KLN387" s="1185"/>
      <c r="KLO387" s="1185"/>
      <c r="KLP387" s="1185"/>
      <c r="KLQ387" s="1185"/>
      <c r="KLR387" s="1185"/>
      <c r="KLS387" s="1185"/>
      <c r="KLT387" s="1185"/>
      <c r="KLU387" s="1185"/>
      <c r="KLV387" s="1185"/>
      <c r="KLW387" s="1185"/>
      <c r="KLX387" s="1185"/>
      <c r="KLY387" s="1185"/>
      <c r="KLZ387" s="1185"/>
      <c r="KMA387" s="1185"/>
      <c r="KMB387" s="1185"/>
      <c r="KMC387" s="1185"/>
      <c r="KMD387" s="1185"/>
      <c r="KME387" s="1185"/>
      <c r="KMF387" s="1185"/>
      <c r="KMG387" s="1185"/>
      <c r="KMH387" s="1185"/>
      <c r="KMI387" s="1185"/>
      <c r="KMJ387" s="1185"/>
      <c r="KMK387" s="1185"/>
      <c r="KML387" s="1185"/>
      <c r="KMM387" s="1185"/>
      <c r="KMN387" s="1185"/>
      <c r="KMO387" s="1185"/>
      <c r="KMP387" s="1185"/>
      <c r="KMQ387" s="1185"/>
      <c r="KMR387" s="1185"/>
      <c r="KMS387" s="1185"/>
      <c r="KMT387" s="1185"/>
      <c r="KMU387" s="1185"/>
      <c r="KMV387" s="1185"/>
      <c r="KMW387" s="1185"/>
      <c r="KMX387" s="1185"/>
      <c r="KMY387" s="1185"/>
      <c r="KMZ387" s="1185"/>
      <c r="KNA387" s="1185"/>
      <c r="KNB387" s="1185"/>
      <c r="KNC387" s="1185"/>
      <c r="KND387" s="1185"/>
      <c r="KNE387" s="1185"/>
      <c r="KNF387" s="1185"/>
      <c r="KNG387" s="1185"/>
      <c r="KNH387" s="1185"/>
      <c r="KNI387" s="1185"/>
      <c r="KNJ387" s="1185"/>
      <c r="KNK387" s="1185"/>
      <c r="KNL387" s="1185"/>
      <c r="KNM387" s="1185"/>
      <c r="KNN387" s="1185"/>
      <c r="KNO387" s="1185"/>
      <c r="KNP387" s="1185"/>
      <c r="KNQ387" s="1185"/>
      <c r="KNR387" s="1185"/>
      <c r="KNS387" s="1185"/>
      <c r="KNT387" s="1185"/>
      <c r="KNU387" s="1185"/>
      <c r="KNV387" s="1185"/>
      <c r="KNW387" s="1185"/>
      <c r="KNX387" s="1185"/>
      <c r="KNY387" s="1185"/>
      <c r="KNZ387" s="1185"/>
      <c r="KOA387" s="1185"/>
      <c r="KOB387" s="1185"/>
      <c r="KOC387" s="1185"/>
      <c r="KOD387" s="1185"/>
      <c r="KOE387" s="1185"/>
      <c r="KOF387" s="1185"/>
      <c r="KOG387" s="1185"/>
      <c r="KOH387" s="1185"/>
      <c r="KOI387" s="1185"/>
      <c r="KOJ387" s="1185"/>
      <c r="KOK387" s="1185"/>
      <c r="KOL387" s="1185"/>
      <c r="KOM387" s="1185"/>
      <c r="KON387" s="1185"/>
      <c r="KOO387" s="1185"/>
      <c r="KOP387" s="1185"/>
      <c r="KOQ387" s="1185"/>
      <c r="KOR387" s="1185"/>
      <c r="KOS387" s="1185"/>
      <c r="KOT387" s="1185"/>
      <c r="KOU387" s="1185"/>
      <c r="KOV387" s="1185"/>
      <c r="KOW387" s="1185"/>
      <c r="KOX387" s="1185"/>
      <c r="KOY387" s="1185"/>
      <c r="KOZ387" s="1185"/>
      <c r="KPA387" s="1185"/>
      <c r="KPB387" s="1185"/>
      <c r="KPC387" s="1185"/>
      <c r="KPD387" s="1185"/>
      <c r="KPE387" s="1185"/>
      <c r="KPF387" s="1185"/>
      <c r="KPG387" s="1185"/>
      <c r="KPH387" s="1185"/>
      <c r="KPI387" s="1185"/>
      <c r="KPJ387" s="1185"/>
      <c r="KPK387" s="1185"/>
      <c r="KPL387" s="1185"/>
      <c r="KPM387" s="1185"/>
      <c r="KPN387" s="1185"/>
      <c r="KPO387" s="1185"/>
      <c r="KPP387" s="1185"/>
      <c r="KPQ387" s="1185"/>
      <c r="KPR387" s="1185"/>
      <c r="KPS387" s="1185"/>
      <c r="KPT387" s="1185"/>
      <c r="KPU387" s="1185"/>
      <c r="KPV387" s="1185"/>
      <c r="KPW387" s="1185"/>
      <c r="KPX387" s="1185"/>
      <c r="KPY387" s="1185"/>
      <c r="KPZ387" s="1185"/>
      <c r="KQA387" s="1185"/>
      <c r="KQB387" s="1185"/>
      <c r="KQC387" s="1185"/>
      <c r="KQD387" s="1185"/>
      <c r="KQE387" s="1185"/>
      <c r="KQF387" s="1185"/>
      <c r="KQG387" s="1185"/>
      <c r="KQH387" s="1185"/>
      <c r="KQI387" s="1185"/>
      <c r="KQJ387" s="1185"/>
      <c r="KQK387" s="1185"/>
      <c r="KQL387" s="1185"/>
      <c r="KQM387" s="1185"/>
      <c r="KQN387" s="1185"/>
      <c r="KQO387" s="1185"/>
      <c r="KQP387" s="1185"/>
      <c r="KQQ387" s="1185"/>
      <c r="KQR387" s="1185"/>
      <c r="KQS387" s="1185"/>
      <c r="KQT387" s="1185"/>
      <c r="KQU387" s="1185"/>
      <c r="KQV387" s="1185"/>
      <c r="KQW387" s="1185"/>
      <c r="KQX387" s="1185"/>
      <c r="KQY387" s="1185"/>
      <c r="KQZ387" s="1185"/>
      <c r="KRA387" s="1185"/>
      <c r="KRB387" s="1185"/>
      <c r="KRC387" s="1185"/>
      <c r="KRD387" s="1185"/>
      <c r="KRE387" s="1185"/>
      <c r="KRF387" s="1185"/>
      <c r="KRG387" s="1185"/>
      <c r="KRH387" s="1185"/>
      <c r="KRI387" s="1185"/>
      <c r="KRJ387" s="1185"/>
      <c r="KRK387" s="1185"/>
      <c r="KRL387" s="1185"/>
      <c r="KRM387" s="1185"/>
      <c r="KRN387" s="1185"/>
      <c r="KRO387" s="1185"/>
      <c r="KRP387" s="1185"/>
      <c r="KRQ387" s="1185"/>
      <c r="KRR387" s="1185"/>
      <c r="KRS387" s="1185"/>
      <c r="KRT387" s="1185"/>
      <c r="KRU387" s="1185"/>
      <c r="KRV387" s="1185"/>
      <c r="KRW387" s="1185"/>
      <c r="KRX387" s="1185"/>
      <c r="KRY387" s="1185"/>
      <c r="KRZ387" s="1185"/>
      <c r="KSA387" s="1185"/>
      <c r="KSB387" s="1185"/>
      <c r="KSC387" s="1185"/>
      <c r="KSD387" s="1185"/>
      <c r="KSE387" s="1185"/>
      <c r="KSF387" s="1185"/>
      <c r="KSG387" s="1185"/>
      <c r="KSH387" s="1185"/>
      <c r="KSI387" s="1185"/>
      <c r="KSJ387" s="1185"/>
      <c r="KSK387" s="1185"/>
      <c r="KSL387" s="1185"/>
      <c r="KSM387" s="1185"/>
      <c r="KSN387" s="1185"/>
      <c r="KSO387" s="1185"/>
      <c r="KSP387" s="1185"/>
      <c r="KSQ387" s="1185"/>
      <c r="KSR387" s="1185"/>
      <c r="KSS387" s="1185"/>
      <c r="KST387" s="1185"/>
      <c r="KSU387" s="1185"/>
      <c r="KSV387" s="1185"/>
      <c r="KSW387" s="1185"/>
      <c r="KSX387" s="1185"/>
      <c r="KSY387" s="1185"/>
      <c r="KSZ387" s="1185"/>
      <c r="KTA387" s="1185"/>
      <c r="KTB387" s="1185"/>
      <c r="KTC387" s="1185"/>
      <c r="KTD387" s="1185"/>
      <c r="KTE387" s="1185"/>
      <c r="KTF387" s="1185"/>
      <c r="KTG387" s="1185"/>
      <c r="KTH387" s="1185"/>
      <c r="KTI387" s="1185"/>
      <c r="KTJ387" s="1185"/>
      <c r="KTK387" s="1185"/>
      <c r="KTL387" s="1185"/>
      <c r="KTM387" s="1185"/>
      <c r="KTN387" s="1185"/>
      <c r="KTO387" s="1185"/>
      <c r="KTP387" s="1185"/>
      <c r="KTQ387" s="1185"/>
      <c r="KTR387" s="1185"/>
      <c r="KTS387" s="1185"/>
      <c r="KTT387" s="1185"/>
      <c r="KTU387" s="1185"/>
      <c r="KTV387" s="1185"/>
      <c r="KTW387" s="1185"/>
      <c r="KTX387" s="1185"/>
      <c r="KTY387" s="1185"/>
      <c r="KTZ387" s="1185"/>
      <c r="KUA387" s="1185"/>
      <c r="KUB387" s="1185"/>
      <c r="KUC387" s="1185"/>
      <c r="KUD387" s="1185"/>
      <c r="KUE387" s="1185"/>
      <c r="KUF387" s="1185"/>
      <c r="KUG387" s="1185"/>
      <c r="KUH387" s="1185"/>
      <c r="KUI387" s="1185"/>
      <c r="KUJ387" s="1185"/>
      <c r="KUK387" s="1185"/>
      <c r="KUL387" s="1185"/>
      <c r="KUM387" s="1185"/>
      <c r="KUN387" s="1185"/>
      <c r="KUO387" s="1185"/>
      <c r="KUP387" s="1185"/>
      <c r="KUQ387" s="1185"/>
      <c r="KUR387" s="1185"/>
      <c r="KUS387" s="1185"/>
      <c r="KUT387" s="1185"/>
      <c r="KUU387" s="1185"/>
      <c r="KUV387" s="1185"/>
      <c r="KUW387" s="1185"/>
      <c r="KUX387" s="1185"/>
      <c r="KUY387" s="1185"/>
      <c r="KUZ387" s="1185"/>
      <c r="KVA387" s="1185"/>
      <c r="KVB387" s="1185"/>
      <c r="KVC387" s="1185"/>
      <c r="KVD387" s="1185"/>
      <c r="KVE387" s="1185"/>
      <c r="KVF387" s="1185"/>
      <c r="KVG387" s="1185"/>
      <c r="KVH387" s="1185"/>
      <c r="KVI387" s="1185"/>
      <c r="KVJ387" s="1185"/>
      <c r="KVK387" s="1185"/>
      <c r="KVL387" s="1185"/>
      <c r="KVM387" s="1185"/>
      <c r="KVN387" s="1185"/>
      <c r="KVO387" s="1185"/>
      <c r="KVP387" s="1185"/>
      <c r="KVQ387" s="1185"/>
      <c r="KVR387" s="1185"/>
      <c r="KVS387" s="1185"/>
      <c r="KVT387" s="1185"/>
      <c r="KVU387" s="1185"/>
      <c r="KVV387" s="1185"/>
      <c r="KVW387" s="1185"/>
      <c r="KVX387" s="1185"/>
      <c r="KVY387" s="1185"/>
      <c r="KVZ387" s="1185"/>
      <c r="KWA387" s="1185"/>
      <c r="KWB387" s="1185"/>
      <c r="KWC387" s="1185"/>
      <c r="KWD387" s="1185"/>
      <c r="KWE387" s="1185"/>
      <c r="KWF387" s="1185"/>
      <c r="KWG387" s="1185"/>
      <c r="KWH387" s="1185"/>
      <c r="KWI387" s="1185"/>
      <c r="KWJ387" s="1185"/>
      <c r="KWK387" s="1185"/>
      <c r="KWL387" s="1185"/>
      <c r="KWM387" s="1185"/>
      <c r="KWN387" s="1185"/>
      <c r="KWO387" s="1185"/>
      <c r="KWP387" s="1185"/>
      <c r="KWQ387" s="1185"/>
      <c r="KWR387" s="1185"/>
      <c r="KWS387" s="1185"/>
      <c r="KWT387" s="1185"/>
      <c r="KWU387" s="1185"/>
      <c r="KWV387" s="1185"/>
      <c r="KWW387" s="1185"/>
      <c r="KWX387" s="1185"/>
      <c r="KWY387" s="1185"/>
      <c r="KWZ387" s="1185"/>
      <c r="KXA387" s="1185"/>
      <c r="KXB387" s="1185"/>
      <c r="KXC387" s="1185"/>
      <c r="KXD387" s="1185"/>
      <c r="KXE387" s="1185"/>
      <c r="KXF387" s="1185"/>
      <c r="KXG387" s="1185"/>
      <c r="KXH387" s="1185"/>
      <c r="KXI387" s="1185"/>
      <c r="KXJ387" s="1185"/>
      <c r="KXK387" s="1185"/>
      <c r="KXL387" s="1185"/>
      <c r="KXM387" s="1185"/>
      <c r="KXN387" s="1185"/>
      <c r="KXO387" s="1185"/>
      <c r="KXP387" s="1185"/>
      <c r="KXQ387" s="1185"/>
      <c r="KXR387" s="1185"/>
      <c r="KXS387" s="1185"/>
      <c r="KXT387" s="1185"/>
      <c r="KXU387" s="1185"/>
      <c r="KXV387" s="1185"/>
      <c r="KXW387" s="1185"/>
      <c r="KXX387" s="1185"/>
      <c r="KXY387" s="1185"/>
      <c r="KXZ387" s="1185"/>
      <c r="KYA387" s="1185"/>
      <c r="KYB387" s="1185"/>
      <c r="KYC387" s="1185"/>
      <c r="KYD387" s="1185"/>
      <c r="KYE387" s="1185"/>
      <c r="KYF387" s="1185"/>
      <c r="KYG387" s="1185"/>
      <c r="KYH387" s="1185"/>
      <c r="KYI387" s="1185"/>
      <c r="KYJ387" s="1185"/>
      <c r="KYK387" s="1185"/>
      <c r="KYL387" s="1185"/>
      <c r="KYM387" s="1185"/>
      <c r="KYN387" s="1185"/>
      <c r="KYO387" s="1185"/>
      <c r="KYP387" s="1185"/>
      <c r="KYQ387" s="1185"/>
      <c r="KYR387" s="1185"/>
      <c r="KYS387" s="1185"/>
      <c r="KYT387" s="1185"/>
      <c r="KYU387" s="1185"/>
      <c r="KYV387" s="1185"/>
      <c r="KYW387" s="1185"/>
      <c r="KYX387" s="1185"/>
      <c r="KYY387" s="1185"/>
      <c r="KYZ387" s="1185"/>
      <c r="KZA387" s="1185"/>
      <c r="KZB387" s="1185"/>
      <c r="KZC387" s="1185"/>
      <c r="KZD387" s="1185"/>
      <c r="KZE387" s="1185"/>
      <c r="KZF387" s="1185"/>
      <c r="KZG387" s="1185"/>
      <c r="KZH387" s="1185"/>
      <c r="KZI387" s="1185"/>
      <c r="KZJ387" s="1185"/>
      <c r="KZK387" s="1185"/>
      <c r="KZL387" s="1185"/>
      <c r="KZM387" s="1185"/>
      <c r="KZN387" s="1185"/>
      <c r="KZO387" s="1185"/>
      <c r="KZP387" s="1185"/>
      <c r="KZQ387" s="1185"/>
      <c r="KZR387" s="1185"/>
      <c r="KZS387" s="1185"/>
      <c r="KZT387" s="1185"/>
      <c r="KZU387" s="1185"/>
      <c r="KZV387" s="1185"/>
      <c r="KZW387" s="1185"/>
      <c r="KZX387" s="1185"/>
      <c r="KZY387" s="1185"/>
      <c r="KZZ387" s="1185"/>
      <c r="LAA387" s="1185"/>
      <c r="LAB387" s="1185"/>
      <c r="LAC387" s="1185"/>
      <c r="LAD387" s="1185"/>
      <c r="LAE387" s="1185"/>
      <c r="LAF387" s="1185"/>
      <c r="LAG387" s="1185"/>
      <c r="LAH387" s="1185"/>
      <c r="LAI387" s="1185"/>
      <c r="LAJ387" s="1185"/>
      <c r="LAK387" s="1185"/>
      <c r="LAL387" s="1185"/>
      <c r="LAM387" s="1185"/>
      <c r="LAN387" s="1185"/>
      <c r="LAO387" s="1185"/>
      <c r="LAP387" s="1185"/>
      <c r="LAQ387" s="1185"/>
      <c r="LAR387" s="1185"/>
      <c r="LAS387" s="1185"/>
      <c r="LAT387" s="1185"/>
      <c r="LAU387" s="1185"/>
      <c r="LAV387" s="1185"/>
      <c r="LAW387" s="1185"/>
      <c r="LAX387" s="1185"/>
      <c r="LAY387" s="1185"/>
      <c r="LAZ387" s="1185"/>
      <c r="LBA387" s="1185"/>
      <c r="LBB387" s="1185"/>
      <c r="LBC387" s="1185"/>
      <c r="LBD387" s="1185"/>
      <c r="LBE387" s="1185"/>
      <c r="LBF387" s="1185"/>
      <c r="LBG387" s="1185"/>
      <c r="LBH387" s="1185"/>
      <c r="LBI387" s="1185"/>
      <c r="LBJ387" s="1185"/>
      <c r="LBK387" s="1185"/>
      <c r="LBL387" s="1185"/>
      <c r="LBM387" s="1185"/>
      <c r="LBN387" s="1185"/>
      <c r="LBO387" s="1185"/>
      <c r="LBP387" s="1185"/>
      <c r="LBQ387" s="1185"/>
      <c r="LBR387" s="1185"/>
      <c r="LBS387" s="1185"/>
      <c r="LBT387" s="1185"/>
      <c r="LBU387" s="1185"/>
      <c r="LBV387" s="1185"/>
      <c r="LBW387" s="1185"/>
      <c r="LBX387" s="1185"/>
      <c r="LBY387" s="1185"/>
      <c r="LBZ387" s="1185"/>
      <c r="LCA387" s="1185"/>
      <c r="LCB387" s="1185"/>
      <c r="LCC387" s="1185"/>
      <c r="LCD387" s="1185"/>
      <c r="LCE387" s="1185"/>
      <c r="LCF387" s="1185"/>
      <c r="LCG387" s="1185"/>
      <c r="LCH387" s="1185"/>
      <c r="LCI387" s="1185"/>
      <c r="LCJ387" s="1185"/>
      <c r="LCK387" s="1185"/>
      <c r="LCL387" s="1185"/>
      <c r="LCM387" s="1185"/>
      <c r="LCN387" s="1185"/>
      <c r="LCO387" s="1185"/>
      <c r="LCP387" s="1185"/>
      <c r="LCQ387" s="1185"/>
      <c r="LCR387" s="1185"/>
      <c r="LCS387" s="1185"/>
      <c r="LCT387" s="1185"/>
      <c r="LCU387" s="1185"/>
      <c r="LCV387" s="1185"/>
      <c r="LCW387" s="1185"/>
      <c r="LCX387" s="1185"/>
      <c r="LCY387" s="1185"/>
      <c r="LCZ387" s="1185"/>
      <c r="LDA387" s="1185"/>
      <c r="LDB387" s="1185"/>
      <c r="LDC387" s="1185"/>
      <c r="LDD387" s="1185"/>
      <c r="LDE387" s="1185"/>
      <c r="LDF387" s="1185"/>
      <c r="LDG387" s="1185"/>
      <c r="LDH387" s="1185"/>
      <c r="LDI387" s="1185"/>
      <c r="LDJ387" s="1185"/>
      <c r="LDK387" s="1185"/>
      <c r="LDL387" s="1185"/>
      <c r="LDM387" s="1185"/>
      <c r="LDN387" s="1185"/>
      <c r="LDO387" s="1185"/>
      <c r="LDP387" s="1185"/>
      <c r="LDQ387" s="1185"/>
      <c r="LDR387" s="1185"/>
      <c r="LDS387" s="1185"/>
      <c r="LDT387" s="1185"/>
      <c r="LDU387" s="1185"/>
      <c r="LDV387" s="1185"/>
      <c r="LDW387" s="1185"/>
      <c r="LDX387" s="1185"/>
      <c r="LDY387" s="1185"/>
      <c r="LDZ387" s="1185"/>
      <c r="LEA387" s="1185"/>
      <c r="LEB387" s="1185"/>
      <c r="LEC387" s="1185"/>
      <c r="LED387" s="1185"/>
      <c r="LEE387" s="1185"/>
      <c r="LEF387" s="1185"/>
      <c r="LEG387" s="1185"/>
      <c r="LEH387" s="1185"/>
      <c r="LEI387" s="1185"/>
      <c r="LEJ387" s="1185"/>
      <c r="LEK387" s="1185"/>
      <c r="LEL387" s="1185"/>
      <c r="LEM387" s="1185"/>
      <c r="LEN387" s="1185"/>
      <c r="LEO387" s="1185"/>
      <c r="LEP387" s="1185"/>
      <c r="LEQ387" s="1185"/>
      <c r="LER387" s="1185"/>
      <c r="LES387" s="1185"/>
      <c r="LET387" s="1185"/>
      <c r="LEU387" s="1185"/>
      <c r="LEV387" s="1185"/>
      <c r="LEW387" s="1185"/>
      <c r="LEX387" s="1185"/>
      <c r="LEY387" s="1185"/>
      <c r="LEZ387" s="1185"/>
      <c r="LFA387" s="1185"/>
      <c r="LFB387" s="1185"/>
      <c r="LFC387" s="1185"/>
      <c r="LFD387" s="1185"/>
      <c r="LFE387" s="1185"/>
      <c r="LFF387" s="1185"/>
      <c r="LFG387" s="1185"/>
      <c r="LFH387" s="1185"/>
      <c r="LFI387" s="1185"/>
      <c r="LFJ387" s="1185"/>
      <c r="LFK387" s="1185"/>
      <c r="LFL387" s="1185"/>
      <c r="LFM387" s="1185"/>
      <c r="LFN387" s="1185"/>
      <c r="LFO387" s="1185"/>
      <c r="LFP387" s="1185"/>
      <c r="LFQ387" s="1185"/>
      <c r="LFR387" s="1185"/>
      <c r="LFS387" s="1185"/>
      <c r="LFT387" s="1185"/>
      <c r="LFU387" s="1185"/>
      <c r="LFV387" s="1185"/>
      <c r="LFW387" s="1185"/>
      <c r="LFX387" s="1185"/>
      <c r="LFY387" s="1185"/>
      <c r="LFZ387" s="1185"/>
      <c r="LGA387" s="1185"/>
      <c r="LGB387" s="1185"/>
      <c r="LGC387" s="1185"/>
      <c r="LGD387" s="1185"/>
      <c r="LGE387" s="1185"/>
      <c r="LGF387" s="1185"/>
      <c r="LGG387" s="1185"/>
      <c r="LGH387" s="1185"/>
      <c r="LGI387" s="1185"/>
      <c r="LGJ387" s="1185"/>
      <c r="LGK387" s="1185"/>
      <c r="LGL387" s="1185"/>
      <c r="LGM387" s="1185"/>
      <c r="LGN387" s="1185"/>
      <c r="LGO387" s="1185"/>
      <c r="LGP387" s="1185"/>
      <c r="LGQ387" s="1185"/>
      <c r="LGR387" s="1185"/>
      <c r="LGS387" s="1185"/>
      <c r="LGT387" s="1185"/>
      <c r="LGU387" s="1185"/>
      <c r="LGV387" s="1185"/>
      <c r="LGW387" s="1185"/>
      <c r="LGX387" s="1185"/>
      <c r="LGY387" s="1185"/>
      <c r="LGZ387" s="1185"/>
      <c r="LHA387" s="1185"/>
      <c r="LHB387" s="1185"/>
      <c r="LHC387" s="1185"/>
      <c r="LHD387" s="1185"/>
      <c r="LHE387" s="1185"/>
      <c r="LHF387" s="1185"/>
      <c r="LHG387" s="1185"/>
      <c r="LHH387" s="1185"/>
      <c r="LHI387" s="1185"/>
      <c r="LHJ387" s="1185"/>
      <c r="LHK387" s="1185"/>
      <c r="LHL387" s="1185"/>
      <c r="LHM387" s="1185"/>
      <c r="LHN387" s="1185"/>
      <c r="LHO387" s="1185"/>
      <c r="LHP387" s="1185"/>
      <c r="LHQ387" s="1185"/>
      <c r="LHR387" s="1185"/>
      <c r="LHS387" s="1185"/>
      <c r="LHT387" s="1185"/>
      <c r="LHU387" s="1185"/>
      <c r="LHV387" s="1185"/>
      <c r="LHW387" s="1185"/>
      <c r="LHX387" s="1185"/>
      <c r="LHY387" s="1185"/>
      <c r="LHZ387" s="1185"/>
      <c r="LIA387" s="1185"/>
      <c r="LIB387" s="1185"/>
      <c r="LIC387" s="1185"/>
      <c r="LID387" s="1185"/>
      <c r="LIE387" s="1185"/>
      <c r="LIF387" s="1185"/>
      <c r="LIG387" s="1185"/>
      <c r="LIH387" s="1185"/>
      <c r="LII387" s="1185"/>
      <c r="LIJ387" s="1185"/>
      <c r="LIK387" s="1185"/>
      <c r="LIL387" s="1185"/>
      <c r="LIM387" s="1185"/>
      <c r="LIN387" s="1185"/>
      <c r="LIO387" s="1185"/>
      <c r="LIP387" s="1185"/>
      <c r="LIQ387" s="1185"/>
      <c r="LIR387" s="1185"/>
      <c r="LIS387" s="1185"/>
      <c r="LIT387" s="1185"/>
      <c r="LIU387" s="1185"/>
      <c r="LIV387" s="1185"/>
      <c r="LIW387" s="1185"/>
      <c r="LIX387" s="1185"/>
      <c r="LIY387" s="1185"/>
      <c r="LIZ387" s="1185"/>
      <c r="LJA387" s="1185"/>
      <c r="LJB387" s="1185"/>
      <c r="LJC387" s="1185"/>
      <c r="LJD387" s="1185"/>
      <c r="LJE387" s="1185"/>
      <c r="LJF387" s="1185"/>
      <c r="LJG387" s="1185"/>
      <c r="LJH387" s="1185"/>
      <c r="LJI387" s="1185"/>
      <c r="LJJ387" s="1185"/>
      <c r="LJK387" s="1185"/>
      <c r="LJL387" s="1185"/>
      <c r="LJM387" s="1185"/>
      <c r="LJN387" s="1185"/>
      <c r="LJO387" s="1185"/>
      <c r="LJP387" s="1185"/>
      <c r="LJQ387" s="1185"/>
      <c r="LJR387" s="1185"/>
      <c r="LJS387" s="1185"/>
      <c r="LJT387" s="1185"/>
      <c r="LJU387" s="1185"/>
      <c r="LJV387" s="1185"/>
      <c r="LJW387" s="1185"/>
      <c r="LJX387" s="1185"/>
      <c r="LJY387" s="1185"/>
      <c r="LJZ387" s="1185"/>
      <c r="LKA387" s="1185"/>
      <c r="LKB387" s="1185"/>
      <c r="LKC387" s="1185"/>
      <c r="LKD387" s="1185"/>
      <c r="LKE387" s="1185"/>
      <c r="LKF387" s="1185"/>
      <c r="LKG387" s="1185"/>
      <c r="LKH387" s="1185"/>
      <c r="LKI387" s="1185"/>
      <c r="LKJ387" s="1185"/>
      <c r="LKK387" s="1185"/>
      <c r="LKL387" s="1185"/>
      <c r="LKM387" s="1185"/>
      <c r="LKN387" s="1185"/>
      <c r="LKO387" s="1185"/>
      <c r="LKP387" s="1185"/>
      <c r="LKQ387" s="1185"/>
      <c r="LKR387" s="1185"/>
      <c r="LKS387" s="1185"/>
      <c r="LKT387" s="1185"/>
      <c r="LKU387" s="1185"/>
      <c r="LKV387" s="1185"/>
      <c r="LKW387" s="1185"/>
      <c r="LKX387" s="1185"/>
      <c r="LKY387" s="1185"/>
      <c r="LKZ387" s="1185"/>
      <c r="LLA387" s="1185"/>
      <c r="LLB387" s="1185"/>
      <c r="LLC387" s="1185"/>
      <c r="LLD387" s="1185"/>
      <c r="LLE387" s="1185"/>
      <c r="LLF387" s="1185"/>
      <c r="LLG387" s="1185"/>
      <c r="LLH387" s="1185"/>
      <c r="LLI387" s="1185"/>
      <c r="LLJ387" s="1185"/>
      <c r="LLK387" s="1185"/>
      <c r="LLL387" s="1185"/>
      <c r="LLM387" s="1185"/>
      <c r="LLN387" s="1185"/>
      <c r="LLO387" s="1185"/>
      <c r="LLP387" s="1185"/>
      <c r="LLQ387" s="1185"/>
      <c r="LLR387" s="1185"/>
      <c r="LLS387" s="1185"/>
      <c r="LLT387" s="1185"/>
      <c r="LLU387" s="1185"/>
      <c r="LLV387" s="1185"/>
      <c r="LLW387" s="1185"/>
      <c r="LLX387" s="1185"/>
      <c r="LLY387" s="1185"/>
      <c r="LLZ387" s="1185"/>
      <c r="LMA387" s="1185"/>
      <c r="LMB387" s="1185"/>
      <c r="LMC387" s="1185"/>
      <c r="LMD387" s="1185"/>
      <c r="LME387" s="1185"/>
      <c r="LMF387" s="1185"/>
      <c r="LMG387" s="1185"/>
      <c r="LMH387" s="1185"/>
      <c r="LMI387" s="1185"/>
      <c r="LMJ387" s="1185"/>
      <c r="LMK387" s="1185"/>
      <c r="LML387" s="1185"/>
      <c r="LMM387" s="1185"/>
      <c r="LMN387" s="1185"/>
      <c r="LMO387" s="1185"/>
      <c r="LMP387" s="1185"/>
      <c r="LMQ387" s="1185"/>
      <c r="LMR387" s="1185"/>
      <c r="LMS387" s="1185"/>
      <c r="LMT387" s="1185"/>
      <c r="LMU387" s="1185"/>
      <c r="LMV387" s="1185"/>
      <c r="LMW387" s="1185"/>
      <c r="LMX387" s="1185"/>
      <c r="LMY387" s="1185"/>
      <c r="LMZ387" s="1185"/>
      <c r="LNA387" s="1185"/>
      <c r="LNB387" s="1185"/>
      <c r="LNC387" s="1185"/>
      <c r="LND387" s="1185"/>
      <c r="LNE387" s="1185"/>
      <c r="LNF387" s="1185"/>
      <c r="LNG387" s="1185"/>
      <c r="LNH387" s="1185"/>
      <c r="LNI387" s="1185"/>
      <c r="LNJ387" s="1185"/>
      <c r="LNK387" s="1185"/>
      <c r="LNL387" s="1185"/>
      <c r="LNM387" s="1185"/>
      <c r="LNN387" s="1185"/>
      <c r="LNO387" s="1185"/>
      <c r="LNP387" s="1185"/>
      <c r="LNQ387" s="1185"/>
      <c r="LNR387" s="1185"/>
      <c r="LNS387" s="1185"/>
      <c r="LNT387" s="1185"/>
      <c r="LNU387" s="1185"/>
      <c r="LNV387" s="1185"/>
      <c r="LNW387" s="1185"/>
      <c r="LNX387" s="1185"/>
      <c r="LNY387" s="1185"/>
      <c r="LNZ387" s="1185"/>
      <c r="LOA387" s="1185"/>
      <c r="LOB387" s="1185"/>
      <c r="LOC387" s="1185"/>
      <c r="LOD387" s="1185"/>
      <c r="LOE387" s="1185"/>
      <c r="LOF387" s="1185"/>
      <c r="LOG387" s="1185"/>
      <c r="LOH387" s="1185"/>
      <c r="LOI387" s="1185"/>
      <c r="LOJ387" s="1185"/>
      <c r="LOK387" s="1185"/>
      <c r="LOL387" s="1185"/>
      <c r="LOM387" s="1185"/>
      <c r="LON387" s="1185"/>
      <c r="LOO387" s="1185"/>
      <c r="LOP387" s="1185"/>
      <c r="LOQ387" s="1185"/>
      <c r="LOR387" s="1185"/>
      <c r="LOS387" s="1185"/>
      <c r="LOT387" s="1185"/>
      <c r="LOU387" s="1185"/>
      <c r="LOV387" s="1185"/>
      <c r="LOW387" s="1185"/>
      <c r="LOX387" s="1185"/>
      <c r="LOY387" s="1185"/>
      <c r="LOZ387" s="1185"/>
      <c r="LPA387" s="1185"/>
      <c r="LPB387" s="1185"/>
      <c r="LPC387" s="1185"/>
      <c r="LPD387" s="1185"/>
      <c r="LPE387" s="1185"/>
      <c r="LPF387" s="1185"/>
      <c r="LPG387" s="1185"/>
      <c r="LPH387" s="1185"/>
      <c r="LPI387" s="1185"/>
      <c r="LPJ387" s="1185"/>
      <c r="LPK387" s="1185"/>
      <c r="LPL387" s="1185"/>
      <c r="LPM387" s="1185"/>
      <c r="LPN387" s="1185"/>
      <c r="LPO387" s="1185"/>
      <c r="LPP387" s="1185"/>
      <c r="LPQ387" s="1185"/>
      <c r="LPR387" s="1185"/>
      <c r="LPS387" s="1185"/>
      <c r="LPT387" s="1185"/>
      <c r="LPU387" s="1185"/>
      <c r="LPV387" s="1185"/>
      <c r="LPW387" s="1185"/>
      <c r="LPX387" s="1185"/>
      <c r="LPY387" s="1185"/>
      <c r="LPZ387" s="1185"/>
      <c r="LQA387" s="1185"/>
      <c r="LQB387" s="1185"/>
      <c r="LQC387" s="1185"/>
      <c r="LQD387" s="1185"/>
      <c r="LQE387" s="1185"/>
      <c r="LQF387" s="1185"/>
      <c r="LQG387" s="1185"/>
      <c r="LQH387" s="1185"/>
      <c r="LQI387" s="1185"/>
      <c r="LQJ387" s="1185"/>
      <c r="LQK387" s="1185"/>
      <c r="LQL387" s="1185"/>
      <c r="LQM387" s="1185"/>
      <c r="LQN387" s="1185"/>
      <c r="LQO387" s="1185"/>
      <c r="LQP387" s="1185"/>
      <c r="LQQ387" s="1185"/>
      <c r="LQR387" s="1185"/>
      <c r="LQS387" s="1185"/>
      <c r="LQT387" s="1185"/>
      <c r="LQU387" s="1185"/>
      <c r="LQV387" s="1185"/>
      <c r="LQW387" s="1185"/>
      <c r="LQX387" s="1185"/>
      <c r="LQY387" s="1185"/>
      <c r="LQZ387" s="1185"/>
      <c r="LRA387" s="1185"/>
      <c r="LRB387" s="1185"/>
      <c r="LRC387" s="1185"/>
      <c r="LRD387" s="1185"/>
      <c r="LRE387" s="1185"/>
      <c r="LRF387" s="1185"/>
      <c r="LRG387" s="1185"/>
      <c r="LRH387" s="1185"/>
      <c r="LRI387" s="1185"/>
      <c r="LRJ387" s="1185"/>
      <c r="LRK387" s="1185"/>
      <c r="LRL387" s="1185"/>
      <c r="LRM387" s="1185"/>
      <c r="LRN387" s="1185"/>
      <c r="LRO387" s="1185"/>
      <c r="LRP387" s="1185"/>
      <c r="LRQ387" s="1185"/>
      <c r="LRR387" s="1185"/>
      <c r="LRS387" s="1185"/>
      <c r="LRT387" s="1185"/>
      <c r="LRU387" s="1185"/>
      <c r="LRV387" s="1185"/>
      <c r="LRW387" s="1185"/>
      <c r="LRX387" s="1185"/>
      <c r="LRY387" s="1185"/>
      <c r="LRZ387" s="1185"/>
      <c r="LSA387" s="1185"/>
      <c r="LSB387" s="1185"/>
      <c r="LSC387" s="1185"/>
      <c r="LSD387" s="1185"/>
      <c r="LSE387" s="1185"/>
      <c r="LSF387" s="1185"/>
      <c r="LSG387" s="1185"/>
      <c r="LSH387" s="1185"/>
      <c r="LSI387" s="1185"/>
      <c r="LSJ387" s="1185"/>
      <c r="LSK387" s="1185"/>
      <c r="LSL387" s="1185"/>
      <c r="LSM387" s="1185"/>
      <c r="LSN387" s="1185"/>
      <c r="LSO387" s="1185"/>
      <c r="LSP387" s="1185"/>
      <c r="LSQ387" s="1185"/>
      <c r="LSR387" s="1185"/>
      <c r="LSS387" s="1185"/>
      <c r="LST387" s="1185"/>
      <c r="LSU387" s="1185"/>
      <c r="LSV387" s="1185"/>
      <c r="LSW387" s="1185"/>
      <c r="LSX387" s="1185"/>
      <c r="LSY387" s="1185"/>
      <c r="LSZ387" s="1185"/>
      <c r="LTA387" s="1185"/>
      <c r="LTB387" s="1185"/>
      <c r="LTC387" s="1185"/>
      <c r="LTD387" s="1185"/>
      <c r="LTE387" s="1185"/>
      <c r="LTF387" s="1185"/>
      <c r="LTG387" s="1185"/>
      <c r="LTH387" s="1185"/>
      <c r="LTI387" s="1185"/>
      <c r="LTJ387" s="1185"/>
      <c r="LTK387" s="1185"/>
      <c r="LTL387" s="1185"/>
      <c r="LTM387" s="1185"/>
      <c r="LTN387" s="1185"/>
      <c r="LTO387" s="1185"/>
      <c r="LTP387" s="1185"/>
      <c r="LTQ387" s="1185"/>
      <c r="LTR387" s="1185"/>
      <c r="LTS387" s="1185"/>
      <c r="LTT387" s="1185"/>
      <c r="LTU387" s="1185"/>
      <c r="LTV387" s="1185"/>
      <c r="LTW387" s="1185"/>
      <c r="LTX387" s="1185"/>
      <c r="LTY387" s="1185"/>
      <c r="LTZ387" s="1185"/>
      <c r="LUA387" s="1185"/>
      <c r="LUB387" s="1185"/>
      <c r="LUC387" s="1185"/>
      <c r="LUD387" s="1185"/>
      <c r="LUE387" s="1185"/>
      <c r="LUF387" s="1185"/>
      <c r="LUG387" s="1185"/>
      <c r="LUH387" s="1185"/>
      <c r="LUI387" s="1185"/>
      <c r="LUJ387" s="1185"/>
      <c r="LUK387" s="1185"/>
      <c r="LUL387" s="1185"/>
      <c r="LUM387" s="1185"/>
      <c r="LUN387" s="1185"/>
      <c r="LUO387" s="1185"/>
      <c r="LUP387" s="1185"/>
      <c r="LUQ387" s="1185"/>
      <c r="LUR387" s="1185"/>
      <c r="LUS387" s="1185"/>
      <c r="LUT387" s="1185"/>
      <c r="LUU387" s="1185"/>
      <c r="LUV387" s="1185"/>
      <c r="LUW387" s="1185"/>
      <c r="LUX387" s="1185"/>
      <c r="LUY387" s="1185"/>
      <c r="LUZ387" s="1185"/>
      <c r="LVA387" s="1185"/>
      <c r="LVB387" s="1185"/>
      <c r="LVC387" s="1185"/>
      <c r="LVD387" s="1185"/>
      <c r="LVE387" s="1185"/>
      <c r="LVF387" s="1185"/>
      <c r="LVG387" s="1185"/>
      <c r="LVH387" s="1185"/>
      <c r="LVI387" s="1185"/>
      <c r="LVJ387" s="1185"/>
      <c r="LVK387" s="1185"/>
      <c r="LVL387" s="1185"/>
      <c r="LVM387" s="1185"/>
      <c r="LVN387" s="1185"/>
      <c r="LVO387" s="1185"/>
      <c r="LVP387" s="1185"/>
      <c r="LVQ387" s="1185"/>
      <c r="LVR387" s="1185"/>
      <c r="LVS387" s="1185"/>
      <c r="LVT387" s="1185"/>
      <c r="LVU387" s="1185"/>
      <c r="LVV387" s="1185"/>
      <c r="LVW387" s="1185"/>
      <c r="LVX387" s="1185"/>
      <c r="LVY387" s="1185"/>
      <c r="LVZ387" s="1185"/>
      <c r="LWA387" s="1185"/>
      <c r="LWB387" s="1185"/>
      <c r="LWC387" s="1185"/>
      <c r="LWD387" s="1185"/>
      <c r="LWE387" s="1185"/>
      <c r="LWF387" s="1185"/>
      <c r="LWG387" s="1185"/>
      <c r="LWH387" s="1185"/>
      <c r="LWI387" s="1185"/>
      <c r="LWJ387" s="1185"/>
      <c r="LWK387" s="1185"/>
      <c r="LWL387" s="1185"/>
      <c r="LWM387" s="1185"/>
      <c r="LWN387" s="1185"/>
      <c r="LWO387" s="1185"/>
      <c r="LWP387" s="1185"/>
      <c r="LWQ387" s="1185"/>
      <c r="LWR387" s="1185"/>
      <c r="LWS387" s="1185"/>
      <c r="LWT387" s="1185"/>
      <c r="LWU387" s="1185"/>
      <c r="LWV387" s="1185"/>
      <c r="LWW387" s="1185"/>
      <c r="LWX387" s="1185"/>
      <c r="LWY387" s="1185"/>
      <c r="LWZ387" s="1185"/>
      <c r="LXA387" s="1185"/>
      <c r="LXB387" s="1185"/>
      <c r="LXC387" s="1185"/>
      <c r="LXD387" s="1185"/>
      <c r="LXE387" s="1185"/>
      <c r="LXF387" s="1185"/>
      <c r="LXG387" s="1185"/>
      <c r="LXH387" s="1185"/>
      <c r="LXI387" s="1185"/>
      <c r="LXJ387" s="1185"/>
      <c r="LXK387" s="1185"/>
      <c r="LXL387" s="1185"/>
      <c r="LXM387" s="1185"/>
      <c r="LXN387" s="1185"/>
      <c r="LXO387" s="1185"/>
      <c r="LXP387" s="1185"/>
      <c r="LXQ387" s="1185"/>
      <c r="LXR387" s="1185"/>
      <c r="LXS387" s="1185"/>
      <c r="LXT387" s="1185"/>
      <c r="LXU387" s="1185"/>
      <c r="LXV387" s="1185"/>
      <c r="LXW387" s="1185"/>
      <c r="LXX387" s="1185"/>
      <c r="LXY387" s="1185"/>
      <c r="LXZ387" s="1185"/>
      <c r="LYA387" s="1185"/>
      <c r="LYB387" s="1185"/>
      <c r="LYC387" s="1185"/>
      <c r="LYD387" s="1185"/>
      <c r="LYE387" s="1185"/>
      <c r="LYF387" s="1185"/>
      <c r="LYG387" s="1185"/>
      <c r="LYH387" s="1185"/>
      <c r="LYI387" s="1185"/>
      <c r="LYJ387" s="1185"/>
      <c r="LYK387" s="1185"/>
      <c r="LYL387" s="1185"/>
      <c r="LYM387" s="1185"/>
      <c r="LYN387" s="1185"/>
      <c r="LYO387" s="1185"/>
      <c r="LYP387" s="1185"/>
      <c r="LYQ387" s="1185"/>
      <c r="LYR387" s="1185"/>
      <c r="LYS387" s="1185"/>
      <c r="LYT387" s="1185"/>
      <c r="LYU387" s="1185"/>
      <c r="LYV387" s="1185"/>
      <c r="LYW387" s="1185"/>
      <c r="LYX387" s="1185"/>
      <c r="LYY387" s="1185"/>
      <c r="LYZ387" s="1185"/>
      <c r="LZA387" s="1185"/>
      <c r="LZB387" s="1185"/>
      <c r="LZC387" s="1185"/>
      <c r="LZD387" s="1185"/>
      <c r="LZE387" s="1185"/>
      <c r="LZF387" s="1185"/>
      <c r="LZG387" s="1185"/>
      <c r="LZH387" s="1185"/>
      <c r="LZI387" s="1185"/>
      <c r="LZJ387" s="1185"/>
      <c r="LZK387" s="1185"/>
      <c r="LZL387" s="1185"/>
      <c r="LZM387" s="1185"/>
      <c r="LZN387" s="1185"/>
      <c r="LZO387" s="1185"/>
      <c r="LZP387" s="1185"/>
      <c r="LZQ387" s="1185"/>
      <c r="LZR387" s="1185"/>
      <c r="LZS387" s="1185"/>
      <c r="LZT387" s="1185"/>
      <c r="LZU387" s="1185"/>
      <c r="LZV387" s="1185"/>
      <c r="LZW387" s="1185"/>
      <c r="LZX387" s="1185"/>
      <c r="LZY387" s="1185"/>
      <c r="LZZ387" s="1185"/>
      <c r="MAA387" s="1185"/>
      <c r="MAB387" s="1185"/>
      <c r="MAC387" s="1185"/>
      <c r="MAD387" s="1185"/>
      <c r="MAE387" s="1185"/>
      <c r="MAF387" s="1185"/>
      <c r="MAG387" s="1185"/>
      <c r="MAH387" s="1185"/>
      <c r="MAI387" s="1185"/>
      <c r="MAJ387" s="1185"/>
      <c r="MAK387" s="1185"/>
      <c r="MAL387" s="1185"/>
      <c r="MAM387" s="1185"/>
      <c r="MAN387" s="1185"/>
      <c r="MAO387" s="1185"/>
      <c r="MAP387" s="1185"/>
      <c r="MAQ387" s="1185"/>
      <c r="MAR387" s="1185"/>
      <c r="MAS387" s="1185"/>
      <c r="MAT387" s="1185"/>
      <c r="MAU387" s="1185"/>
      <c r="MAV387" s="1185"/>
      <c r="MAW387" s="1185"/>
      <c r="MAX387" s="1185"/>
      <c r="MAY387" s="1185"/>
      <c r="MAZ387" s="1185"/>
      <c r="MBA387" s="1185"/>
      <c r="MBB387" s="1185"/>
      <c r="MBC387" s="1185"/>
      <c r="MBD387" s="1185"/>
      <c r="MBE387" s="1185"/>
      <c r="MBF387" s="1185"/>
      <c r="MBG387" s="1185"/>
      <c r="MBH387" s="1185"/>
      <c r="MBI387" s="1185"/>
      <c r="MBJ387" s="1185"/>
      <c r="MBK387" s="1185"/>
      <c r="MBL387" s="1185"/>
      <c r="MBM387" s="1185"/>
      <c r="MBN387" s="1185"/>
      <c r="MBO387" s="1185"/>
      <c r="MBP387" s="1185"/>
      <c r="MBQ387" s="1185"/>
      <c r="MBR387" s="1185"/>
      <c r="MBS387" s="1185"/>
      <c r="MBT387" s="1185"/>
      <c r="MBU387" s="1185"/>
      <c r="MBV387" s="1185"/>
      <c r="MBW387" s="1185"/>
      <c r="MBX387" s="1185"/>
      <c r="MBY387" s="1185"/>
      <c r="MBZ387" s="1185"/>
      <c r="MCA387" s="1185"/>
      <c r="MCB387" s="1185"/>
      <c r="MCC387" s="1185"/>
      <c r="MCD387" s="1185"/>
      <c r="MCE387" s="1185"/>
      <c r="MCF387" s="1185"/>
      <c r="MCG387" s="1185"/>
      <c r="MCH387" s="1185"/>
      <c r="MCI387" s="1185"/>
      <c r="MCJ387" s="1185"/>
      <c r="MCK387" s="1185"/>
      <c r="MCL387" s="1185"/>
      <c r="MCM387" s="1185"/>
      <c r="MCN387" s="1185"/>
      <c r="MCO387" s="1185"/>
      <c r="MCP387" s="1185"/>
      <c r="MCQ387" s="1185"/>
      <c r="MCR387" s="1185"/>
      <c r="MCS387" s="1185"/>
      <c r="MCT387" s="1185"/>
      <c r="MCU387" s="1185"/>
      <c r="MCV387" s="1185"/>
      <c r="MCW387" s="1185"/>
      <c r="MCX387" s="1185"/>
      <c r="MCY387" s="1185"/>
      <c r="MCZ387" s="1185"/>
      <c r="MDA387" s="1185"/>
      <c r="MDB387" s="1185"/>
      <c r="MDC387" s="1185"/>
      <c r="MDD387" s="1185"/>
      <c r="MDE387" s="1185"/>
      <c r="MDF387" s="1185"/>
      <c r="MDG387" s="1185"/>
      <c r="MDH387" s="1185"/>
      <c r="MDI387" s="1185"/>
      <c r="MDJ387" s="1185"/>
      <c r="MDK387" s="1185"/>
      <c r="MDL387" s="1185"/>
      <c r="MDM387" s="1185"/>
      <c r="MDN387" s="1185"/>
      <c r="MDO387" s="1185"/>
      <c r="MDP387" s="1185"/>
      <c r="MDQ387" s="1185"/>
      <c r="MDR387" s="1185"/>
      <c r="MDS387" s="1185"/>
      <c r="MDT387" s="1185"/>
      <c r="MDU387" s="1185"/>
      <c r="MDV387" s="1185"/>
      <c r="MDW387" s="1185"/>
      <c r="MDX387" s="1185"/>
      <c r="MDY387" s="1185"/>
      <c r="MDZ387" s="1185"/>
      <c r="MEA387" s="1185"/>
      <c r="MEB387" s="1185"/>
      <c r="MEC387" s="1185"/>
      <c r="MED387" s="1185"/>
      <c r="MEE387" s="1185"/>
      <c r="MEF387" s="1185"/>
      <c r="MEG387" s="1185"/>
      <c r="MEH387" s="1185"/>
      <c r="MEI387" s="1185"/>
      <c r="MEJ387" s="1185"/>
      <c r="MEK387" s="1185"/>
      <c r="MEL387" s="1185"/>
      <c r="MEM387" s="1185"/>
      <c r="MEN387" s="1185"/>
      <c r="MEO387" s="1185"/>
      <c r="MEP387" s="1185"/>
      <c r="MEQ387" s="1185"/>
      <c r="MER387" s="1185"/>
      <c r="MES387" s="1185"/>
      <c r="MET387" s="1185"/>
      <c r="MEU387" s="1185"/>
      <c r="MEV387" s="1185"/>
      <c r="MEW387" s="1185"/>
      <c r="MEX387" s="1185"/>
      <c r="MEY387" s="1185"/>
      <c r="MEZ387" s="1185"/>
      <c r="MFA387" s="1185"/>
      <c r="MFB387" s="1185"/>
      <c r="MFC387" s="1185"/>
      <c r="MFD387" s="1185"/>
      <c r="MFE387" s="1185"/>
      <c r="MFF387" s="1185"/>
      <c r="MFG387" s="1185"/>
      <c r="MFH387" s="1185"/>
      <c r="MFI387" s="1185"/>
      <c r="MFJ387" s="1185"/>
      <c r="MFK387" s="1185"/>
      <c r="MFL387" s="1185"/>
      <c r="MFM387" s="1185"/>
      <c r="MFN387" s="1185"/>
      <c r="MFO387" s="1185"/>
      <c r="MFP387" s="1185"/>
      <c r="MFQ387" s="1185"/>
      <c r="MFR387" s="1185"/>
      <c r="MFS387" s="1185"/>
      <c r="MFT387" s="1185"/>
      <c r="MFU387" s="1185"/>
      <c r="MFV387" s="1185"/>
      <c r="MFW387" s="1185"/>
      <c r="MFX387" s="1185"/>
      <c r="MFY387" s="1185"/>
      <c r="MFZ387" s="1185"/>
      <c r="MGA387" s="1185"/>
      <c r="MGB387" s="1185"/>
      <c r="MGC387" s="1185"/>
      <c r="MGD387" s="1185"/>
      <c r="MGE387" s="1185"/>
      <c r="MGF387" s="1185"/>
      <c r="MGG387" s="1185"/>
      <c r="MGH387" s="1185"/>
      <c r="MGI387" s="1185"/>
      <c r="MGJ387" s="1185"/>
      <c r="MGK387" s="1185"/>
      <c r="MGL387" s="1185"/>
      <c r="MGM387" s="1185"/>
      <c r="MGN387" s="1185"/>
      <c r="MGO387" s="1185"/>
      <c r="MGP387" s="1185"/>
      <c r="MGQ387" s="1185"/>
      <c r="MGR387" s="1185"/>
      <c r="MGS387" s="1185"/>
      <c r="MGT387" s="1185"/>
      <c r="MGU387" s="1185"/>
      <c r="MGV387" s="1185"/>
      <c r="MGW387" s="1185"/>
      <c r="MGX387" s="1185"/>
      <c r="MGY387" s="1185"/>
      <c r="MGZ387" s="1185"/>
      <c r="MHA387" s="1185"/>
      <c r="MHB387" s="1185"/>
      <c r="MHC387" s="1185"/>
      <c r="MHD387" s="1185"/>
      <c r="MHE387" s="1185"/>
      <c r="MHF387" s="1185"/>
      <c r="MHG387" s="1185"/>
      <c r="MHH387" s="1185"/>
      <c r="MHI387" s="1185"/>
      <c r="MHJ387" s="1185"/>
      <c r="MHK387" s="1185"/>
      <c r="MHL387" s="1185"/>
      <c r="MHM387" s="1185"/>
      <c r="MHN387" s="1185"/>
      <c r="MHO387" s="1185"/>
      <c r="MHP387" s="1185"/>
      <c r="MHQ387" s="1185"/>
      <c r="MHR387" s="1185"/>
      <c r="MHS387" s="1185"/>
      <c r="MHT387" s="1185"/>
      <c r="MHU387" s="1185"/>
      <c r="MHV387" s="1185"/>
      <c r="MHW387" s="1185"/>
      <c r="MHX387" s="1185"/>
      <c r="MHY387" s="1185"/>
      <c r="MHZ387" s="1185"/>
      <c r="MIA387" s="1185"/>
      <c r="MIB387" s="1185"/>
      <c r="MIC387" s="1185"/>
      <c r="MID387" s="1185"/>
      <c r="MIE387" s="1185"/>
      <c r="MIF387" s="1185"/>
      <c r="MIG387" s="1185"/>
      <c r="MIH387" s="1185"/>
      <c r="MII387" s="1185"/>
      <c r="MIJ387" s="1185"/>
      <c r="MIK387" s="1185"/>
      <c r="MIL387" s="1185"/>
      <c r="MIM387" s="1185"/>
      <c r="MIN387" s="1185"/>
      <c r="MIO387" s="1185"/>
      <c r="MIP387" s="1185"/>
      <c r="MIQ387" s="1185"/>
      <c r="MIR387" s="1185"/>
      <c r="MIS387" s="1185"/>
      <c r="MIT387" s="1185"/>
      <c r="MIU387" s="1185"/>
      <c r="MIV387" s="1185"/>
      <c r="MIW387" s="1185"/>
      <c r="MIX387" s="1185"/>
      <c r="MIY387" s="1185"/>
      <c r="MIZ387" s="1185"/>
      <c r="MJA387" s="1185"/>
      <c r="MJB387" s="1185"/>
      <c r="MJC387" s="1185"/>
      <c r="MJD387" s="1185"/>
      <c r="MJE387" s="1185"/>
      <c r="MJF387" s="1185"/>
      <c r="MJG387" s="1185"/>
      <c r="MJH387" s="1185"/>
      <c r="MJI387" s="1185"/>
      <c r="MJJ387" s="1185"/>
      <c r="MJK387" s="1185"/>
      <c r="MJL387" s="1185"/>
      <c r="MJM387" s="1185"/>
      <c r="MJN387" s="1185"/>
      <c r="MJO387" s="1185"/>
      <c r="MJP387" s="1185"/>
      <c r="MJQ387" s="1185"/>
      <c r="MJR387" s="1185"/>
      <c r="MJS387" s="1185"/>
      <c r="MJT387" s="1185"/>
      <c r="MJU387" s="1185"/>
      <c r="MJV387" s="1185"/>
      <c r="MJW387" s="1185"/>
      <c r="MJX387" s="1185"/>
      <c r="MJY387" s="1185"/>
      <c r="MJZ387" s="1185"/>
      <c r="MKA387" s="1185"/>
      <c r="MKB387" s="1185"/>
      <c r="MKC387" s="1185"/>
      <c r="MKD387" s="1185"/>
      <c r="MKE387" s="1185"/>
      <c r="MKF387" s="1185"/>
      <c r="MKG387" s="1185"/>
      <c r="MKH387" s="1185"/>
      <c r="MKI387" s="1185"/>
      <c r="MKJ387" s="1185"/>
      <c r="MKK387" s="1185"/>
      <c r="MKL387" s="1185"/>
      <c r="MKM387" s="1185"/>
      <c r="MKN387" s="1185"/>
      <c r="MKO387" s="1185"/>
      <c r="MKP387" s="1185"/>
      <c r="MKQ387" s="1185"/>
      <c r="MKR387" s="1185"/>
      <c r="MKS387" s="1185"/>
      <c r="MKT387" s="1185"/>
      <c r="MKU387" s="1185"/>
      <c r="MKV387" s="1185"/>
      <c r="MKW387" s="1185"/>
      <c r="MKX387" s="1185"/>
      <c r="MKY387" s="1185"/>
      <c r="MKZ387" s="1185"/>
      <c r="MLA387" s="1185"/>
      <c r="MLB387" s="1185"/>
      <c r="MLC387" s="1185"/>
      <c r="MLD387" s="1185"/>
      <c r="MLE387" s="1185"/>
      <c r="MLF387" s="1185"/>
      <c r="MLG387" s="1185"/>
      <c r="MLH387" s="1185"/>
      <c r="MLI387" s="1185"/>
      <c r="MLJ387" s="1185"/>
      <c r="MLK387" s="1185"/>
      <c r="MLL387" s="1185"/>
      <c r="MLM387" s="1185"/>
      <c r="MLN387" s="1185"/>
      <c r="MLO387" s="1185"/>
      <c r="MLP387" s="1185"/>
      <c r="MLQ387" s="1185"/>
      <c r="MLR387" s="1185"/>
      <c r="MLS387" s="1185"/>
      <c r="MLT387" s="1185"/>
      <c r="MLU387" s="1185"/>
      <c r="MLV387" s="1185"/>
      <c r="MLW387" s="1185"/>
      <c r="MLX387" s="1185"/>
      <c r="MLY387" s="1185"/>
      <c r="MLZ387" s="1185"/>
      <c r="MMA387" s="1185"/>
      <c r="MMB387" s="1185"/>
      <c r="MMC387" s="1185"/>
      <c r="MMD387" s="1185"/>
      <c r="MME387" s="1185"/>
      <c r="MMF387" s="1185"/>
      <c r="MMG387" s="1185"/>
      <c r="MMH387" s="1185"/>
      <c r="MMI387" s="1185"/>
      <c r="MMJ387" s="1185"/>
      <c r="MMK387" s="1185"/>
      <c r="MML387" s="1185"/>
      <c r="MMM387" s="1185"/>
      <c r="MMN387" s="1185"/>
      <c r="MMO387" s="1185"/>
      <c r="MMP387" s="1185"/>
      <c r="MMQ387" s="1185"/>
      <c r="MMR387" s="1185"/>
      <c r="MMS387" s="1185"/>
      <c r="MMT387" s="1185"/>
      <c r="MMU387" s="1185"/>
      <c r="MMV387" s="1185"/>
      <c r="MMW387" s="1185"/>
      <c r="MMX387" s="1185"/>
      <c r="MMY387" s="1185"/>
      <c r="MMZ387" s="1185"/>
      <c r="MNA387" s="1185"/>
      <c r="MNB387" s="1185"/>
      <c r="MNC387" s="1185"/>
      <c r="MND387" s="1185"/>
      <c r="MNE387" s="1185"/>
      <c r="MNF387" s="1185"/>
      <c r="MNG387" s="1185"/>
      <c r="MNH387" s="1185"/>
      <c r="MNI387" s="1185"/>
      <c r="MNJ387" s="1185"/>
      <c r="MNK387" s="1185"/>
      <c r="MNL387" s="1185"/>
      <c r="MNM387" s="1185"/>
      <c r="MNN387" s="1185"/>
      <c r="MNO387" s="1185"/>
      <c r="MNP387" s="1185"/>
      <c r="MNQ387" s="1185"/>
      <c r="MNR387" s="1185"/>
      <c r="MNS387" s="1185"/>
      <c r="MNT387" s="1185"/>
      <c r="MNU387" s="1185"/>
      <c r="MNV387" s="1185"/>
      <c r="MNW387" s="1185"/>
      <c r="MNX387" s="1185"/>
      <c r="MNY387" s="1185"/>
      <c r="MNZ387" s="1185"/>
      <c r="MOA387" s="1185"/>
      <c r="MOB387" s="1185"/>
      <c r="MOC387" s="1185"/>
      <c r="MOD387" s="1185"/>
      <c r="MOE387" s="1185"/>
      <c r="MOF387" s="1185"/>
      <c r="MOG387" s="1185"/>
      <c r="MOH387" s="1185"/>
      <c r="MOI387" s="1185"/>
      <c r="MOJ387" s="1185"/>
      <c r="MOK387" s="1185"/>
      <c r="MOL387" s="1185"/>
      <c r="MOM387" s="1185"/>
      <c r="MON387" s="1185"/>
      <c r="MOO387" s="1185"/>
      <c r="MOP387" s="1185"/>
      <c r="MOQ387" s="1185"/>
      <c r="MOR387" s="1185"/>
      <c r="MOS387" s="1185"/>
      <c r="MOT387" s="1185"/>
      <c r="MOU387" s="1185"/>
      <c r="MOV387" s="1185"/>
      <c r="MOW387" s="1185"/>
      <c r="MOX387" s="1185"/>
      <c r="MOY387" s="1185"/>
      <c r="MOZ387" s="1185"/>
      <c r="MPA387" s="1185"/>
      <c r="MPB387" s="1185"/>
      <c r="MPC387" s="1185"/>
      <c r="MPD387" s="1185"/>
      <c r="MPE387" s="1185"/>
      <c r="MPF387" s="1185"/>
      <c r="MPG387" s="1185"/>
      <c r="MPH387" s="1185"/>
      <c r="MPI387" s="1185"/>
      <c r="MPJ387" s="1185"/>
      <c r="MPK387" s="1185"/>
      <c r="MPL387" s="1185"/>
      <c r="MPM387" s="1185"/>
      <c r="MPN387" s="1185"/>
      <c r="MPO387" s="1185"/>
      <c r="MPP387" s="1185"/>
      <c r="MPQ387" s="1185"/>
      <c r="MPR387" s="1185"/>
      <c r="MPS387" s="1185"/>
      <c r="MPT387" s="1185"/>
      <c r="MPU387" s="1185"/>
      <c r="MPV387" s="1185"/>
      <c r="MPW387" s="1185"/>
      <c r="MPX387" s="1185"/>
      <c r="MPY387" s="1185"/>
      <c r="MPZ387" s="1185"/>
      <c r="MQA387" s="1185"/>
      <c r="MQB387" s="1185"/>
      <c r="MQC387" s="1185"/>
      <c r="MQD387" s="1185"/>
      <c r="MQE387" s="1185"/>
      <c r="MQF387" s="1185"/>
      <c r="MQG387" s="1185"/>
      <c r="MQH387" s="1185"/>
      <c r="MQI387" s="1185"/>
      <c r="MQJ387" s="1185"/>
      <c r="MQK387" s="1185"/>
      <c r="MQL387" s="1185"/>
      <c r="MQM387" s="1185"/>
      <c r="MQN387" s="1185"/>
      <c r="MQO387" s="1185"/>
      <c r="MQP387" s="1185"/>
      <c r="MQQ387" s="1185"/>
      <c r="MQR387" s="1185"/>
      <c r="MQS387" s="1185"/>
      <c r="MQT387" s="1185"/>
      <c r="MQU387" s="1185"/>
      <c r="MQV387" s="1185"/>
      <c r="MQW387" s="1185"/>
      <c r="MQX387" s="1185"/>
      <c r="MQY387" s="1185"/>
      <c r="MQZ387" s="1185"/>
      <c r="MRA387" s="1185"/>
      <c r="MRB387" s="1185"/>
      <c r="MRC387" s="1185"/>
      <c r="MRD387" s="1185"/>
      <c r="MRE387" s="1185"/>
      <c r="MRF387" s="1185"/>
      <c r="MRG387" s="1185"/>
      <c r="MRH387" s="1185"/>
      <c r="MRI387" s="1185"/>
      <c r="MRJ387" s="1185"/>
      <c r="MRK387" s="1185"/>
      <c r="MRL387" s="1185"/>
      <c r="MRM387" s="1185"/>
      <c r="MRN387" s="1185"/>
      <c r="MRO387" s="1185"/>
      <c r="MRP387" s="1185"/>
      <c r="MRQ387" s="1185"/>
      <c r="MRR387" s="1185"/>
      <c r="MRS387" s="1185"/>
      <c r="MRT387" s="1185"/>
      <c r="MRU387" s="1185"/>
      <c r="MRV387" s="1185"/>
      <c r="MRW387" s="1185"/>
      <c r="MRX387" s="1185"/>
      <c r="MRY387" s="1185"/>
      <c r="MRZ387" s="1185"/>
      <c r="MSA387" s="1185"/>
      <c r="MSB387" s="1185"/>
      <c r="MSC387" s="1185"/>
      <c r="MSD387" s="1185"/>
      <c r="MSE387" s="1185"/>
      <c r="MSF387" s="1185"/>
      <c r="MSG387" s="1185"/>
      <c r="MSH387" s="1185"/>
      <c r="MSI387" s="1185"/>
      <c r="MSJ387" s="1185"/>
      <c r="MSK387" s="1185"/>
      <c r="MSL387" s="1185"/>
      <c r="MSM387" s="1185"/>
      <c r="MSN387" s="1185"/>
      <c r="MSO387" s="1185"/>
      <c r="MSP387" s="1185"/>
      <c r="MSQ387" s="1185"/>
      <c r="MSR387" s="1185"/>
      <c r="MSS387" s="1185"/>
      <c r="MST387" s="1185"/>
      <c r="MSU387" s="1185"/>
      <c r="MSV387" s="1185"/>
      <c r="MSW387" s="1185"/>
      <c r="MSX387" s="1185"/>
      <c r="MSY387" s="1185"/>
      <c r="MSZ387" s="1185"/>
      <c r="MTA387" s="1185"/>
      <c r="MTB387" s="1185"/>
      <c r="MTC387" s="1185"/>
      <c r="MTD387" s="1185"/>
      <c r="MTE387" s="1185"/>
      <c r="MTF387" s="1185"/>
      <c r="MTG387" s="1185"/>
      <c r="MTH387" s="1185"/>
      <c r="MTI387" s="1185"/>
      <c r="MTJ387" s="1185"/>
      <c r="MTK387" s="1185"/>
      <c r="MTL387" s="1185"/>
      <c r="MTM387" s="1185"/>
      <c r="MTN387" s="1185"/>
      <c r="MTO387" s="1185"/>
      <c r="MTP387" s="1185"/>
      <c r="MTQ387" s="1185"/>
      <c r="MTR387" s="1185"/>
      <c r="MTS387" s="1185"/>
      <c r="MTT387" s="1185"/>
      <c r="MTU387" s="1185"/>
      <c r="MTV387" s="1185"/>
      <c r="MTW387" s="1185"/>
      <c r="MTX387" s="1185"/>
      <c r="MTY387" s="1185"/>
      <c r="MTZ387" s="1185"/>
      <c r="MUA387" s="1185"/>
      <c r="MUB387" s="1185"/>
      <c r="MUC387" s="1185"/>
      <c r="MUD387" s="1185"/>
      <c r="MUE387" s="1185"/>
      <c r="MUF387" s="1185"/>
      <c r="MUG387" s="1185"/>
      <c r="MUH387" s="1185"/>
      <c r="MUI387" s="1185"/>
      <c r="MUJ387" s="1185"/>
      <c r="MUK387" s="1185"/>
      <c r="MUL387" s="1185"/>
      <c r="MUM387" s="1185"/>
      <c r="MUN387" s="1185"/>
      <c r="MUO387" s="1185"/>
      <c r="MUP387" s="1185"/>
      <c r="MUQ387" s="1185"/>
      <c r="MUR387" s="1185"/>
      <c r="MUS387" s="1185"/>
      <c r="MUT387" s="1185"/>
      <c r="MUU387" s="1185"/>
      <c r="MUV387" s="1185"/>
      <c r="MUW387" s="1185"/>
      <c r="MUX387" s="1185"/>
      <c r="MUY387" s="1185"/>
      <c r="MUZ387" s="1185"/>
      <c r="MVA387" s="1185"/>
      <c r="MVB387" s="1185"/>
      <c r="MVC387" s="1185"/>
      <c r="MVD387" s="1185"/>
      <c r="MVE387" s="1185"/>
      <c r="MVF387" s="1185"/>
      <c r="MVG387" s="1185"/>
      <c r="MVH387" s="1185"/>
      <c r="MVI387" s="1185"/>
      <c r="MVJ387" s="1185"/>
      <c r="MVK387" s="1185"/>
      <c r="MVL387" s="1185"/>
      <c r="MVM387" s="1185"/>
      <c r="MVN387" s="1185"/>
      <c r="MVO387" s="1185"/>
      <c r="MVP387" s="1185"/>
      <c r="MVQ387" s="1185"/>
      <c r="MVR387" s="1185"/>
      <c r="MVS387" s="1185"/>
      <c r="MVT387" s="1185"/>
      <c r="MVU387" s="1185"/>
      <c r="MVV387" s="1185"/>
      <c r="MVW387" s="1185"/>
      <c r="MVX387" s="1185"/>
      <c r="MVY387" s="1185"/>
      <c r="MVZ387" s="1185"/>
      <c r="MWA387" s="1185"/>
      <c r="MWB387" s="1185"/>
      <c r="MWC387" s="1185"/>
      <c r="MWD387" s="1185"/>
      <c r="MWE387" s="1185"/>
      <c r="MWF387" s="1185"/>
      <c r="MWG387" s="1185"/>
      <c r="MWH387" s="1185"/>
      <c r="MWI387" s="1185"/>
      <c r="MWJ387" s="1185"/>
      <c r="MWK387" s="1185"/>
      <c r="MWL387" s="1185"/>
      <c r="MWM387" s="1185"/>
      <c r="MWN387" s="1185"/>
      <c r="MWO387" s="1185"/>
      <c r="MWP387" s="1185"/>
      <c r="MWQ387" s="1185"/>
      <c r="MWR387" s="1185"/>
      <c r="MWS387" s="1185"/>
      <c r="MWT387" s="1185"/>
      <c r="MWU387" s="1185"/>
      <c r="MWV387" s="1185"/>
      <c r="MWW387" s="1185"/>
      <c r="MWX387" s="1185"/>
      <c r="MWY387" s="1185"/>
      <c r="MWZ387" s="1185"/>
      <c r="MXA387" s="1185"/>
      <c r="MXB387" s="1185"/>
      <c r="MXC387" s="1185"/>
      <c r="MXD387" s="1185"/>
      <c r="MXE387" s="1185"/>
      <c r="MXF387" s="1185"/>
      <c r="MXG387" s="1185"/>
      <c r="MXH387" s="1185"/>
      <c r="MXI387" s="1185"/>
      <c r="MXJ387" s="1185"/>
      <c r="MXK387" s="1185"/>
      <c r="MXL387" s="1185"/>
      <c r="MXM387" s="1185"/>
      <c r="MXN387" s="1185"/>
      <c r="MXO387" s="1185"/>
      <c r="MXP387" s="1185"/>
      <c r="MXQ387" s="1185"/>
      <c r="MXR387" s="1185"/>
      <c r="MXS387" s="1185"/>
      <c r="MXT387" s="1185"/>
      <c r="MXU387" s="1185"/>
      <c r="MXV387" s="1185"/>
      <c r="MXW387" s="1185"/>
      <c r="MXX387" s="1185"/>
      <c r="MXY387" s="1185"/>
      <c r="MXZ387" s="1185"/>
      <c r="MYA387" s="1185"/>
      <c r="MYB387" s="1185"/>
      <c r="MYC387" s="1185"/>
      <c r="MYD387" s="1185"/>
      <c r="MYE387" s="1185"/>
      <c r="MYF387" s="1185"/>
      <c r="MYG387" s="1185"/>
      <c r="MYH387" s="1185"/>
      <c r="MYI387" s="1185"/>
      <c r="MYJ387" s="1185"/>
      <c r="MYK387" s="1185"/>
      <c r="MYL387" s="1185"/>
      <c r="MYM387" s="1185"/>
      <c r="MYN387" s="1185"/>
      <c r="MYO387" s="1185"/>
      <c r="MYP387" s="1185"/>
      <c r="MYQ387" s="1185"/>
      <c r="MYR387" s="1185"/>
      <c r="MYS387" s="1185"/>
      <c r="MYT387" s="1185"/>
      <c r="MYU387" s="1185"/>
      <c r="MYV387" s="1185"/>
      <c r="MYW387" s="1185"/>
      <c r="MYX387" s="1185"/>
      <c r="MYY387" s="1185"/>
      <c r="MYZ387" s="1185"/>
      <c r="MZA387" s="1185"/>
      <c r="MZB387" s="1185"/>
      <c r="MZC387" s="1185"/>
      <c r="MZD387" s="1185"/>
      <c r="MZE387" s="1185"/>
      <c r="MZF387" s="1185"/>
      <c r="MZG387" s="1185"/>
      <c r="MZH387" s="1185"/>
      <c r="MZI387" s="1185"/>
      <c r="MZJ387" s="1185"/>
      <c r="MZK387" s="1185"/>
      <c r="MZL387" s="1185"/>
      <c r="MZM387" s="1185"/>
      <c r="MZN387" s="1185"/>
      <c r="MZO387" s="1185"/>
      <c r="MZP387" s="1185"/>
      <c r="MZQ387" s="1185"/>
      <c r="MZR387" s="1185"/>
      <c r="MZS387" s="1185"/>
      <c r="MZT387" s="1185"/>
      <c r="MZU387" s="1185"/>
      <c r="MZV387" s="1185"/>
      <c r="MZW387" s="1185"/>
      <c r="MZX387" s="1185"/>
      <c r="MZY387" s="1185"/>
      <c r="MZZ387" s="1185"/>
      <c r="NAA387" s="1185"/>
      <c r="NAB387" s="1185"/>
      <c r="NAC387" s="1185"/>
      <c r="NAD387" s="1185"/>
      <c r="NAE387" s="1185"/>
      <c r="NAF387" s="1185"/>
      <c r="NAG387" s="1185"/>
      <c r="NAH387" s="1185"/>
      <c r="NAI387" s="1185"/>
      <c r="NAJ387" s="1185"/>
      <c r="NAK387" s="1185"/>
      <c r="NAL387" s="1185"/>
      <c r="NAM387" s="1185"/>
      <c r="NAN387" s="1185"/>
      <c r="NAO387" s="1185"/>
      <c r="NAP387" s="1185"/>
      <c r="NAQ387" s="1185"/>
      <c r="NAR387" s="1185"/>
      <c r="NAS387" s="1185"/>
      <c r="NAT387" s="1185"/>
      <c r="NAU387" s="1185"/>
      <c r="NAV387" s="1185"/>
      <c r="NAW387" s="1185"/>
      <c r="NAX387" s="1185"/>
      <c r="NAY387" s="1185"/>
      <c r="NAZ387" s="1185"/>
      <c r="NBA387" s="1185"/>
      <c r="NBB387" s="1185"/>
      <c r="NBC387" s="1185"/>
      <c r="NBD387" s="1185"/>
      <c r="NBE387" s="1185"/>
      <c r="NBF387" s="1185"/>
      <c r="NBG387" s="1185"/>
      <c r="NBH387" s="1185"/>
      <c r="NBI387" s="1185"/>
      <c r="NBJ387" s="1185"/>
      <c r="NBK387" s="1185"/>
      <c r="NBL387" s="1185"/>
      <c r="NBM387" s="1185"/>
      <c r="NBN387" s="1185"/>
      <c r="NBO387" s="1185"/>
      <c r="NBP387" s="1185"/>
      <c r="NBQ387" s="1185"/>
      <c r="NBR387" s="1185"/>
      <c r="NBS387" s="1185"/>
      <c r="NBT387" s="1185"/>
      <c r="NBU387" s="1185"/>
      <c r="NBV387" s="1185"/>
      <c r="NBW387" s="1185"/>
      <c r="NBX387" s="1185"/>
      <c r="NBY387" s="1185"/>
      <c r="NBZ387" s="1185"/>
      <c r="NCA387" s="1185"/>
      <c r="NCB387" s="1185"/>
      <c r="NCC387" s="1185"/>
      <c r="NCD387" s="1185"/>
      <c r="NCE387" s="1185"/>
      <c r="NCF387" s="1185"/>
      <c r="NCG387" s="1185"/>
      <c r="NCH387" s="1185"/>
      <c r="NCI387" s="1185"/>
      <c r="NCJ387" s="1185"/>
      <c r="NCK387" s="1185"/>
      <c r="NCL387" s="1185"/>
      <c r="NCM387" s="1185"/>
      <c r="NCN387" s="1185"/>
      <c r="NCO387" s="1185"/>
      <c r="NCP387" s="1185"/>
      <c r="NCQ387" s="1185"/>
      <c r="NCR387" s="1185"/>
      <c r="NCS387" s="1185"/>
      <c r="NCT387" s="1185"/>
      <c r="NCU387" s="1185"/>
      <c r="NCV387" s="1185"/>
      <c r="NCW387" s="1185"/>
      <c r="NCX387" s="1185"/>
      <c r="NCY387" s="1185"/>
      <c r="NCZ387" s="1185"/>
      <c r="NDA387" s="1185"/>
      <c r="NDB387" s="1185"/>
      <c r="NDC387" s="1185"/>
      <c r="NDD387" s="1185"/>
      <c r="NDE387" s="1185"/>
      <c r="NDF387" s="1185"/>
      <c r="NDG387" s="1185"/>
      <c r="NDH387" s="1185"/>
      <c r="NDI387" s="1185"/>
      <c r="NDJ387" s="1185"/>
      <c r="NDK387" s="1185"/>
      <c r="NDL387" s="1185"/>
      <c r="NDM387" s="1185"/>
      <c r="NDN387" s="1185"/>
      <c r="NDO387" s="1185"/>
      <c r="NDP387" s="1185"/>
      <c r="NDQ387" s="1185"/>
      <c r="NDR387" s="1185"/>
      <c r="NDS387" s="1185"/>
      <c r="NDT387" s="1185"/>
      <c r="NDU387" s="1185"/>
      <c r="NDV387" s="1185"/>
      <c r="NDW387" s="1185"/>
      <c r="NDX387" s="1185"/>
      <c r="NDY387" s="1185"/>
      <c r="NDZ387" s="1185"/>
      <c r="NEA387" s="1185"/>
      <c r="NEB387" s="1185"/>
      <c r="NEC387" s="1185"/>
      <c r="NED387" s="1185"/>
      <c r="NEE387" s="1185"/>
      <c r="NEF387" s="1185"/>
      <c r="NEG387" s="1185"/>
      <c r="NEH387" s="1185"/>
      <c r="NEI387" s="1185"/>
      <c r="NEJ387" s="1185"/>
      <c r="NEK387" s="1185"/>
      <c r="NEL387" s="1185"/>
      <c r="NEM387" s="1185"/>
      <c r="NEN387" s="1185"/>
      <c r="NEO387" s="1185"/>
      <c r="NEP387" s="1185"/>
      <c r="NEQ387" s="1185"/>
      <c r="NER387" s="1185"/>
      <c r="NES387" s="1185"/>
      <c r="NET387" s="1185"/>
      <c r="NEU387" s="1185"/>
      <c r="NEV387" s="1185"/>
      <c r="NEW387" s="1185"/>
      <c r="NEX387" s="1185"/>
      <c r="NEY387" s="1185"/>
      <c r="NEZ387" s="1185"/>
      <c r="NFA387" s="1185"/>
      <c r="NFB387" s="1185"/>
      <c r="NFC387" s="1185"/>
      <c r="NFD387" s="1185"/>
      <c r="NFE387" s="1185"/>
      <c r="NFF387" s="1185"/>
      <c r="NFG387" s="1185"/>
      <c r="NFH387" s="1185"/>
      <c r="NFI387" s="1185"/>
      <c r="NFJ387" s="1185"/>
      <c r="NFK387" s="1185"/>
      <c r="NFL387" s="1185"/>
      <c r="NFM387" s="1185"/>
      <c r="NFN387" s="1185"/>
      <c r="NFO387" s="1185"/>
      <c r="NFP387" s="1185"/>
      <c r="NFQ387" s="1185"/>
      <c r="NFR387" s="1185"/>
      <c r="NFS387" s="1185"/>
      <c r="NFT387" s="1185"/>
      <c r="NFU387" s="1185"/>
      <c r="NFV387" s="1185"/>
      <c r="NFW387" s="1185"/>
      <c r="NFX387" s="1185"/>
      <c r="NFY387" s="1185"/>
      <c r="NFZ387" s="1185"/>
      <c r="NGA387" s="1185"/>
      <c r="NGB387" s="1185"/>
      <c r="NGC387" s="1185"/>
      <c r="NGD387" s="1185"/>
      <c r="NGE387" s="1185"/>
      <c r="NGF387" s="1185"/>
      <c r="NGG387" s="1185"/>
      <c r="NGH387" s="1185"/>
      <c r="NGI387" s="1185"/>
      <c r="NGJ387" s="1185"/>
      <c r="NGK387" s="1185"/>
      <c r="NGL387" s="1185"/>
      <c r="NGM387" s="1185"/>
      <c r="NGN387" s="1185"/>
      <c r="NGO387" s="1185"/>
      <c r="NGP387" s="1185"/>
      <c r="NGQ387" s="1185"/>
      <c r="NGR387" s="1185"/>
      <c r="NGS387" s="1185"/>
      <c r="NGT387" s="1185"/>
      <c r="NGU387" s="1185"/>
      <c r="NGV387" s="1185"/>
      <c r="NGW387" s="1185"/>
      <c r="NGX387" s="1185"/>
      <c r="NGY387" s="1185"/>
      <c r="NGZ387" s="1185"/>
      <c r="NHA387" s="1185"/>
      <c r="NHB387" s="1185"/>
      <c r="NHC387" s="1185"/>
      <c r="NHD387" s="1185"/>
      <c r="NHE387" s="1185"/>
      <c r="NHF387" s="1185"/>
      <c r="NHG387" s="1185"/>
      <c r="NHH387" s="1185"/>
      <c r="NHI387" s="1185"/>
      <c r="NHJ387" s="1185"/>
      <c r="NHK387" s="1185"/>
      <c r="NHL387" s="1185"/>
      <c r="NHM387" s="1185"/>
      <c r="NHN387" s="1185"/>
      <c r="NHO387" s="1185"/>
      <c r="NHP387" s="1185"/>
      <c r="NHQ387" s="1185"/>
      <c r="NHR387" s="1185"/>
      <c r="NHS387" s="1185"/>
      <c r="NHT387" s="1185"/>
      <c r="NHU387" s="1185"/>
      <c r="NHV387" s="1185"/>
      <c r="NHW387" s="1185"/>
      <c r="NHX387" s="1185"/>
      <c r="NHY387" s="1185"/>
      <c r="NHZ387" s="1185"/>
      <c r="NIA387" s="1185"/>
      <c r="NIB387" s="1185"/>
      <c r="NIC387" s="1185"/>
      <c r="NID387" s="1185"/>
      <c r="NIE387" s="1185"/>
      <c r="NIF387" s="1185"/>
      <c r="NIG387" s="1185"/>
      <c r="NIH387" s="1185"/>
      <c r="NII387" s="1185"/>
      <c r="NIJ387" s="1185"/>
      <c r="NIK387" s="1185"/>
      <c r="NIL387" s="1185"/>
      <c r="NIM387" s="1185"/>
      <c r="NIN387" s="1185"/>
      <c r="NIO387" s="1185"/>
      <c r="NIP387" s="1185"/>
      <c r="NIQ387" s="1185"/>
      <c r="NIR387" s="1185"/>
      <c r="NIS387" s="1185"/>
      <c r="NIT387" s="1185"/>
      <c r="NIU387" s="1185"/>
      <c r="NIV387" s="1185"/>
      <c r="NIW387" s="1185"/>
      <c r="NIX387" s="1185"/>
      <c r="NIY387" s="1185"/>
      <c r="NIZ387" s="1185"/>
      <c r="NJA387" s="1185"/>
      <c r="NJB387" s="1185"/>
      <c r="NJC387" s="1185"/>
      <c r="NJD387" s="1185"/>
      <c r="NJE387" s="1185"/>
      <c r="NJF387" s="1185"/>
      <c r="NJG387" s="1185"/>
      <c r="NJH387" s="1185"/>
      <c r="NJI387" s="1185"/>
      <c r="NJJ387" s="1185"/>
      <c r="NJK387" s="1185"/>
      <c r="NJL387" s="1185"/>
      <c r="NJM387" s="1185"/>
      <c r="NJN387" s="1185"/>
      <c r="NJO387" s="1185"/>
      <c r="NJP387" s="1185"/>
      <c r="NJQ387" s="1185"/>
      <c r="NJR387" s="1185"/>
      <c r="NJS387" s="1185"/>
      <c r="NJT387" s="1185"/>
      <c r="NJU387" s="1185"/>
      <c r="NJV387" s="1185"/>
      <c r="NJW387" s="1185"/>
      <c r="NJX387" s="1185"/>
      <c r="NJY387" s="1185"/>
      <c r="NJZ387" s="1185"/>
      <c r="NKA387" s="1185"/>
      <c r="NKB387" s="1185"/>
      <c r="NKC387" s="1185"/>
      <c r="NKD387" s="1185"/>
      <c r="NKE387" s="1185"/>
      <c r="NKF387" s="1185"/>
      <c r="NKG387" s="1185"/>
      <c r="NKH387" s="1185"/>
      <c r="NKI387" s="1185"/>
      <c r="NKJ387" s="1185"/>
      <c r="NKK387" s="1185"/>
      <c r="NKL387" s="1185"/>
      <c r="NKM387" s="1185"/>
      <c r="NKN387" s="1185"/>
      <c r="NKO387" s="1185"/>
      <c r="NKP387" s="1185"/>
      <c r="NKQ387" s="1185"/>
      <c r="NKR387" s="1185"/>
      <c r="NKS387" s="1185"/>
      <c r="NKT387" s="1185"/>
      <c r="NKU387" s="1185"/>
      <c r="NKV387" s="1185"/>
      <c r="NKW387" s="1185"/>
      <c r="NKX387" s="1185"/>
      <c r="NKY387" s="1185"/>
      <c r="NKZ387" s="1185"/>
      <c r="NLA387" s="1185"/>
      <c r="NLB387" s="1185"/>
      <c r="NLC387" s="1185"/>
      <c r="NLD387" s="1185"/>
      <c r="NLE387" s="1185"/>
      <c r="NLF387" s="1185"/>
      <c r="NLG387" s="1185"/>
      <c r="NLH387" s="1185"/>
      <c r="NLI387" s="1185"/>
      <c r="NLJ387" s="1185"/>
      <c r="NLK387" s="1185"/>
      <c r="NLL387" s="1185"/>
      <c r="NLM387" s="1185"/>
      <c r="NLN387" s="1185"/>
      <c r="NLO387" s="1185"/>
      <c r="NLP387" s="1185"/>
      <c r="NLQ387" s="1185"/>
      <c r="NLR387" s="1185"/>
      <c r="NLS387" s="1185"/>
      <c r="NLT387" s="1185"/>
      <c r="NLU387" s="1185"/>
      <c r="NLV387" s="1185"/>
      <c r="NLW387" s="1185"/>
      <c r="NLX387" s="1185"/>
      <c r="NLY387" s="1185"/>
      <c r="NLZ387" s="1185"/>
      <c r="NMA387" s="1185"/>
      <c r="NMB387" s="1185"/>
      <c r="NMC387" s="1185"/>
      <c r="NMD387" s="1185"/>
      <c r="NME387" s="1185"/>
      <c r="NMF387" s="1185"/>
      <c r="NMG387" s="1185"/>
      <c r="NMH387" s="1185"/>
      <c r="NMI387" s="1185"/>
      <c r="NMJ387" s="1185"/>
      <c r="NMK387" s="1185"/>
      <c r="NML387" s="1185"/>
      <c r="NMM387" s="1185"/>
      <c r="NMN387" s="1185"/>
      <c r="NMO387" s="1185"/>
      <c r="NMP387" s="1185"/>
      <c r="NMQ387" s="1185"/>
      <c r="NMR387" s="1185"/>
      <c r="NMS387" s="1185"/>
      <c r="NMT387" s="1185"/>
      <c r="NMU387" s="1185"/>
      <c r="NMV387" s="1185"/>
      <c r="NMW387" s="1185"/>
      <c r="NMX387" s="1185"/>
      <c r="NMY387" s="1185"/>
      <c r="NMZ387" s="1185"/>
      <c r="NNA387" s="1185"/>
      <c r="NNB387" s="1185"/>
      <c r="NNC387" s="1185"/>
      <c r="NND387" s="1185"/>
      <c r="NNE387" s="1185"/>
      <c r="NNF387" s="1185"/>
      <c r="NNG387" s="1185"/>
      <c r="NNH387" s="1185"/>
      <c r="NNI387" s="1185"/>
      <c r="NNJ387" s="1185"/>
      <c r="NNK387" s="1185"/>
      <c r="NNL387" s="1185"/>
      <c r="NNM387" s="1185"/>
      <c r="NNN387" s="1185"/>
      <c r="NNO387" s="1185"/>
      <c r="NNP387" s="1185"/>
      <c r="NNQ387" s="1185"/>
      <c r="NNR387" s="1185"/>
      <c r="NNS387" s="1185"/>
      <c r="NNT387" s="1185"/>
      <c r="NNU387" s="1185"/>
      <c r="NNV387" s="1185"/>
      <c r="NNW387" s="1185"/>
      <c r="NNX387" s="1185"/>
      <c r="NNY387" s="1185"/>
      <c r="NNZ387" s="1185"/>
      <c r="NOA387" s="1185"/>
      <c r="NOB387" s="1185"/>
      <c r="NOC387" s="1185"/>
      <c r="NOD387" s="1185"/>
      <c r="NOE387" s="1185"/>
      <c r="NOF387" s="1185"/>
      <c r="NOG387" s="1185"/>
      <c r="NOH387" s="1185"/>
      <c r="NOI387" s="1185"/>
      <c r="NOJ387" s="1185"/>
      <c r="NOK387" s="1185"/>
      <c r="NOL387" s="1185"/>
      <c r="NOM387" s="1185"/>
      <c r="NON387" s="1185"/>
      <c r="NOO387" s="1185"/>
      <c r="NOP387" s="1185"/>
      <c r="NOQ387" s="1185"/>
      <c r="NOR387" s="1185"/>
      <c r="NOS387" s="1185"/>
      <c r="NOT387" s="1185"/>
      <c r="NOU387" s="1185"/>
      <c r="NOV387" s="1185"/>
      <c r="NOW387" s="1185"/>
      <c r="NOX387" s="1185"/>
      <c r="NOY387" s="1185"/>
      <c r="NOZ387" s="1185"/>
      <c r="NPA387" s="1185"/>
      <c r="NPB387" s="1185"/>
      <c r="NPC387" s="1185"/>
      <c r="NPD387" s="1185"/>
      <c r="NPE387" s="1185"/>
      <c r="NPF387" s="1185"/>
      <c r="NPG387" s="1185"/>
      <c r="NPH387" s="1185"/>
      <c r="NPI387" s="1185"/>
      <c r="NPJ387" s="1185"/>
      <c r="NPK387" s="1185"/>
      <c r="NPL387" s="1185"/>
      <c r="NPM387" s="1185"/>
      <c r="NPN387" s="1185"/>
      <c r="NPO387" s="1185"/>
      <c r="NPP387" s="1185"/>
      <c r="NPQ387" s="1185"/>
      <c r="NPR387" s="1185"/>
      <c r="NPS387" s="1185"/>
      <c r="NPT387" s="1185"/>
      <c r="NPU387" s="1185"/>
      <c r="NPV387" s="1185"/>
      <c r="NPW387" s="1185"/>
      <c r="NPX387" s="1185"/>
      <c r="NPY387" s="1185"/>
      <c r="NPZ387" s="1185"/>
      <c r="NQA387" s="1185"/>
      <c r="NQB387" s="1185"/>
      <c r="NQC387" s="1185"/>
      <c r="NQD387" s="1185"/>
      <c r="NQE387" s="1185"/>
      <c r="NQF387" s="1185"/>
      <c r="NQG387" s="1185"/>
      <c r="NQH387" s="1185"/>
      <c r="NQI387" s="1185"/>
      <c r="NQJ387" s="1185"/>
      <c r="NQK387" s="1185"/>
      <c r="NQL387" s="1185"/>
      <c r="NQM387" s="1185"/>
      <c r="NQN387" s="1185"/>
      <c r="NQO387" s="1185"/>
      <c r="NQP387" s="1185"/>
      <c r="NQQ387" s="1185"/>
      <c r="NQR387" s="1185"/>
      <c r="NQS387" s="1185"/>
      <c r="NQT387" s="1185"/>
      <c r="NQU387" s="1185"/>
      <c r="NQV387" s="1185"/>
      <c r="NQW387" s="1185"/>
      <c r="NQX387" s="1185"/>
      <c r="NQY387" s="1185"/>
      <c r="NQZ387" s="1185"/>
      <c r="NRA387" s="1185"/>
      <c r="NRB387" s="1185"/>
      <c r="NRC387" s="1185"/>
      <c r="NRD387" s="1185"/>
      <c r="NRE387" s="1185"/>
      <c r="NRF387" s="1185"/>
      <c r="NRG387" s="1185"/>
      <c r="NRH387" s="1185"/>
      <c r="NRI387" s="1185"/>
      <c r="NRJ387" s="1185"/>
      <c r="NRK387" s="1185"/>
      <c r="NRL387" s="1185"/>
      <c r="NRM387" s="1185"/>
      <c r="NRN387" s="1185"/>
      <c r="NRO387" s="1185"/>
      <c r="NRP387" s="1185"/>
      <c r="NRQ387" s="1185"/>
      <c r="NRR387" s="1185"/>
      <c r="NRS387" s="1185"/>
      <c r="NRT387" s="1185"/>
      <c r="NRU387" s="1185"/>
      <c r="NRV387" s="1185"/>
      <c r="NRW387" s="1185"/>
      <c r="NRX387" s="1185"/>
      <c r="NRY387" s="1185"/>
      <c r="NRZ387" s="1185"/>
      <c r="NSA387" s="1185"/>
      <c r="NSB387" s="1185"/>
      <c r="NSC387" s="1185"/>
      <c r="NSD387" s="1185"/>
      <c r="NSE387" s="1185"/>
      <c r="NSF387" s="1185"/>
      <c r="NSG387" s="1185"/>
      <c r="NSH387" s="1185"/>
      <c r="NSI387" s="1185"/>
      <c r="NSJ387" s="1185"/>
      <c r="NSK387" s="1185"/>
      <c r="NSL387" s="1185"/>
      <c r="NSM387" s="1185"/>
      <c r="NSN387" s="1185"/>
      <c r="NSO387" s="1185"/>
      <c r="NSP387" s="1185"/>
      <c r="NSQ387" s="1185"/>
      <c r="NSR387" s="1185"/>
      <c r="NSS387" s="1185"/>
      <c r="NST387" s="1185"/>
      <c r="NSU387" s="1185"/>
      <c r="NSV387" s="1185"/>
      <c r="NSW387" s="1185"/>
      <c r="NSX387" s="1185"/>
      <c r="NSY387" s="1185"/>
      <c r="NSZ387" s="1185"/>
      <c r="NTA387" s="1185"/>
      <c r="NTB387" s="1185"/>
      <c r="NTC387" s="1185"/>
      <c r="NTD387" s="1185"/>
      <c r="NTE387" s="1185"/>
      <c r="NTF387" s="1185"/>
      <c r="NTG387" s="1185"/>
      <c r="NTH387" s="1185"/>
      <c r="NTI387" s="1185"/>
      <c r="NTJ387" s="1185"/>
      <c r="NTK387" s="1185"/>
      <c r="NTL387" s="1185"/>
      <c r="NTM387" s="1185"/>
      <c r="NTN387" s="1185"/>
      <c r="NTO387" s="1185"/>
      <c r="NTP387" s="1185"/>
      <c r="NTQ387" s="1185"/>
      <c r="NTR387" s="1185"/>
      <c r="NTS387" s="1185"/>
      <c r="NTT387" s="1185"/>
      <c r="NTU387" s="1185"/>
      <c r="NTV387" s="1185"/>
      <c r="NTW387" s="1185"/>
      <c r="NTX387" s="1185"/>
      <c r="NTY387" s="1185"/>
      <c r="NTZ387" s="1185"/>
      <c r="NUA387" s="1185"/>
      <c r="NUB387" s="1185"/>
      <c r="NUC387" s="1185"/>
      <c r="NUD387" s="1185"/>
      <c r="NUE387" s="1185"/>
      <c r="NUF387" s="1185"/>
      <c r="NUG387" s="1185"/>
      <c r="NUH387" s="1185"/>
      <c r="NUI387" s="1185"/>
      <c r="NUJ387" s="1185"/>
      <c r="NUK387" s="1185"/>
      <c r="NUL387" s="1185"/>
      <c r="NUM387" s="1185"/>
      <c r="NUN387" s="1185"/>
      <c r="NUO387" s="1185"/>
      <c r="NUP387" s="1185"/>
      <c r="NUQ387" s="1185"/>
      <c r="NUR387" s="1185"/>
      <c r="NUS387" s="1185"/>
      <c r="NUT387" s="1185"/>
      <c r="NUU387" s="1185"/>
      <c r="NUV387" s="1185"/>
      <c r="NUW387" s="1185"/>
      <c r="NUX387" s="1185"/>
      <c r="NUY387" s="1185"/>
      <c r="NUZ387" s="1185"/>
      <c r="NVA387" s="1185"/>
      <c r="NVB387" s="1185"/>
      <c r="NVC387" s="1185"/>
      <c r="NVD387" s="1185"/>
      <c r="NVE387" s="1185"/>
      <c r="NVF387" s="1185"/>
      <c r="NVG387" s="1185"/>
      <c r="NVH387" s="1185"/>
      <c r="NVI387" s="1185"/>
      <c r="NVJ387" s="1185"/>
      <c r="NVK387" s="1185"/>
      <c r="NVL387" s="1185"/>
      <c r="NVM387" s="1185"/>
      <c r="NVN387" s="1185"/>
      <c r="NVO387" s="1185"/>
      <c r="NVP387" s="1185"/>
      <c r="NVQ387" s="1185"/>
      <c r="NVR387" s="1185"/>
      <c r="NVS387" s="1185"/>
      <c r="NVT387" s="1185"/>
      <c r="NVU387" s="1185"/>
      <c r="NVV387" s="1185"/>
      <c r="NVW387" s="1185"/>
      <c r="NVX387" s="1185"/>
      <c r="NVY387" s="1185"/>
      <c r="NVZ387" s="1185"/>
      <c r="NWA387" s="1185"/>
      <c r="NWB387" s="1185"/>
      <c r="NWC387" s="1185"/>
      <c r="NWD387" s="1185"/>
      <c r="NWE387" s="1185"/>
      <c r="NWF387" s="1185"/>
      <c r="NWG387" s="1185"/>
      <c r="NWH387" s="1185"/>
      <c r="NWI387" s="1185"/>
      <c r="NWJ387" s="1185"/>
      <c r="NWK387" s="1185"/>
      <c r="NWL387" s="1185"/>
      <c r="NWM387" s="1185"/>
      <c r="NWN387" s="1185"/>
      <c r="NWO387" s="1185"/>
      <c r="NWP387" s="1185"/>
      <c r="NWQ387" s="1185"/>
      <c r="NWR387" s="1185"/>
      <c r="NWS387" s="1185"/>
      <c r="NWT387" s="1185"/>
      <c r="NWU387" s="1185"/>
      <c r="NWV387" s="1185"/>
      <c r="NWW387" s="1185"/>
      <c r="NWX387" s="1185"/>
      <c r="NWY387" s="1185"/>
      <c r="NWZ387" s="1185"/>
      <c r="NXA387" s="1185"/>
      <c r="NXB387" s="1185"/>
      <c r="NXC387" s="1185"/>
      <c r="NXD387" s="1185"/>
      <c r="NXE387" s="1185"/>
      <c r="NXF387" s="1185"/>
      <c r="NXG387" s="1185"/>
      <c r="NXH387" s="1185"/>
      <c r="NXI387" s="1185"/>
      <c r="NXJ387" s="1185"/>
      <c r="NXK387" s="1185"/>
      <c r="NXL387" s="1185"/>
      <c r="NXM387" s="1185"/>
      <c r="NXN387" s="1185"/>
      <c r="NXO387" s="1185"/>
      <c r="NXP387" s="1185"/>
      <c r="NXQ387" s="1185"/>
      <c r="NXR387" s="1185"/>
      <c r="NXS387" s="1185"/>
      <c r="NXT387" s="1185"/>
      <c r="NXU387" s="1185"/>
      <c r="NXV387" s="1185"/>
      <c r="NXW387" s="1185"/>
      <c r="NXX387" s="1185"/>
      <c r="NXY387" s="1185"/>
      <c r="NXZ387" s="1185"/>
      <c r="NYA387" s="1185"/>
      <c r="NYB387" s="1185"/>
      <c r="NYC387" s="1185"/>
      <c r="NYD387" s="1185"/>
      <c r="NYE387" s="1185"/>
      <c r="NYF387" s="1185"/>
      <c r="NYG387" s="1185"/>
      <c r="NYH387" s="1185"/>
      <c r="NYI387" s="1185"/>
      <c r="NYJ387" s="1185"/>
      <c r="NYK387" s="1185"/>
      <c r="NYL387" s="1185"/>
      <c r="NYM387" s="1185"/>
      <c r="NYN387" s="1185"/>
      <c r="NYO387" s="1185"/>
      <c r="NYP387" s="1185"/>
      <c r="NYQ387" s="1185"/>
      <c r="NYR387" s="1185"/>
      <c r="NYS387" s="1185"/>
      <c r="NYT387" s="1185"/>
      <c r="NYU387" s="1185"/>
      <c r="NYV387" s="1185"/>
      <c r="NYW387" s="1185"/>
      <c r="NYX387" s="1185"/>
      <c r="NYY387" s="1185"/>
      <c r="NYZ387" s="1185"/>
      <c r="NZA387" s="1185"/>
      <c r="NZB387" s="1185"/>
      <c r="NZC387" s="1185"/>
      <c r="NZD387" s="1185"/>
      <c r="NZE387" s="1185"/>
      <c r="NZF387" s="1185"/>
      <c r="NZG387" s="1185"/>
      <c r="NZH387" s="1185"/>
      <c r="NZI387" s="1185"/>
      <c r="NZJ387" s="1185"/>
      <c r="NZK387" s="1185"/>
      <c r="NZL387" s="1185"/>
      <c r="NZM387" s="1185"/>
      <c r="NZN387" s="1185"/>
      <c r="NZO387" s="1185"/>
      <c r="NZP387" s="1185"/>
      <c r="NZQ387" s="1185"/>
      <c r="NZR387" s="1185"/>
      <c r="NZS387" s="1185"/>
      <c r="NZT387" s="1185"/>
      <c r="NZU387" s="1185"/>
      <c r="NZV387" s="1185"/>
      <c r="NZW387" s="1185"/>
      <c r="NZX387" s="1185"/>
      <c r="NZY387" s="1185"/>
      <c r="NZZ387" s="1185"/>
      <c r="OAA387" s="1185"/>
      <c r="OAB387" s="1185"/>
      <c r="OAC387" s="1185"/>
      <c r="OAD387" s="1185"/>
      <c r="OAE387" s="1185"/>
      <c r="OAF387" s="1185"/>
      <c r="OAG387" s="1185"/>
      <c r="OAH387" s="1185"/>
      <c r="OAI387" s="1185"/>
      <c r="OAJ387" s="1185"/>
      <c r="OAK387" s="1185"/>
      <c r="OAL387" s="1185"/>
      <c r="OAM387" s="1185"/>
      <c r="OAN387" s="1185"/>
      <c r="OAO387" s="1185"/>
      <c r="OAP387" s="1185"/>
      <c r="OAQ387" s="1185"/>
      <c r="OAR387" s="1185"/>
      <c r="OAS387" s="1185"/>
      <c r="OAT387" s="1185"/>
      <c r="OAU387" s="1185"/>
      <c r="OAV387" s="1185"/>
      <c r="OAW387" s="1185"/>
      <c r="OAX387" s="1185"/>
      <c r="OAY387" s="1185"/>
      <c r="OAZ387" s="1185"/>
      <c r="OBA387" s="1185"/>
      <c r="OBB387" s="1185"/>
      <c r="OBC387" s="1185"/>
      <c r="OBD387" s="1185"/>
      <c r="OBE387" s="1185"/>
      <c r="OBF387" s="1185"/>
      <c r="OBG387" s="1185"/>
      <c r="OBH387" s="1185"/>
      <c r="OBI387" s="1185"/>
      <c r="OBJ387" s="1185"/>
      <c r="OBK387" s="1185"/>
      <c r="OBL387" s="1185"/>
      <c r="OBM387" s="1185"/>
      <c r="OBN387" s="1185"/>
      <c r="OBO387" s="1185"/>
      <c r="OBP387" s="1185"/>
      <c r="OBQ387" s="1185"/>
      <c r="OBR387" s="1185"/>
      <c r="OBS387" s="1185"/>
      <c r="OBT387" s="1185"/>
      <c r="OBU387" s="1185"/>
      <c r="OBV387" s="1185"/>
      <c r="OBW387" s="1185"/>
      <c r="OBX387" s="1185"/>
      <c r="OBY387" s="1185"/>
      <c r="OBZ387" s="1185"/>
      <c r="OCA387" s="1185"/>
      <c r="OCB387" s="1185"/>
      <c r="OCC387" s="1185"/>
      <c r="OCD387" s="1185"/>
      <c r="OCE387" s="1185"/>
      <c r="OCF387" s="1185"/>
      <c r="OCG387" s="1185"/>
      <c r="OCH387" s="1185"/>
      <c r="OCI387" s="1185"/>
      <c r="OCJ387" s="1185"/>
      <c r="OCK387" s="1185"/>
      <c r="OCL387" s="1185"/>
      <c r="OCM387" s="1185"/>
      <c r="OCN387" s="1185"/>
      <c r="OCO387" s="1185"/>
      <c r="OCP387" s="1185"/>
      <c r="OCQ387" s="1185"/>
      <c r="OCR387" s="1185"/>
      <c r="OCS387" s="1185"/>
      <c r="OCT387" s="1185"/>
      <c r="OCU387" s="1185"/>
      <c r="OCV387" s="1185"/>
      <c r="OCW387" s="1185"/>
      <c r="OCX387" s="1185"/>
      <c r="OCY387" s="1185"/>
      <c r="OCZ387" s="1185"/>
      <c r="ODA387" s="1185"/>
      <c r="ODB387" s="1185"/>
      <c r="ODC387" s="1185"/>
      <c r="ODD387" s="1185"/>
      <c r="ODE387" s="1185"/>
      <c r="ODF387" s="1185"/>
      <c r="ODG387" s="1185"/>
      <c r="ODH387" s="1185"/>
      <c r="ODI387" s="1185"/>
      <c r="ODJ387" s="1185"/>
      <c r="ODK387" s="1185"/>
      <c r="ODL387" s="1185"/>
      <c r="ODM387" s="1185"/>
      <c r="ODN387" s="1185"/>
      <c r="ODO387" s="1185"/>
      <c r="ODP387" s="1185"/>
      <c r="ODQ387" s="1185"/>
      <c r="ODR387" s="1185"/>
      <c r="ODS387" s="1185"/>
      <c r="ODT387" s="1185"/>
      <c r="ODU387" s="1185"/>
      <c r="ODV387" s="1185"/>
      <c r="ODW387" s="1185"/>
      <c r="ODX387" s="1185"/>
      <c r="ODY387" s="1185"/>
      <c r="ODZ387" s="1185"/>
      <c r="OEA387" s="1185"/>
      <c r="OEB387" s="1185"/>
      <c r="OEC387" s="1185"/>
      <c r="OED387" s="1185"/>
      <c r="OEE387" s="1185"/>
      <c r="OEF387" s="1185"/>
      <c r="OEG387" s="1185"/>
      <c r="OEH387" s="1185"/>
      <c r="OEI387" s="1185"/>
      <c r="OEJ387" s="1185"/>
      <c r="OEK387" s="1185"/>
      <c r="OEL387" s="1185"/>
      <c r="OEM387" s="1185"/>
      <c r="OEN387" s="1185"/>
      <c r="OEO387" s="1185"/>
      <c r="OEP387" s="1185"/>
      <c r="OEQ387" s="1185"/>
      <c r="OER387" s="1185"/>
      <c r="OES387" s="1185"/>
      <c r="OET387" s="1185"/>
      <c r="OEU387" s="1185"/>
      <c r="OEV387" s="1185"/>
      <c r="OEW387" s="1185"/>
      <c r="OEX387" s="1185"/>
      <c r="OEY387" s="1185"/>
      <c r="OEZ387" s="1185"/>
      <c r="OFA387" s="1185"/>
      <c r="OFB387" s="1185"/>
      <c r="OFC387" s="1185"/>
      <c r="OFD387" s="1185"/>
      <c r="OFE387" s="1185"/>
      <c r="OFF387" s="1185"/>
      <c r="OFG387" s="1185"/>
      <c r="OFH387" s="1185"/>
      <c r="OFI387" s="1185"/>
      <c r="OFJ387" s="1185"/>
      <c r="OFK387" s="1185"/>
      <c r="OFL387" s="1185"/>
      <c r="OFM387" s="1185"/>
      <c r="OFN387" s="1185"/>
      <c r="OFO387" s="1185"/>
      <c r="OFP387" s="1185"/>
      <c r="OFQ387" s="1185"/>
      <c r="OFR387" s="1185"/>
      <c r="OFS387" s="1185"/>
      <c r="OFT387" s="1185"/>
      <c r="OFU387" s="1185"/>
      <c r="OFV387" s="1185"/>
      <c r="OFW387" s="1185"/>
      <c r="OFX387" s="1185"/>
      <c r="OFY387" s="1185"/>
      <c r="OFZ387" s="1185"/>
      <c r="OGA387" s="1185"/>
      <c r="OGB387" s="1185"/>
      <c r="OGC387" s="1185"/>
      <c r="OGD387" s="1185"/>
      <c r="OGE387" s="1185"/>
      <c r="OGF387" s="1185"/>
      <c r="OGG387" s="1185"/>
      <c r="OGH387" s="1185"/>
      <c r="OGI387" s="1185"/>
      <c r="OGJ387" s="1185"/>
      <c r="OGK387" s="1185"/>
      <c r="OGL387" s="1185"/>
      <c r="OGM387" s="1185"/>
      <c r="OGN387" s="1185"/>
      <c r="OGO387" s="1185"/>
      <c r="OGP387" s="1185"/>
      <c r="OGQ387" s="1185"/>
      <c r="OGR387" s="1185"/>
      <c r="OGS387" s="1185"/>
      <c r="OGT387" s="1185"/>
      <c r="OGU387" s="1185"/>
      <c r="OGV387" s="1185"/>
      <c r="OGW387" s="1185"/>
      <c r="OGX387" s="1185"/>
      <c r="OGY387" s="1185"/>
      <c r="OGZ387" s="1185"/>
      <c r="OHA387" s="1185"/>
      <c r="OHB387" s="1185"/>
      <c r="OHC387" s="1185"/>
      <c r="OHD387" s="1185"/>
      <c r="OHE387" s="1185"/>
      <c r="OHF387" s="1185"/>
      <c r="OHG387" s="1185"/>
      <c r="OHH387" s="1185"/>
      <c r="OHI387" s="1185"/>
      <c r="OHJ387" s="1185"/>
      <c r="OHK387" s="1185"/>
      <c r="OHL387" s="1185"/>
      <c r="OHM387" s="1185"/>
      <c r="OHN387" s="1185"/>
      <c r="OHO387" s="1185"/>
      <c r="OHP387" s="1185"/>
      <c r="OHQ387" s="1185"/>
      <c r="OHR387" s="1185"/>
      <c r="OHS387" s="1185"/>
      <c r="OHT387" s="1185"/>
      <c r="OHU387" s="1185"/>
      <c r="OHV387" s="1185"/>
      <c r="OHW387" s="1185"/>
      <c r="OHX387" s="1185"/>
      <c r="OHY387" s="1185"/>
      <c r="OHZ387" s="1185"/>
      <c r="OIA387" s="1185"/>
      <c r="OIB387" s="1185"/>
      <c r="OIC387" s="1185"/>
      <c r="OID387" s="1185"/>
      <c r="OIE387" s="1185"/>
      <c r="OIF387" s="1185"/>
      <c r="OIG387" s="1185"/>
      <c r="OIH387" s="1185"/>
      <c r="OII387" s="1185"/>
      <c r="OIJ387" s="1185"/>
      <c r="OIK387" s="1185"/>
      <c r="OIL387" s="1185"/>
      <c r="OIM387" s="1185"/>
      <c r="OIN387" s="1185"/>
      <c r="OIO387" s="1185"/>
      <c r="OIP387" s="1185"/>
      <c r="OIQ387" s="1185"/>
      <c r="OIR387" s="1185"/>
      <c r="OIS387" s="1185"/>
      <c r="OIT387" s="1185"/>
      <c r="OIU387" s="1185"/>
      <c r="OIV387" s="1185"/>
      <c r="OIW387" s="1185"/>
      <c r="OIX387" s="1185"/>
      <c r="OIY387" s="1185"/>
      <c r="OIZ387" s="1185"/>
      <c r="OJA387" s="1185"/>
      <c r="OJB387" s="1185"/>
      <c r="OJC387" s="1185"/>
      <c r="OJD387" s="1185"/>
      <c r="OJE387" s="1185"/>
      <c r="OJF387" s="1185"/>
      <c r="OJG387" s="1185"/>
      <c r="OJH387" s="1185"/>
      <c r="OJI387" s="1185"/>
      <c r="OJJ387" s="1185"/>
      <c r="OJK387" s="1185"/>
      <c r="OJL387" s="1185"/>
      <c r="OJM387" s="1185"/>
      <c r="OJN387" s="1185"/>
      <c r="OJO387" s="1185"/>
      <c r="OJP387" s="1185"/>
      <c r="OJQ387" s="1185"/>
      <c r="OJR387" s="1185"/>
      <c r="OJS387" s="1185"/>
      <c r="OJT387" s="1185"/>
      <c r="OJU387" s="1185"/>
      <c r="OJV387" s="1185"/>
      <c r="OJW387" s="1185"/>
      <c r="OJX387" s="1185"/>
      <c r="OJY387" s="1185"/>
      <c r="OJZ387" s="1185"/>
      <c r="OKA387" s="1185"/>
      <c r="OKB387" s="1185"/>
      <c r="OKC387" s="1185"/>
      <c r="OKD387" s="1185"/>
      <c r="OKE387" s="1185"/>
      <c r="OKF387" s="1185"/>
      <c r="OKG387" s="1185"/>
      <c r="OKH387" s="1185"/>
      <c r="OKI387" s="1185"/>
      <c r="OKJ387" s="1185"/>
      <c r="OKK387" s="1185"/>
      <c r="OKL387" s="1185"/>
      <c r="OKM387" s="1185"/>
      <c r="OKN387" s="1185"/>
      <c r="OKO387" s="1185"/>
      <c r="OKP387" s="1185"/>
      <c r="OKQ387" s="1185"/>
      <c r="OKR387" s="1185"/>
      <c r="OKS387" s="1185"/>
      <c r="OKT387" s="1185"/>
      <c r="OKU387" s="1185"/>
      <c r="OKV387" s="1185"/>
      <c r="OKW387" s="1185"/>
      <c r="OKX387" s="1185"/>
      <c r="OKY387" s="1185"/>
      <c r="OKZ387" s="1185"/>
      <c r="OLA387" s="1185"/>
      <c r="OLB387" s="1185"/>
      <c r="OLC387" s="1185"/>
      <c r="OLD387" s="1185"/>
      <c r="OLE387" s="1185"/>
      <c r="OLF387" s="1185"/>
      <c r="OLG387" s="1185"/>
      <c r="OLH387" s="1185"/>
      <c r="OLI387" s="1185"/>
      <c r="OLJ387" s="1185"/>
      <c r="OLK387" s="1185"/>
      <c r="OLL387" s="1185"/>
      <c r="OLM387" s="1185"/>
      <c r="OLN387" s="1185"/>
      <c r="OLO387" s="1185"/>
      <c r="OLP387" s="1185"/>
      <c r="OLQ387" s="1185"/>
      <c r="OLR387" s="1185"/>
      <c r="OLS387" s="1185"/>
      <c r="OLT387" s="1185"/>
      <c r="OLU387" s="1185"/>
      <c r="OLV387" s="1185"/>
      <c r="OLW387" s="1185"/>
      <c r="OLX387" s="1185"/>
      <c r="OLY387" s="1185"/>
      <c r="OLZ387" s="1185"/>
      <c r="OMA387" s="1185"/>
      <c r="OMB387" s="1185"/>
      <c r="OMC387" s="1185"/>
      <c r="OMD387" s="1185"/>
      <c r="OME387" s="1185"/>
      <c r="OMF387" s="1185"/>
      <c r="OMG387" s="1185"/>
      <c r="OMH387" s="1185"/>
      <c r="OMI387" s="1185"/>
      <c r="OMJ387" s="1185"/>
      <c r="OMK387" s="1185"/>
      <c r="OML387" s="1185"/>
      <c r="OMM387" s="1185"/>
      <c r="OMN387" s="1185"/>
      <c r="OMO387" s="1185"/>
      <c r="OMP387" s="1185"/>
      <c r="OMQ387" s="1185"/>
      <c r="OMR387" s="1185"/>
      <c r="OMS387" s="1185"/>
      <c r="OMT387" s="1185"/>
      <c r="OMU387" s="1185"/>
      <c r="OMV387" s="1185"/>
      <c r="OMW387" s="1185"/>
      <c r="OMX387" s="1185"/>
      <c r="OMY387" s="1185"/>
      <c r="OMZ387" s="1185"/>
      <c r="ONA387" s="1185"/>
      <c r="ONB387" s="1185"/>
      <c r="ONC387" s="1185"/>
      <c r="OND387" s="1185"/>
      <c r="ONE387" s="1185"/>
      <c r="ONF387" s="1185"/>
      <c r="ONG387" s="1185"/>
      <c r="ONH387" s="1185"/>
      <c r="ONI387" s="1185"/>
      <c r="ONJ387" s="1185"/>
      <c r="ONK387" s="1185"/>
      <c r="ONL387" s="1185"/>
      <c r="ONM387" s="1185"/>
      <c r="ONN387" s="1185"/>
      <c r="ONO387" s="1185"/>
      <c r="ONP387" s="1185"/>
      <c r="ONQ387" s="1185"/>
      <c r="ONR387" s="1185"/>
      <c r="ONS387" s="1185"/>
      <c r="ONT387" s="1185"/>
      <c r="ONU387" s="1185"/>
      <c r="ONV387" s="1185"/>
      <c r="ONW387" s="1185"/>
      <c r="ONX387" s="1185"/>
      <c r="ONY387" s="1185"/>
      <c r="ONZ387" s="1185"/>
      <c r="OOA387" s="1185"/>
      <c r="OOB387" s="1185"/>
      <c r="OOC387" s="1185"/>
      <c r="OOD387" s="1185"/>
      <c r="OOE387" s="1185"/>
      <c r="OOF387" s="1185"/>
      <c r="OOG387" s="1185"/>
      <c r="OOH387" s="1185"/>
      <c r="OOI387" s="1185"/>
      <c r="OOJ387" s="1185"/>
      <c r="OOK387" s="1185"/>
      <c r="OOL387" s="1185"/>
      <c r="OOM387" s="1185"/>
      <c r="OON387" s="1185"/>
      <c r="OOO387" s="1185"/>
      <c r="OOP387" s="1185"/>
      <c r="OOQ387" s="1185"/>
      <c r="OOR387" s="1185"/>
      <c r="OOS387" s="1185"/>
      <c r="OOT387" s="1185"/>
      <c r="OOU387" s="1185"/>
      <c r="OOV387" s="1185"/>
      <c r="OOW387" s="1185"/>
      <c r="OOX387" s="1185"/>
      <c r="OOY387" s="1185"/>
      <c r="OOZ387" s="1185"/>
      <c r="OPA387" s="1185"/>
      <c r="OPB387" s="1185"/>
      <c r="OPC387" s="1185"/>
      <c r="OPD387" s="1185"/>
      <c r="OPE387" s="1185"/>
      <c r="OPF387" s="1185"/>
      <c r="OPG387" s="1185"/>
      <c r="OPH387" s="1185"/>
      <c r="OPI387" s="1185"/>
      <c r="OPJ387" s="1185"/>
      <c r="OPK387" s="1185"/>
      <c r="OPL387" s="1185"/>
      <c r="OPM387" s="1185"/>
      <c r="OPN387" s="1185"/>
      <c r="OPO387" s="1185"/>
      <c r="OPP387" s="1185"/>
      <c r="OPQ387" s="1185"/>
      <c r="OPR387" s="1185"/>
      <c r="OPS387" s="1185"/>
      <c r="OPT387" s="1185"/>
      <c r="OPU387" s="1185"/>
      <c r="OPV387" s="1185"/>
      <c r="OPW387" s="1185"/>
      <c r="OPX387" s="1185"/>
      <c r="OPY387" s="1185"/>
      <c r="OPZ387" s="1185"/>
      <c r="OQA387" s="1185"/>
      <c r="OQB387" s="1185"/>
      <c r="OQC387" s="1185"/>
      <c r="OQD387" s="1185"/>
      <c r="OQE387" s="1185"/>
      <c r="OQF387" s="1185"/>
      <c r="OQG387" s="1185"/>
      <c r="OQH387" s="1185"/>
      <c r="OQI387" s="1185"/>
      <c r="OQJ387" s="1185"/>
      <c r="OQK387" s="1185"/>
      <c r="OQL387" s="1185"/>
      <c r="OQM387" s="1185"/>
      <c r="OQN387" s="1185"/>
      <c r="OQO387" s="1185"/>
      <c r="OQP387" s="1185"/>
      <c r="OQQ387" s="1185"/>
      <c r="OQR387" s="1185"/>
      <c r="OQS387" s="1185"/>
      <c r="OQT387" s="1185"/>
      <c r="OQU387" s="1185"/>
      <c r="OQV387" s="1185"/>
      <c r="OQW387" s="1185"/>
      <c r="OQX387" s="1185"/>
      <c r="OQY387" s="1185"/>
      <c r="OQZ387" s="1185"/>
      <c r="ORA387" s="1185"/>
      <c r="ORB387" s="1185"/>
      <c r="ORC387" s="1185"/>
      <c r="ORD387" s="1185"/>
      <c r="ORE387" s="1185"/>
      <c r="ORF387" s="1185"/>
      <c r="ORG387" s="1185"/>
      <c r="ORH387" s="1185"/>
      <c r="ORI387" s="1185"/>
      <c r="ORJ387" s="1185"/>
      <c r="ORK387" s="1185"/>
      <c r="ORL387" s="1185"/>
      <c r="ORM387" s="1185"/>
      <c r="ORN387" s="1185"/>
      <c r="ORO387" s="1185"/>
      <c r="ORP387" s="1185"/>
      <c r="ORQ387" s="1185"/>
      <c r="ORR387" s="1185"/>
      <c r="ORS387" s="1185"/>
      <c r="ORT387" s="1185"/>
      <c r="ORU387" s="1185"/>
      <c r="ORV387" s="1185"/>
      <c r="ORW387" s="1185"/>
      <c r="ORX387" s="1185"/>
      <c r="ORY387" s="1185"/>
      <c r="ORZ387" s="1185"/>
      <c r="OSA387" s="1185"/>
      <c r="OSB387" s="1185"/>
      <c r="OSC387" s="1185"/>
      <c r="OSD387" s="1185"/>
      <c r="OSE387" s="1185"/>
      <c r="OSF387" s="1185"/>
      <c r="OSG387" s="1185"/>
      <c r="OSH387" s="1185"/>
      <c r="OSI387" s="1185"/>
      <c r="OSJ387" s="1185"/>
      <c r="OSK387" s="1185"/>
      <c r="OSL387" s="1185"/>
      <c r="OSM387" s="1185"/>
      <c r="OSN387" s="1185"/>
      <c r="OSO387" s="1185"/>
      <c r="OSP387" s="1185"/>
      <c r="OSQ387" s="1185"/>
      <c r="OSR387" s="1185"/>
      <c r="OSS387" s="1185"/>
      <c r="OST387" s="1185"/>
      <c r="OSU387" s="1185"/>
      <c r="OSV387" s="1185"/>
      <c r="OSW387" s="1185"/>
      <c r="OSX387" s="1185"/>
      <c r="OSY387" s="1185"/>
      <c r="OSZ387" s="1185"/>
      <c r="OTA387" s="1185"/>
      <c r="OTB387" s="1185"/>
      <c r="OTC387" s="1185"/>
      <c r="OTD387" s="1185"/>
      <c r="OTE387" s="1185"/>
      <c r="OTF387" s="1185"/>
      <c r="OTG387" s="1185"/>
      <c r="OTH387" s="1185"/>
      <c r="OTI387" s="1185"/>
      <c r="OTJ387" s="1185"/>
      <c r="OTK387" s="1185"/>
      <c r="OTL387" s="1185"/>
      <c r="OTM387" s="1185"/>
      <c r="OTN387" s="1185"/>
      <c r="OTO387" s="1185"/>
      <c r="OTP387" s="1185"/>
      <c r="OTQ387" s="1185"/>
      <c r="OTR387" s="1185"/>
      <c r="OTS387" s="1185"/>
      <c r="OTT387" s="1185"/>
      <c r="OTU387" s="1185"/>
      <c r="OTV387" s="1185"/>
      <c r="OTW387" s="1185"/>
      <c r="OTX387" s="1185"/>
      <c r="OTY387" s="1185"/>
      <c r="OTZ387" s="1185"/>
      <c r="OUA387" s="1185"/>
      <c r="OUB387" s="1185"/>
      <c r="OUC387" s="1185"/>
      <c r="OUD387" s="1185"/>
      <c r="OUE387" s="1185"/>
      <c r="OUF387" s="1185"/>
      <c r="OUG387" s="1185"/>
      <c r="OUH387" s="1185"/>
      <c r="OUI387" s="1185"/>
      <c r="OUJ387" s="1185"/>
      <c r="OUK387" s="1185"/>
      <c r="OUL387" s="1185"/>
      <c r="OUM387" s="1185"/>
      <c r="OUN387" s="1185"/>
      <c r="OUO387" s="1185"/>
      <c r="OUP387" s="1185"/>
      <c r="OUQ387" s="1185"/>
      <c r="OUR387" s="1185"/>
      <c r="OUS387" s="1185"/>
      <c r="OUT387" s="1185"/>
      <c r="OUU387" s="1185"/>
      <c r="OUV387" s="1185"/>
      <c r="OUW387" s="1185"/>
      <c r="OUX387" s="1185"/>
      <c r="OUY387" s="1185"/>
      <c r="OUZ387" s="1185"/>
      <c r="OVA387" s="1185"/>
      <c r="OVB387" s="1185"/>
      <c r="OVC387" s="1185"/>
      <c r="OVD387" s="1185"/>
      <c r="OVE387" s="1185"/>
      <c r="OVF387" s="1185"/>
      <c r="OVG387" s="1185"/>
      <c r="OVH387" s="1185"/>
      <c r="OVI387" s="1185"/>
      <c r="OVJ387" s="1185"/>
      <c r="OVK387" s="1185"/>
      <c r="OVL387" s="1185"/>
      <c r="OVM387" s="1185"/>
      <c r="OVN387" s="1185"/>
      <c r="OVO387" s="1185"/>
      <c r="OVP387" s="1185"/>
      <c r="OVQ387" s="1185"/>
      <c r="OVR387" s="1185"/>
      <c r="OVS387" s="1185"/>
      <c r="OVT387" s="1185"/>
      <c r="OVU387" s="1185"/>
      <c r="OVV387" s="1185"/>
      <c r="OVW387" s="1185"/>
      <c r="OVX387" s="1185"/>
      <c r="OVY387" s="1185"/>
      <c r="OVZ387" s="1185"/>
      <c r="OWA387" s="1185"/>
      <c r="OWB387" s="1185"/>
      <c r="OWC387" s="1185"/>
      <c r="OWD387" s="1185"/>
      <c r="OWE387" s="1185"/>
      <c r="OWF387" s="1185"/>
      <c r="OWG387" s="1185"/>
      <c r="OWH387" s="1185"/>
      <c r="OWI387" s="1185"/>
      <c r="OWJ387" s="1185"/>
      <c r="OWK387" s="1185"/>
      <c r="OWL387" s="1185"/>
      <c r="OWM387" s="1185"/>
      <c r="OWN387" s="1185"/>
      <c r="OWO387" s="1185"/>
      <c r="OWP387" s="1185"/>
      <c r="OWQ387" s="1185"/>
      <c r="OWR387" s="1185"/>
      <c r="OWS387" s="1185"/>
      <c r="OWT387" s="1185"/>
      <c r="OWU387" s="1185"/>
      <c r="OWV387" s="1185"/>
      <c r="OWW387" s="1185"/>
      <c r="OWX387" s="1185"/>
      <c r="OWY387" s="1185"/>
      <c r="OWZ387" s="1185"/>
      <c r="OXA387" s="1185"/>
      <c r="OXB387" s="1185"/>
      <c r="OXC387" s="1185"/>
      <c r="OXD387" s="1185"/>
      <c r="OXE387" s="1185"/>
      <c r="OXF387" s="1185"/>
      <c r="OXG387" s="1185"/>
      <c r="OXH387" s="1185"/>
      <c r="OXI387" s="1185"/>
      <c r="OXJ387" s="1185"/>
      <c r="OXK387" s="1185"/>
      <c r="OXL387" s="1185"/>
      <c r="OXM387" s="1185"/>
      <c r="OXN387" s="1185"/>
      <c r="OXO387" s="1185"/>
      <c r="OXP387" s="1185"/>
      <c r="OXQ387" s="1185"/>
      <c r="OXR387" s="1185"/>
      <c r="OXS387" s="1185"/>
      <c r="OXT387" s="1185"/>
      <c r="OXU387" s="1185"/>
      <c r="OXV387" s="1185"/>
      <c r="OXW387" s="1185"/>
      <c r="OXX387" s="1185"/>
      <c r="OXY387" s="1185"/>
      <c r="OXZ387" s="1185"/>
      <c r="OYA387" s="1185"/>
      <c r="OYB387" s="1185"/>
      <c r="OYC387" s="1185"/>
      <c r="OYD387" s="1185"/>
      <c r="OYE387" s="1185"/>
      <c r="OYF387" s="1185"/>
      <c r="OYG387" s="1185"/>
      <c r="OYH387" s="1185"/>
      <c r="OYI387" s="1185"/>
      <c r="OYJ387" s="1185"/>
      <c r="OYK387" s="1185"/>
      <c r="OYL387" s="1185"/>
      <c r="OYM387" s="1185"/>
      <c r="OYN387" s="1185"/>
      <c r="OYO387" s="1185"/>
      <c r="OYP387" s="1185"/>
      <c r="OYQ387" s="1185"/>
      <c r="OYR387" s="1185"/>
      <c r="OYS387" s="1185"/>
      <c r="OYT387" s="1185"/>
      <c r="OYU387" s="1185"/>
      <c r="OYV387" s="1185"/>
      <c r="OYW387" s="1185"/>
      <c r="OYX387" s="1185"/>
      <c r="OYY387" s="1185"/>
      <c r="OYZ387" s="1185"/>
      <c r="OZA387" s="1185"/>
      <c r="OZB387" s="1185"/>
      <c r="OZC387" s="1185"/>
      <c r="OZD387" s="1185"/>
      <c r="OZE387" s="1185"/>
      <c r="OZF387" s="1185"/>
      <c r="OZG387" s="1185"/>
      <c r="OZH387" s="1185"/>
      <c r="OZI387" s="1185"/>
      <c r="OZJ387" s="1185"/>
      <c r="OZK387" s="1185"/>
      <c r="OZL387" s="1185"/>
      <c r="OZM387" s="1185"/>
      <c r="OZN387" s="1185"/>
      <c r="OZO387" s="1185"/>
      <c r="OZP387" s="1185"/>
      <c r="OZQ387" s="1185"/>
      <c r="OZR387" s="1185"/>
      <c r="OZS387" s="1185"/>
      <c r="OZT387" s="1185"/>
      <c r="OZU387" s="1185"/>
      <c r="OZV387" s="1185"/>
      <c r="OZW387" s="1185"/>
      <c r="OZX387" s="1185"/>
      <c r="OZY387" s="1185"/>
      <c r="OZZ387" s="1185"/>
      <c r="PAA387" s="1185"/>
      <c r="PAB387" s="1185"/>
      <c r="PAC387" s="1185"/>
      <c r="PAD387" s="1185"/>
      <c r="PAE387" s="1185"/>
      <c r="PAF387" s="1185"/>
      <c r="PAG387" s="1185"/>
      <c r="PAH387" s="1185"/>
      <c r="PAI387" s="1185"/>
      <c r="PAJ387" s="1185"/>
      <c r="PAK387" s="1185"/>
      <c r="PAL387" s="1185"/>
      <c r="PAM387" s="1185"/>
      <c r="PAN387" s="1185"/>
      <c r="PAO387" s="1185"/>
      <c r="PAP387" s="1185"/>
      <c r="PAQ387" s="1185"/>
      <c r="PAR387" s="1185"/>
      <c r="PAS387" s="1185"/>
      <c r="PAT387" s="1185"/>
      <c r="PAU387" s="1185"/>
      <c r="PAV387" s="1185"/>
      <c r="PAW387" s="1185"/>
      <c r="PAX387" s="1185"/>
      <c r="PAY387" s="1185"/>
      <c r="PAZ387" s="1185"/>
      <c r="PBA387" s="1185"/>
      <c r="PBB387" s="1185"/>
      <c r="PBC387" s="1185"/>
      <c r="PBD387" s="1185"/>
      <c r="PBE387" s="1185"/>
      <c r="PBF387" s="1185"/>
      <c r="PBG387" s="1185"/>
      <c r="PBH387" s="1185"/>
      <c r="PBI387" s="1185"/>
      <c r="PBJ387" s="1185"/>
      <c r="PBK387" s="1185"/>
      <c r="PBL387" s="1185"/>
      <c r="PBM387" s="1185"/>
      <c r="PBN387" s="1185"/>
      <c r="PBO387" s="1185"/>
      <c r="PBP387" s="1185"/>
      <c r="PBQ387" s="1185"/>
      <c r="PBR387" s="1185"/>
      <c r="PBS387" s="1185"/>
      <c r="PBT387" s="1185"/>
      <c r="PBU387" s="1185"/>
      <c r="PBV387" s="1185"/>
      <c r="PBW387" s="1185"/>
      <c r="PBX387" s="1185"/>
      <c r="PBY387" s="1185"/>
      <c r="PBZ387" s="1185"/>
      <c r="PCA387" s="1185"/>
      <c r="PCB387" s="1185"/>
      <c r="PCC387" s="1185"/>
      <c r="PCD387" s="1185"/>
      <c r="PCE387" s="1185"/>
      <c r="PCF387" s="1185"/>
      <c r="PCG387" s="1185"/>
      <c r="PCH387" s="1185"/>
      <c r="PCI387" s="1185"/>
      <c r="PCJ387" s="1185"/>
      <c r="PCK387" s="1185"/>
      <c r="PCL387" s="1185"/>
      <c r="PCM387" s="1185"/>
      <c r="PCN387" s="1185"/>
      <c r="PCO387" s="1185"/>
      <c r="PCP387" s="1185"/>
      <c r="PCQ387" s="1185"/>
      <c r="PCR387" s="1185"/>
      <c r="PCS387" s="1185"/>
      <c r="PCT387" s="1185"/>
      <c r="PCU387" s="1185"/>
      <c r="PCV387" s="1185"/>
      <c r="PCW387" s="1185"/>
      <c r="PCX387" s="1185"/>
      <c r="PCY387" s="1185"/>
      <c r="PCZ387" s="1185"/>
      <c r="PDA387" s="1185"/>
      <c r="PDB387" s="1185"/>
      <c r="PDC387" s="1185"/>
      <c r="PDD387" s="1185"/>
      <c r="PDE387" s="1185"/>
      <c r="PDF387" s="1185"/>
      <c r="PDG387" s="1185"/>
      <c r="PDH387" s="1185"/>
      <c r="PDI387" s="1185"/>
      <c r="PDJ387" s="1185"/>
      <c r="PDK387" s="1185"/>
      <c r="PDL387" s="1185"/>
      <c r="PDM387" s="1185"/>
      <c r="PDN387" s="1185"/>
      <c r="PDO387" s="1185"/>
      <c r="PDP387" s="1185"/>
      <c r="PDQ387" s="1185"/>
      <c r="PDR387" s="1185"/>
      <c r="PDS387" s="1185"/>
      <c r="PDT387" s="1185"/>
      <c r="PDU387" s="1185"/>
      <c r="PDV387" s="1185"/>
      <c r="PDW387" s="1185"/>
      <c r="PDX387" s="1185"/>
      <c r="PDY387" s="1185"/>
      <c r="PDZ387" s="1185"/>
      <c r="PEA387" s="1185"/>
      <c r="PEB387" s="1185"/>
      <c r="PEC387" s="1185"/>
      <c r="PED387" s="1185"/>
      <c r="PEE387" s="1185"/>
      <c r="PEF387" s="1185"/>
      <c r="PEG387" s="1185"/>
      <c r="PEH387" s="1185"/>
      <c r="PEI387" s="1185"/>
      <c r="PEJ387" s="1185"/>
      <c r="PEK387" s="1185"/>
      <c r="PEL387" s="1185"/>
      <c r="PEM387" s="1185"/>
      <c r="PEN387" s="1185"/>
      <c r="PEO387" s="1185"/>
      <c r="PEP387" s="1185"/>
      <c r="PEQ387" s="1185"/>
      <c r="PER387" s="1185"/>
      <c r="PES387" s="1185"/>
      <c r="PET387" s="1185"/>
      <c r="PEU387" s="1185"/>
      <c r="PEV387" s="1185"/>
      <c r="PEW387" s="1185"/>
      <c r="PEX387" s="1185"/>
      <c r="PEY387" s="1185"/>
      <c r="PEZ387" s="1185"/>
      <c r="PFA387" s="1185"/>
      <c r="PFB387" s="1185"/>
      <c r="PFC387" s="1185"/>
      <c r="PFD387" s="1185"/>
      <c r="PFE387" s="1185"/>
      <c r="PFF387" s="1185"/>
      <c r="PFG387" s="1185"/>
      <c r="PFH387" s="1185"/>
      <c r="PFI387" s="1185"/>
      <c r="PFJ387" s="1185"/>
      <c r="PFK387" s="1185"/>
      <c r="PFL387" s="1185"/>
      <c r="PFM387" s="1185"/>
      <c r="PFN387" s="1185"/>
      <c r="PFO387" s="1185"/>
      <c r="PFP387" s="1185"/>
      <c r="PFQ387" s="1185"/>
      <c r="PFR387" s="1185"/>
      <c r="PFS387" s="1185"/>
      <c r="PFT387" s="1185"/>
      <c r="PFU387" s="1185"/>
      <c r="PFV387" s="1185"/>
      <c r="PFW387" s="1185"/>
      <c r="PFX387" s="1185"/>
      <c r="PFY387" s="1185"/>
      <c r="PFZ387" s="1185"/>
      <c r="PGA387" s="1185"/>
      <c r="PGB387" s="1185"/>
      <c r="PGC387" s="1185"/>
      <c r="PGD387" s="1185"/>
      <c r="PGE387" s="1185"/>
      <c r="PGF387" s="1185"/>
      <c r="PGG387" s="1185"/>
      <c r="PGH387" s="1185"/>
      <c r="PGI387" s="1185"/>
      <c r="PGJ387" s="1185"/>
      <c r="PGK387" s="1185"/>
      <c r="PGL387" s="1185"/>
      <c r="PGM387" s="1185"/>
      <c r="PGN387" s="1185"/>
      <c r="PGO387" s="1185"/>
      <c r="PGP387" s="1185"/>
      <c r="PGQ387" s="1185"/>
      <c r="PGR387" s="1185"/>
      <c r="PGS387" s="1185"/>
      <c r="PGT387" s="1185"/>
      <c r="PGU387" s="1185"/>
      <c r="PGV387" s="1185"/>
      <c r="PGW387" s="1185"/>
      <c r="PGX387" s="1185"/>
      <c r="PGY387" s="1185"/>
      <c r="PGZ387" s="1185"/>
      <c r="PHA387" s="1185"/>
      <c r="PHB387" s="1185"/>
      <c r="PHC387" s="1185"/>
      <c r="PHD387" s="1185"/>
      <c r="PHE387" s="1185"/>
      <c r="PHF387" s="1185"/>
      <c r="PHG387" s="1185"/>
      <c r="PHH387" s="1185"/>
      <c r="PHI387" s="1185"/>
      <c r="PHJ387" s="1185"/>
      <c r="PHK387" s="1185"/>
      <c r="PHL387" s="1185"/>
      <c r="PHM387" s="1185"/>
      <c r="PHN387" s="1185"/>
      <c r="PHO387" s="1185"/>
      <c r="PHP387" s="1185"/>
      <c r="PHQ387" s="1185"/>
      <c r="PHR387" s="1185"/>
      <c r="PHS387" s="1185"/>
      <c r="PHT387" s="1185"/>
      <c r="PHU387" s="1185"/>
      <c r="PHV387" s="1185"/>
      <c r="PHW387" s="1185"/>
      <c r="PHX387" s="1185"/>
      <c r="PHY387" s="1185"/>
      <c r="PHZ387" s="1185"/>
      <c r="PIA387" s="1185"/>
      <c r="PIB387" s="1185"/>
      <c r="PIC387" s="1185"/>
      <c r="PID387" s="1185"/>
      <c r="PIE387" s="1185"/>
      <c r="PIF387" s="1185"/>
      <c r="PIG387" s="1185"/>
      <c r="PIH387" s="1185"/>
      <c r="PII387" s="1185"/>
      <c r="PIJ387" s="1185"/>
      <c r="PIK387" s="1185"/>
      <c r="PIL387" s="1185"/>
      <c r="PIM387" s="1185"/>
      <c r="PIN387" s="1185"/>
      <c r="PIO387" s="1185"/>
      <c r="PIP387" s="1185"/>
      <c r="PIQ387" s="1185"/>
      <c r="PIR387" s="1185"/>
      <c r="PIS387" s="1185"/>
      <c r="PIT387" s="1185"/>
      <c r="PIU387" s="1185"/>
      <c r="PIV387" s="1185"/>
      <c r="PIW387" s="1185"/>
      <c r="PIX387" s="1185"/>
      <c r="PIY387" s="1185"/>
      <c r="PIZ387" s="1185"/>
      <c r="PJA387" s="1185"/>
      <c r="PJB387" s="1185"/>
      <c r="PJC387" s="1185"/>
      <c r="PJD387" s="1185"/>
      <c r="PJE387" s="1185"/>
      <c r="PJF387" s="1185"/>
      <c r="PJG387" s="1185"/>
      <c r="PJH387" s="1185"/>
      <c r="PJI387" s="1185"/>
      <c r="PJJ387" s="1185"/>
      <c r="PJK387" s="1185"/>
      <c r="PJL387" s="1185"/>
      <c r="PJM387" s="1185"/>
      <c r="PJN387" s="1185"/>
      <c r="PJO387" s="1185"/>
      <c r="PJP387" s="1185"/>
      <c r="PJQ387" s="1185"/>
      <c r="PJR387" s="1185"/>
      <c r="PJS387" s="1185"/>
      <c r="PJT387" s="1185"/>
      <c r="PJU387" s="1185"/>
      <c r="PJV387" s="1185"/>
      <c r="PJW387" s="1185"/>
      <c r="PJX387" s="1185"/>
      <c r="PJY387" s="1185"/>
      <c r="PJZ387" s="1185"/>
      <c r="PKA387" s="1185"/>
      <c r="PKB387" s="1185"/>
      <c r="PKC387" s="1185"/>
      <c r="PKD387" s="1185"/>
      <c r="PKE387" s="1185"/>
      <c r="PKF387" s="1185"/>
      <c r="PKG387" s="1185"/>
      <c r="PKH387" s="1185"/>
      <c r="PKI387" s="1185"/>
      <c r="PKJ387" s="1185"/>
      <c r="PKK387" s="1185"/>
      <c r="PKL387" s="1185"/>
      <c r="PKM387" s="1185"/>
      <c r="PKN387" s="1185"/>
      <c r="PKO387" s="1185"/>
      <c r="PKP387" s="1185"/>
      <c r="PKQ387" s="1185"/>
      <c r="PKR387" s="1185"/>
      <c r="PKS387" s="1185"/>
      <c r="PKT387" s="1185"/>
      <c r="PKU387" s="1185"/>
      <c r="PKV387" s="1185"/>
      <c r="PKW387" s="1185"/>
      <c r="PKX387" s="1185"/>
      <c r="PKY387" s="1185"/>
      <c r="PKZ387" s="1185"/>
      <c r="PLA387" s="1185"/>
      <c r="PLB387" s="1185"/>
      <c r="PLC387" s="1185"/>
      <c r="PLD387" s="1185"/>
      <c r="PLE387" s="1185"/>
      <c r="PLF387" s="1185"/>
      <c r="PLG387" s="1185"/>
      <c r="PLH387" s="1185"/>
      <c r="PLI387" s="1185"/>
      <c r="PLJ387" s="1185"/>
      <c r="PLK387" s="1185"/>
      <c r="PLL387" s="1185"/>
      <c r="PLM387" s="1185"/>
      <c r="PLN387" s="1185"/>
      <c r="PLO387" s="1185"/>
      <c r="PLP387" s="1185"/>
      <c r="PLQ387" s="1185"/>
      <c r="PLR387" s="1185"/>
      <c r="PLS387" s="1185"/>
      <c r="PLT387" s="1185"/>
      <c r="PLU387" s="1185"/>
      <c r="PLV387" s="1185"/>
      <c r="PLW387" s="1185"/>
      <c r="PLX387" s="1185"/>
      <c r="PLY387" s="1185"/>
      <c r="PLZ387" s="1185"/>
      <c r="PMA387" s="1185"/>
      <c r="PMB387" s="1185"/>
      <c r="PMC387" s="1185"/>
      <c r="PMD387" s="1185"/>
      <c r="PME387" s="1185"/>
      <c r="PMF387" s="1185"/>
      <c r="PMG387" s="1185"/>
      <c r="PMH387" s="1185"/>
      <c r="PMI387" s="1185"/>
      <c r="PMJ387" s="1185"/>
      <c r="PMK387" s="1185"/>
      <c r="PML387" s="1185"/>
      <c r="PMM387" s="1185"/>
      <c r="PMN387" s="1185"/>
      <c r="PMO387" s="1185"/>
      <c r="PMP387" s="1185"/>
      <c r="PMQ387" s="1185"/>
      <c r="PMR387" s="1185"/>
      <c r="PMS387" s="1185"/>
      <c r="PMT387" s="1185"/>
      <c r="PMU387" s="1185"/>
      <c r="PMV387" s="1185"/>
      <c r="PMW387" s="1185"/>
      <c r="PMX387" s="1185"/>
      <c r="PMY387" s="1185"/>
      <c r="PMZ387" s="1185"/>
      <c r="PNA387" s="1185"/>
      <c r="PNB387" s="1185"/>
      <c r="PNC387" s="1185"/>
      <c r="PND387" s="1185"/>
      <c r="PNE387" s="1185"/>
      <c r="PNF387" s="1185"/>
      <c r="PNG387" s="1185"/>
      <c r="PNH387" s="1185"/>
      <c r="PNI387" s="1185"/>
      <c r="PNJ387" s="1185"/>
      <c r="PNK387" s="1185"/>
      <c r="PNL387" s="1185"/>
      <c r="PNM387" s="1185"/>
      <c r="PNN387" s="1185"/>
      <c r="PNO387" s="1185"/>
      <c r="PNP387" s="1185"/>
      <c r="PNQ387" s="1185"/>
      <c r="PNR387" s="1185"/>
      <c r="PNS387" s="1185"/>
      <c r="PNT387" s="1185"/>
      <c r="PNU387" s="1185"/>
      <c r="PNV387" s="1185"/>
      <c r="PNW387" s="1185"/>
      <c r="PNX387" s="1185"/>
      <c r="PNY387" s="1185"/>
      <c r="PNZ387" s="1185"/>
      <c r="POA387" s="1185"/>
      <c r="POB387" s="1185"/>
      <c r="POC387" s="1185"/>
      <c r="POD387" s="1185"/>
      <c r="POE387" s="1185"/>
      <c r="POF387" s="1185"/>
      <c r="POG387" s="1185"/>
      <c r="POH387" s="1185"/>
      <c r="POI387" s="1185"/>
      <c r="POJ387" s="1185"/>
      <c r="POK387" s="1185"/>
      <c r="POL387" s="1185"/>
      <c r="POM387" s="1185"/>
      <c r="PON387" s="1185"/>
      <c r="POO387" s="1185"/>
      <c r="POP387" s="1185"/>
      <c r="POQ387" s="1185"/>
      <c r="POR387" s="1185"/>
      <c r="POS387" s="1185"/>
      <c r="POT387" s="1185"/>
      <c r="POU387" s="1185"/>
      <c r="POV387" s="1185"/>
      <c r="POW387" s="1185"/>
      <c r="POX387" s="1185"/>
      <c r="POY387" s="1185"/>
      <c r="POZ387" s="1185"/>
      <c r="PPA387" s="1185"/>
      <c r="PPB387" s="1185"/>
      <c r="PPC387" s="1185"/>
      <c r="PPD387" s="1185"/>
      <c r="PPE387" s="1185"/>
      <c r="PPF387" s="1185"/>
      <c r="PPG387" s="1185"/>
      <c r="PPH387" s="1185"/>
      <c r="PPI387" s="1185"/>
      <c r="PPJ387" s="1185"/>
      <c r="PPK387" s="1185"/>
      <c r="PPL387" s="1185"/>
      <c r="PPM387" s="1185"/>
      <c r="PPN387" s="1185"/>
      <c r="PPO387" s="1185"/>
      <c r="PPP387" s="1185"/>
      <c r="PPQ387" s="1185"/>
      <c r="PPR387" s="1185"/>
      <c r="PPS387" s="1185"/>
      <c r="PPT387" s="1185"/>
      <c r="PPU387" s="1185"/>
      <c r="PPV387" s="1185"/>
      <c r="PPW387" s="1185"/>
      <c r="PPX387" s="1185"/>
      <c r="PPY387" s="1185"/>
      <c r="PPZ387" s="1185"/>
      <c r="PQA387" s="1185"/>
      <c r="PQB387" s="1185"/>
      <c r="PQC387" s="1185"/>
      <c r="PQD387" s="1185"/>
      <c r="PQE387" s="1185"/>
      <c r="PQF387" s="1185"/>
      <c r="PQG387" s="1185"/>
      <c r="PQH387" s="1185"/>
      <c r="PQI387" s="1185"/>
      <c r="PQJ387" s="1185"/>
      <c r="PQK387" s="1185"/>
      <c r="PQL387" s="1185"/>
      <c r="PQM387" s="1185"/>
      <c r="PQN387" s="1185"/>
      <c r="PQO387" s="1185"/>
      <c r="PQP387" s="1185"/>
      <c r="PQQ387" s="1185"/>
      <c r="PQR387" s="1185"/>
      <c r="PQS387" s="1185"/>
      <c r="PQT387" s="1185"/>
      <c r="PQU387" s="1185"/>
      <c r="PQV387" s="1185"/>
      <c r="PQW387" s="1185"/>
      <c r="PQX387" s="1185"/>
      <c r="PQY387" s="1185"/>
      <c r="PQZ387" s="1185"/>
      <c r="PRA387" s="1185"/>
      <c r="PRB387" s="1185"/>
      <c r="PRC387" s="1185"/>
      <c r="PRD387" s="1185"/>
      <c r="PRE387" s="1185"/>
      <c r="PRF387" s="1185"/>
      <c r="PRG387" s="1185"/>
      <c r="PRH387" s="1185"/>
      <c r="PRI387" s="1185"/>
      <c r="PRJ387" s="1185"/>
      <c r="PRK387" s="1185"/>
      <c r="PRL387" s="1185"/>
      <c r="PRM387" s="1185"/>
      <c r="PRN387" s="1185"/>
      <c r="PRO387" s="1185"/>
      <c r="PRP387" s="1185"/>
      <c r="PRQ387" s="1185"/>
      <c r="PRR387" s="1185"/>
      <c r="PRS387" s="1185"/>
      <c r="PRT387" s="1185"/>
      <c r="PRU387" s="1185"/>
      <c r="PRV387" s="1185"/>
      <c r="PRW387" s="1185"/>
      <c r="PRX387" s="1185"/>
      <c r="PRY387" s="1185"/>
      <c r="PRZ387" s="1185"/>
      <c r="PSA387" s="1185"/>
      <c r="PSB387" s="1185"/>
      <c r="PSC387" s="1185"/>
      <c r="PSD387" s="1185"/>
      <c r="PSE387" s="1185"/>
      <c r="PSF387" s="1185"/>
      <c r="PSG387" s="1185"/>
      <c r="PSH387" s="1185"/>
      <c r="PSI387" s="1185"/>
      <c r="PSJ387" s="1185"/>
      <c r="PSK387" s="1185"/>
      <c r="PSL387" s="1185"/>
      <c r="PSM387" s="1185"/>
      <c r="PSN387" s="1185"/>
      <c r="PSO387" s="1185"/>
      <c r="PSP387" s="1185"/>
      <c r="PSQ387" s="1185"/>
      <c r="PSR387" s="1185"/>
      <c r="PSS387" s="1185"/>
      <c r="PST387" s="1185"/>
      <c r="PSU387" s="1185"/>
      <c r="PSV387" s="1185"/>
      <c r="PSW387" s="1185"/>
      <c r="PSX387" s="1185"/>
      <c r="PSY387" s="1185"/>
      <c r="PSZ387" s="1185"/>
      <c r="PTA387" s="1185"/>
      <c r="PTB387" s="1185"/>
      <c r="PTC387" s="1185"/>
      <c r="PTD387" s="1185"/>
      <c r="PTE387" s="1185"/>
      <c r="PTF387" s="1185"/>
      <c r="PTG387" s="1185"/>
      <c r="PTH387" s="1185"/>
      <c r="PTI387" s="1185"/>
      <c r="PTJ387" s="1185"/>
      <c r="PTK387" s="1185"/>
      <c r="PTL387" s="1185"/>
      <c r="PTM387" s="1185"/>
      <c r="PTN387" s="1185"/>
      <c r="PTO387" s="1185"/>
      <c r="PTP387" s="1185"/>
      <c r="PTQ387" s="1185"/>
      <c r="PTR387" s="1185"/>
      <c r="PTS387" s="1185"/>
      <c r="PTT387" s="1185"/>
      <c r="PTU387" s="1185"/>
      <c r="PTV387" s="1185"/>
      <c r="PTW387" s="1185"/>
      <c r="PTX387" s="1185"/>
      <c r="PTY387" s="1185"/>
      <c r="PTZ387" s="1185"/>
      <c r="PUA387" s="1185"/>
      <c r="PUB387" s="1185"/>
      <c r="PUC387" s="1185"/>
      <c r="PUD387" s="1185"/>
      <c r="PUE387" s="1185"/>
      <c r="PUF387" s="1185"/>
      <c r="PUG387" s="1185"/>
      <c r="PUH387" s="1185"/>
      <c r="PUI387" s="1185"/>
      <c r="PUJ387" s="1185"/>
      <c r="PUK387" s="1185"/>
      <c r="PUL387" s="1185"/>
      <c r="PUM387" s="1185"/>
      <c r="PUN387" s="1185"/>
      <c r="PUO387" s="1185"/>
      <c r="PUP387" s="1185"/>
      <c r="PUQ387" s="1185"/>
      <c r="PUR387" s="1185"/>
      <c r="PUS387" s="1185"/>
      <c r="PUT387" s="1185"/>
      <c r="PUU387" s="1185"/>
      <c r="PUV387" s="1185"/>
      <c r="PUW387" s="1185"/>
      <c r="PUX387" s="1185"/>
      <c r="PUY387" s="1185"/>
      <c r="PUZ387" s="1185"/>
      <c r="PVA387" s="1185"/>
      <c r="PVB387" s="1185"/>
      <c r="PVC387" s="1185"/>
      <c r="PVD387" s="1185"/>
      <c r="PVE387" s="1185"/>
      <c r="PVF387" s="1185"/>
      <c r="PVG387" s="1185"/>
      <c r="PVH387" s="1185"/>
      <c r="PVI387" s="1185"/>
      <c r="PVJ387" s="1185"/>
      <c r="PVK387" s="1185"/>
      <c r="PVL387" s="1185"/>
      <c r="PVM387" s="1185"/>
      <c r="PVN387" s="1185"/>
      <c r="PVO387" s="1185"/>
      <c r="PVP387" s="1185"/>
      <c r="PVQ387" s="1185"/>
      <c r="PVR387" s="1185"/>
      <c r="PVS387" s="1185"/>
      <c r="PVT387" s="1185"/>
      <c r="PVU387" s="1185"/>
      <c r="PVV387" s="1185"/>
      <c r="PVW387" s="1185"/>
      <c r="PVX387" s="1185"/>
      <c r="PVY387" s="1185"/>
      <c r="PVZ387" s="1185"/>
      <c r="PWA387" s="1185"/>
      <c r="PWB387" s="1185"/>
      <c r="PWC387" s="1185"/>
      <c r="PWD387" s="1185"/>
      <c r="PWE387" s="1185"/>
      <c r="PWF387" s="1185"/>
      <c r="PWG387" s="1185"/>
      <c r="PWH387" s="1185"/>
      <c r="PWI387" s="1185"/>
      <c r="PWJ387" s="1185"/>
      <c r="PWK387" s="1185"/>
      <c r="PWL387" s="1185"/>
      <c r="PWM387" s="1185"/>
      <c r="PWN387" s="1185"/>
      <c r="PWO387" s="1185"/>
      <c r="PWP387" s="1185"/>
      <c r="PWQ387" s="1185"/>
      <c r="PWR387" s="1185"/>
      <c r="PWS387" s="1185"/>
      <c r="PWT387" s="1185"/>
      <c r="PWU387" s="1185"/>
      <c r="PWV387" s="1185"/>
      <c r="PWW387" s="1185"/>
      <c r="PWX387" s="1185"/>
      <c r="PWY387" s="1185"/>
      <c r="PWZ387" s="1185"/>
      <c r="PXA387" s="1185"/>
      <c r="PXB387" s="1185"/>
      <c r="PXC387" s="1185"/>
      <c r="PXD387" s="1185"/>
      <c r="PXE387" s="1185"/>
      <c r="PXF387" s="1185"/>
      <c r="PXG387" s="1185"/>
      <c r="PXH387" s="1185"/>
      <c r="PXI387" s="1185"/>
      <c r="PXJ387" s="1185"/>
      <c r="PXK387" s="1185"/>
      <c r="PXL387" s="1185"/>
      <c r="PXM387" s="1185"/>
      <c r="PXN387" s="1185"/>
      <c r="PXO387" s="1185"/>
      <c r="PXP387" s="1185"/>
      <c r="PXQ387" s="1185"/>
      <c r="PXR387" s="1185"/>
      <c r="PXS387" s="1185"/>
      <c r="PXT387" s="1185"/>
      <c r="PXU387" s="1185"/>
      <c r="PXV387" s="1185"/>
      <c r="PXW387" s="1185"/>
      <c r="PXX387" s="1185"/>
      <c r="PXY387" s="1185"/>
      <c r="PXZ387" s="1185"/>
      <c r="PYA387" s="1185"/>
      <c r="PYB387" s="1185"/>
      <c r="PYC387" s="1185"/>
      <c r="PYD387" s="1185"/>
      <c r="PYE387" s="1185"/>
      <c r="PYF387" s="1185"/>
      <c r="PYG387" s="1185"/>
      <c r="PYH387" s="1185"/>
      <c r="PYI387" s="1185"/>
      <c r="PYJ387" s="1185"/>
      <c r="PYK387" s="1185"/>
      <c r="PYL387" s="1185"/>
      <c r="PYM387" s="1185"/>
      <c r="PYN387" s="1185"/>
      <c r="PYO387" s="1185"/>
      <c r="PYP387" s="1185"/>
      <c r="PYQ387" s="1185"/>
      <c r="PYR387" s="1185"/>
      <c r="PYS387" s="1185"/>
      <c r="PYT387" s="1185"/>
      <c r="PYU387" s="1185"/>
      <c r="PYV387" s="1185"/>
      <c r="PYW387" s="1185"/>
      <c r="PYX387" s="1185"/>
      <c r="PYY387" s="1185"/>
      <c r="PYZ387" s="1185"/>
      <c r="PZA387" s="1185"/>
      <c r="PZB387" s="1185"/>
      <c r="PZC387" s="1185"/>
      <c r="PZD387" s="1185"/>
      <c r="PZE387" s="1185"/>
      <c r="PZF387" s="1185"/>
      <c r="PZG387" s="1185"/>
      <c r="PZH387" s="1185"/>
      <c r="PZI387" s="1185"/>
      <c r="PZJ387" s="1185"/>
      <c r="PZK387" s="1185"/>
      <c r="PZL387" s="1185"/>
      <c r="PZM387" s="1185"/>
      <c r="PZN387" s="1185"/>
      <c r="PZO387" s="1185"/>
      <c r="PZP387" s="1185"/>
      <c r="PZQ387" s="1185"/>
      <c r="PZR387" s="1185"/>
      <c r="PZS387" s="1185"/>
      <c r="PZT387" s="1185"/>
      <c r="PZU387" s="1185"/>
      <c r="PZV387" s="1185"/>
      <c r="PZW387" s="1185"/>
      <c r="PZX387" s="1185"/>
      <c r="PZY387" s="1185"/>
      <c r="PZZ387" s="1185"/>
      <c r="QAA387" s="1185"/>
      <c r="QAB387" s="1185"/>
      <c r="QAC387" s="1185"/>
      <c r="QAD387" s="1185"/>
      <c r="QAE387" s="1185"/>
      <c r="QAF387" s="1185"/>
      <c r="QAG387" s="1185"/>
      <c r="QAH387" s="1185"/>
      <c r="QAI387" s="1185"/>
      <c r="QAJ387" s="1185"/>
      <c r="QAK387" s="1185"/>
      <c r="QAL387" s="1185"/>
      <c r="QAM387" s="1185"/>
      <c r="QAN387" s="1185"/>
      <c r="QAO387" s="1185"/>
      <c r="QAP387" s="1185"/>
      <c r="QAQ387" s="1185"/>
      <c r="QAR387" s="1185"/>
      <c r="QAS387" s="1185"/>
      <c r="QAT387" s="1185"/>
      <c r="QAU387" s="1185"/>
      <c r="QAV387" s="1185"/>
      <c r="QAW387" s="1185"/>
      <c r="QAX387" s="1185"/>
      <c r="QAY387" s="1185"/>
      <c r="QAZ387" s="1185"/>
      <c r="QBA387" s="1185"/>
      <c r="QBB387" s="1185"/>
      <c r="QBC387" s="1185"/>
      <c r="QBD387" s="1185"/>
      <c r="QBE387" s="1185"/>
      <c r="QBF387" s="1185"/>
      <c r="QBG387" s="1185"/>
      <c r="QBH387" s="1185"/>
      <c r="QBI387" s="1185"/>
      <c r="QBJ387" s="1185"/>
      <c r="QBK387" s="1185"/>
      <c r="QBL387" s="1185"/>
      <c r="QBM387" s="1185"/>
      <c r="QBN387" s="1185"/>
      <c r="QBO387" s="1185"/>
      <c r="QBP387" s="1185"/>
      <c r="QBQ387" s="1185"/>
      <c r="QBR387" s="1185"/>
      <c r="QBS387" s="1185"/>
      <c r="QBT387" s="1185"/>
      <c r="QBU387" s="1185"/>
      <c r="QBV387" s="1185"/>
      <c r="QBW387" s="1185"/>
      <c r="QBX387" s="1185"/>
      <c r="QBY387" s="1185"/>
      <c r="QBZ387" s="1185"/>
      <c r="QCA387" s="1185"/>
      <c r="QCB387" s="1185"/>
      <c r="QCC387" s="1185"/>
      <c r="QCD387" s="1185"/>
      <c r="QCE387" s="1185"/>
      <c r="QCF387" s="1185"/>
      <c r="QCG387" s="1185"/>
      <c r="QCH387" s="1185"/>
      <c r="QCI387" s="1185"/>
      <c r="QCJ387" s="1185"/>
      <c r="QCK387" s="1185"/>
      <c r="QCL387" s="1185"/>
      <c r="QCM387" s="1185"/>
      <c r="QCN387" s="1185"/>
      <c r="QCO387" s="1185"/>
      <c r="QCP387" s="1185"/>
      <c r="QCQ387" s="1185"/>
      <c r="QCR387" s="1185"/>
      <c r="QCS387" s="1185"/>
      <c r="QCT387" s="1185"/>
      <c r="QCU387" s="1185"/>
      <c r="QCV387" s="1185"/>
      <c r="QCW387" s="1185"/>
      <c r="QCX387" s="1185"/>
      <c r="QCY387" s="1185"/>
      <c r="QCZ387" s="1185"/>
      <c r="QDA387" s="1185"/>
      <c r="QDB387" s="1185"/>
      <c r="QDC387" s="1185"/>
      <c r="QDD387" s="1185"/>
      <c r="QDE387" s="1185"/>
      <c r="QDF387" s="1185"/>
      <c r="QDG387" s="1185"/>
      <c r="QDH387" s="1185"/>
      <c r="QDI387" s="1185"/>
      <c r="QDJ387" s="1185"/>
      <c r="QDK387" s="1185"/>
      <c r="QDL387" s="1185"/>
      <c r="QDM387" s="1185"/>
      <c r="QDN387" s="1185"/>
      <c r="QDO387" s="1185"/>
      <c r="QDP387" s="1185"/>
      <c r="QDQ387" s="1185"/>
      <c r="QDR387" s="1185"/>
      <c r="QDS387" s="1185"/>
      <c r="QDT387" s="1185"/>
      <c r="QDU387" s="1185"/>
      <c r="QDV387" s="1185"/>
      <c r="QDW387" s="1185"/>
      <c r="QDX387" s="1185"/>
      <c r="QDY387" s="1185"/>
      <c r="QDZ387" s="1185"/>
      <c r="QEA387" s="1185"/>
      <c r="QEB387" s="1185"/>
      <c r="QEC387" s="1185"/>
      <c r="QED387" s="1185"/>
      <c r="QEE387" s="1185"/>
      <c r="QEF387" s="1185"/>
      <c r="QEG387" s="1185"/>
      <c r="QEH387" s="1185"/>
      <c r="QEI387" s="1185"/>
      <c r="QEJ387" s="1185"/>
      <c r="QEK387" s="1185"/>
      <c r="QEL387" s="1185"/>
      <c r="QEM387" s="1185"/>
      <c r="QEN387" s="1185"/>
      <c r="QEO387" s="1185"/>
      <c r="QEP387" s="1185"/>
      <c r="QEQ387" s="1185"/>
      <c r="QER387" s="1185"/>
      <c r="QES387" s="1185"/>
      <c r="QET387" s="1185"/>
      <c r="QEU387" s="1185"/>
      <c r="QEV387" s="1185"/>
      <c r="QEW387" s="1185"/>
      <c r="QEX387" s="1185"/>
      <c r="QEY387" s="1185"/>
      <c r="QEZ387" s="1185"/>
      <c r="QFA387" s="1185"/>
      <c r="QFB387" s="1185"/>
      <c r="QFC387" s="1185"/>
      <c r="QFD387" s="1185"/>
      <c r="QFE387" s="1185"/>
      <c r="QFF387" s="1185"/>
      <c r="QFG387" s="1185"/>
      <c r="QFH387" s="1185"/>
      <c r="QFI387" s="1185"/>
      <c r="QFJ387" s="1185"/>
      <c r="QFK387" s="1185"/>
      <c r="QFL387" s="1185"/>
      <c r="QFM387" s="1185"/>
      <c r="QFN387" s="1185"/>
      <c r="QFO387" s="1185"/>
      <c r="QFP387" s="1185"/>
      <c r="QFQ387" s="1185"/>
      <c r="QFR387" s="1185"/>
      <c r="QFS387" s="1185"/>
      <c r="QFT387" s="1185"/>
      <c r="QFU387" s="1185"/>
      <c r="QFV387" s="1185"/>
      <c r="QFW387" s="1185"/>
      <c r="QFX387" s="1185"/>
      <c r="QFY387" s="1185"/>
      <c r="QFZ387" s="1185"/>
      <c r="QGA387" s="1185"/>
      <c r="QGB387" s="1185"/>
      <c r="QGC387" s="1185"/>
      <c r="QGD387" s="1185"/>
      <c r="QGE387" s="1185"/>
      <c r="QGF387" s="1185"/>
      <c r="QGG387" s="1185"/>
      <c r="QGH387" s="1185"/>
      <c r="QGI387" s="1185"/>
      <c r="QGJ387" s="1185"/>
      <c r="QGK387" s="1185"/>
      <c r="QGL387" s="1185"/>
      <c r="QGM387" s="1185"/>
      <c r="QGN387" s="1185"/>
      <c r="QGO387" s="1185"/>
      <c r="QGP387" s="1185"/>
      <c r="QGQ387" s="1185"/>
      <c r="QGR387" s="1185"/>
      <c r="QGS387" s="1185"/>
      <c r="QGT387" s="1185"/>
      <c r="QGU387" s="1185"/>
      <c r="QGV387" s="1185"/>
      <c r="QGW387" s="1185"/>
      <c r="QGX387" s="1185"/>
      <c r="QGY387" s="1185"/>
      <c r="QGZ387" s="1185"/>
      <c r="QHA387" s="1185"/>
      <c r="QHB387" s="1185"/>
      <c r="QHC387" s="1185"/>
      <c r="QHD387" s="1185"/>
      <c r="QHE387" s="1185"/>
      <c r="QHF387" s="1185"/>
      <c r="QHG387" s="1185"/>
      <c r="QHH387" s="1185"/>
      <c r="QHI387" s="1185"/>
      <c r="QHJ387" s="1185"/>
      <c r="QHK387" s="1185"/>
      <c r="QHL387" s="1185"/>
      <c r="QHM387" s="1185"/>
      <c r="QHN387" s="1185"/>
      <c r="QHO387" s="1185"/>
      <c r="QHP387" s="1185"/>
      <c r="QHQ387" s="1185"/>
      <c r="QHR387" s="1185"/>
      <c r="QHS387" s="1185"/>
      <c r="QHT387" s="1185"/>
      <c r="QHU387" s="1185"/>
      <c r="QHV387" s="1185"/>
      <c r="QHW387" s="1185"/>
      <c r="QHX387" s="1185"/>
      <c r="QHY387" s="1185"/>
      <c r="QHZ387" s="1185"/>
      <c r="QIA387" s="1185"/>
      <c r="QIB387" s="1185"/>
      <c r="QIC387" s="1185"/>
      <c r="QID387" s="1185"/>
      <c r="QIE387" s="1185"/>
      <c r="QIF387" s="1185"/>
      <c r="QIG387" s="1185"/>
      <c r="QIH387" s="1185"/>
      <c r="QII387" s="1185"/>
      <c r="QIJ387" s="1185"/>
      <c r="QIK387" s="1185"/>
      <c r="QIL387" s="1185"/>
      <c r="QIM387" s="1185"/>
      <c r="QIN387" s="1185"/>
      <c r="QIO387" s="1185"/>
      <c r="QIP387" s="1185"/>
      <c r="QIQ387" s="1185"/>
      <c r="QIR387" s="1185"/>
      <c r="QIS387" s="1185"/>
      <c r="QIT387" s="1185"/>
      <c r="QIU387" s="1185"/>
      <c r="QIV387" s="1185"/>
      <c r="QIW387" s="1185"/>
      <c r="QIX387" s="1185"/>
      <c r="QIY387" s="1185"/>
      <c r="QIZ387" s="1185"/>
      <c r="QJA387" s="1185"/>
      <c r="QJB387" s="1185"/>
      <c r="QJC387" s="1185"/>
      <c r="QJD387" s="1185"/>
      <c r="QJE387" s="1185"/>
      <c r="QJF387" s="1185"/>
      <c r="QJG387" s="1185"/>
      <c r="QJH387" s="1185"/>
      <c r="QJI387" s="1185"/>
      <c r="QJJ387" s="1185"/>
      <c r="QJK387" s="1185"/>
      <c r="QJL387" s="1185"/>
      <c r="QJM387" s="1185"/>
      <c r="QJN387" s="1185"/>
      <c r="QJO387" s="1185"/>
      <c r="QJP387" s="1185"/>
      <c r="QJQ387" s="1185"/>
      <c r="QJR387" s="1185"/>
      <c r="QJS387" s="1185"/>
      <c r="QJT387" s="1185"/>
      <c r="QJU387" s="1185"/>
      <c r="QJV387" s="1185"/>
      <c r="QJW387" s="1185"/>
      <c r="QJX387" s="1185"/>
      <c r="QJY387" s="1185"/>
      <c r="QJZ387" s="1185"/>
      <c r="QKA387" s="1185"/>
      <c r="QKB387" s="1185"/>
      <c r="QKC387" s="1185"/>
      <c r="QKD387" s="1185"/>
      <c r="QKE387" s="1185"/>
      <c r="QKF387" s="1185"/>
      <c r="QKG387" s="1185"/>
      <c r="QKH387" s="1185"/>
      <c r="QKI387" s="1185"/>
      <c r="QKJ387" s="1185"/>
      <c r="QKK387" s="1185"/>
      <c r="QKL387" s="1185"/>
      <c r="QKM387" s="1185"/>
      <c r="QKN387" s="1185"/>
      <c r="QKO387" s="1185"/>
      <c r="QKP387" s="1185"/>
      <c r="QKQ387" s="1185"/>
      <c r="QKR387" s="1185"/>
      <c r="QKS387" s="1185"/>
      <c r="QKT387" s="1185"/>
      <c r="QKU387" s="1185"/>
      <c r="QKV387" s="1185"/>
      <c r="QKW387" s="1185"/>
      <c r="QKX387" s="1185"/>
      <c r="QKY387" s="1185"/>
      <c r="QKZ387" s="1185"/>
      <c r="QLA387" s="1185"/>
      <c r="QLB387" s="1185"/>
      <c r="QLC387" s="1185"/>
      <c r="QLD387" s="1185"/>
      <c r="QLE387" s="1185"/>
      <c r="QLF387" s="1185"/>
      <c r="QLG387" s="1185"/>
      <c r="QLH387" s="1185"/>
      <c r="QLI387" s="1185"/>
      <c r="QLJ387" s="1185"/>
      <c r="QLK387" s="1185"/>
      <c r="QLL387" s="1185"/>
      <c r="QLM387" s="1185"/>
      <c r="QLN387" s="1185"/>
      <c r="QLO387" s="1185"/>
      <c r="QLP387" s="1185"/>
      <c r="QLQ387" s="1185"/>
      <c r="QLR387" s="1185"/>
      <c r="QLS387" s="1185"/>
      <c r="QLT387" s="1185"/>
      <c r="QLU387" s="1185"/>
      <c r="QLV387" s="1185"/>
      <c r="QLW387" s="1185"/>
      <c r="QLX387" s="1185"/>
      <c r="QLY387" s="1185"/>
      <c r="QLZ387" s="1185"/>
      <c r="QMA387" s="1185"/>
      <c r="QMB387" s="1185"/>
      <c r="QMC387" s="1185"/>
      <c r="QMD387" s="1185"/>
      <c r="QME387" s="1185"/>
      <c r="QMF387" s="1185"/>
      <c r="QMG387" s="1185"/>
      <c r="QMH387" s="1185"/>
      <c r="QMI387" s="1185"/>
      <c r="QMJ387" s="1185"/>
      <c r="QMK387" s="1185"/>
      <c r="QML387" s="1185"/>
      <c r="QMM387" s="1185"/>
      <c r="QMN387" s="1185"/>
      <c r="QMO387" s="1185"/>
      <c r="QMP387" s="1185"/>
      <c r="QMQ387" s="1185"/>
      <c r="QMR387" s="1185"/>
      <c r="QMS387" s="1185"/>
      <c r="QMT387" s="1185"/>
      <c r="QMU387" s="1185"/>
      <c r="QMV387" s="1185"/>
      <c r="QMW387" s="1185"/>
      <c r="QMX387" s="1185"/>
      <c r="QMY387" s="1185"/>
      <c r="QMZ387" s="1185"/>
      <c r="QNA387" s="1185"/>
      <c r="QNB387" s="1185"/>
      <c r="QNC387" s="1185"/>
      <c r="QND387" s="1185"/>
      <c r="QNE387" s="1185"/>
      <c r="QNF387" s="1185"/>
      <c r="QNG387" s="1185"/>
      <c r="QNH387" s="1185"/>
      <c r="QNI387" s="1185"/>
      <c r="QNJ387" s="1185"/>
      <c r="QNK387" s="1185"/>
      <c r="QNL387" s="1185"/>
      <c r="QNM387" s="1185"/>
      <c r="QNN387" s="1185"/>
      <c r="QNO387" s="1185"/>
      <c r="QNP387" s="1185"/>
      <c r="QNQ387" s="1185"/>
      <c r="QNR387" s="1185"/>
      <c r="QNS387" s="1185"/>
      <c r="QNT387" s="1185"/>
      <c r="QNU387" s="1185"/>
      <c r="QNV387" s="1185"/>
      <c r="QNW387" s="1185"/>
      <c r="QNX387" s="1185"/>
      <c r="QNY387" s="1185"/>
      <c r="QNZ387" s="1185"/>
      <c r="QOA387" s="1185"/>
      <c r="QOB387" s="1185"/>
      <c r="QOC387" s="1185"/>
      <c r="QOD387" s="1185"/>
      <c r="QOE387" s="1185"/>
      <c r="QOF387" s="1185"/>
      <c r="QOG387" s="1185"/>
      <c r="QOH387" s="1185"/>
      <c r="QOI387" s="1185"/>
      <c r="QOJ387" s="1185"/>
      <c r="QOK387" s="1185"/>
      <c r="QOL387" s="1185"/>
      <c r="QOM387" s="1185"/>
      <c r="QON387" s="1185"/>
      <c r="QOO387" s="1185"/>
      <c r="QOP387" s="1185"/>
      <c r="QOQ387" s="1185"/>
      <c r="QOR387" s="1185"/>
      <c r="QOS387" s="1185"/>
      <c r="QOT387" s="1185"/>
      <c r="QOU387" s="1185"/>
      <c r="QOV387" s="1185"/>
      <c r="QOW387" s="1185"/>
      <c r="QOX387" s="1185"/>
      <c r="QOY387" s="1185"/>
      <c r="QOZ387" s="1185"/>
      <c r="QPA387" s="1185"/>
      <c r="QPB387" s="1185"/>
      <c r="QPC387" s="1185"/>
      <c r="QPD387" s="1185"/>
      <c r="QPE387" s="1185"/>
      <c r="QPF387" s="1185"/>
      <c r="QPG387" s="1185"/>
      <c r="QPH387" s="1185"/>
      <c r="QPI387" s="1185"/>
      <c r="QPJ387" s="1185"/>
      <c r="QPK387" s="1185"/>
      <c r="QPL387" s="1185"/>
      <c r="QPM387" s="1185"/>
      <c r="QPN387" s="1185"/>
      <c r="QPO387" s="1185"/>
      <c r="QPP387" s="1185"/>
      <c r="QPQ387" s="1185"/>
      <c r="QPR387" s="1185"/>
      <c r="QPS387" s="1185"/>
      <c r="QPT387" s="1185"/>
      <c r="QPU387" s="1185"/>
      <c r="QPV387" s="1185"/>
      <c r="QPW387" s="1185"/>
      <c r="QPX387" s="1185"/>
      <c r="QPY387" s="1185"/>
      <c r="QPZ387" s="1185"/>
      <c r="QQA387" s="1185"/>
      <c r="QQB387" s="1185"/>
      <c r="QQC387" s="1185"/>
      <c r="QQD387" s="1185"/>
      <c r="QQE387" s="1185"/>
      <c r="QQF387" s="1185"/>
      <c r="QQG387" s="1185"/>
      <c r="QQH387" s="1185"/>
      <c r="QQI387" s="1185"/>
      <c r="QQJ387" s="1185"/>
      <c r="QQK387" s="1185"/>
      <c r="QQL387" s="1185"/>
      <c r="QQM387" s="1185"/>
      <c r="QQN387" s="1185"/>
      <c r="QQO387" s="1185"/>
      <c r="QQP387" s="1185"/>
      <c r="QQQ387" s="1185"/>
      <c r="QQR387" s="1185"/>
      <c r="QQS387" s="1185"/>
      <c r="QQT387" s="1185"/>
      <c r="QQU387" s="1185"/>
      <c r="QQV387" s="1185"/>
      <c r="QQW387" s="1185"/>
      <c r="QQX387" s="1185"/>
      <c r="QQY387" s="1185"/>
      <c r="QQZ387" s="1185"/>
      <c r="QRA387" s="1185"/>
      <c r="QRB387" s="1185"/>
      <c r="QRC387" s="1185"/>
      <c r="QRD387" s="1185"/>
      <c r="QRE387" s="1185"/>
      <c r="QRF387" s="1185"/>
      <c r="QRG387" s="1185"/>
      <c r="QRH387" s="1185"/>
      <c r="QRI387" s="1185"/>
      <c r="QRJ387" s="1185"/>
      <c r="QRK387" s="1185"/>
      <c r="QRL387" s="1185"/>
      <c r="QRM387" s="1185"/>
      <c r="QRN387" s="1185"/>
      <c r="QRO387" s="1185"/>
      <c r="QRP387" s="1185"/>
      <c r="QRQ387" s="1185"/>
      <c r="QRR387" s="1185"/>
      <c r="QRS387" s="1185"/>
      <c r="QRT387" s="1185"/>
      <c r="QRU387" s="1185"/>
      <c r="QRV387" s="1185"/>
      <c r="QRW387" s="1185"/>
      <c r="QRX387" s="1185"/>
      <c r="QRY387" s="1185"/>
      <c r="QRZ387" s="1185"/>
      <c r="QSA387" s="1185"/>
      <c r="QSB387" s="1185"/>
      <c r="QSC387" s="1185"/>
      <c r="QSD387" s="1185"/>
      <c r="QSE387" s="1185"/>
      <c r="QSF387" s="1185"/>
      <c r="QSG387" s="1185"/>
      <c r="QSH387" s="1185"/>
      <c r="QSI387" s="1185"/>
      <c r="QSJ387" s="1185"/>
      <c r="QSK387" s="1185"/>
      <c r="QSL387" s="1185"/>
      <c r="QSM387" s="1185"/>
      <c r="QSN387" s="1185"/>
      <c r="QSO387" s="1185"/>
      <c r="QSP387" s="1185"/>
      <c r="QSQ387" s="1185"/>
      <c r="QSR387" s="1185"/>
      <c r="QSS387" s="1185"/>
      <c r="QST387" s="1185"/>
      <c r="QSU387" s="1185"/>
      <c r="QSV387" s="1185"/>
      <c r="QSW387" s="1185"/>
      <c r="QSX387" s="1185"/>
      <c r="QSY387" s="1185"/>
      <c r="QSZ387" s="1185"/>
      <c r="QTA387" s="1185"/>
      <c r="QTB387" s="1185"/>
      <c r="QTC387" s="1185"/>
      <c r="QTD387" s="1185"/>
      <c r="QTE387" s="1185"/>
      <c r="QTF387" s="1185"/>
      <c r="QTG387" s="1185"/>
      <c r="QTH387" s="1185"/>
      <c r="QTI387" s="1185"/>
      <c r="QTJ387" s="1185"/>
      <c r="QTK387" s="1185"/>
      <c r="QTL387" s="1185"/>
      <c r="QTM387" s="1185"/>
      <c r="QTN387" s="1185"/>
      <c r="QTO387" s="1185"/>
      <c r="QTP387" s="1185"/>
      <c r="QTQ387" s="1185"/>
      <c r="QTR387" s="1185"/>
      <c r="QTS387" s="1185"/>
      <c r="QTT387" s="1185"/>
      <c r="QTU387" s="1185"/>
      <c r="QTV387" s="1185"/>
      <c r="QTW387" s="1185"/>
      <c r="QTX387" s="1185"/>
      <c r="QTY387" s="1185"/>
      <c r="QTZ387" s="1185"/>
      <c r="QUA387" s="1185"/>
      <c r="QUB387" s="1185"/>
      <c r="QUC387" s="1185"/>
      <c r="QUD387" s="1185"/>
      <c r="QUE387" s="1185"/>
      <c r="QUF387" s="1185"/>
      <c r="QUG387" s="1185"/>
      <c r="QUH387" s="1185"/>
      <c r="QUI387" s="1185"/>
      <c r="QUJ387" s="1185"/>
      <c r="QUK387" s="1185"/>
      <c r="QUL387" s="1185"/>
      <c r="QUM387" s="1185"/>
      <c r="QUN387" s="1185"/>
      <c r="QUO387" s="1185"/>
      <c r="QUP387" s="1185"/>
      <c r="QUQ387" s="1185"/>
      <c r="QUR387" s="1185"/>
      <c r="QUS387" s="1185"/>
      <c r="QUT387" s="1185"/>
      <c r="QUU387" s="1185"/>
      <c r="QUV387" s="1185"/>
      <c r="QUW387" s="1185"/>
      <c r="QUX387" s="1185"/>
      <c r="QUY387" s="1185"/>
      <c r="QUZ387" s="1185"/>
      <c r="QVA387" s="1185"/>
      <c r="QVB387" s="1185"/>
      <c r="QVC387" s="1185"/>
      <c r="QVD387" s="1185"/>
      <c r="QVE387" s="1185"/>
      <c r="QVF387" s="1185"/>
      <c r="QVG387" s="1185"/>
      <c r="QVH387" s="1185"/>
      <c r="QVI387" s="1185"/>
      <c r="QVJ387" s="1185"/>
      <c r="QVK387" s="1185"/>
      <c r="QVL387" s="1185"/>
      <c r="QVM387" s="1185"/>
      <c r="QVN387" s="1185"/>
      <c r="QVO387" s="1185"/>
      <c r="QVP387" s="1185"/>
      <c r="QVQ387" s="1185"/>
      <c r="QVR387" s="1185"/>
      <c r="QVS387" s="1185"/>
      <c r="QVT387" s="1185"/>
      <c r="QVU387" s="1185"/>
      <c r="QVV387" s="1185"/>
      <c r="QVW387" s="1185"/>
      <c r="QVX387" s="1185"/>
      <c r="QVY387" s="1185"/>
      <c r="QVZ387" s="1185"/>
      <c r="QWA387" s="1185"/>
      <c r="QWB387" s="1185"/>
      <c r="QWC387" s="1185"/>
      <c r="QWD387" s="1185"/>
      <c r="QWE387" s="1185"/>
      <c r="QWF387" s="1185"/>
      <c r="QWG387" s="1185"/>
      <c r="QWH387" s="1185"/>
      <c r="QWI387" s="1185"/>
      <c r="QWJ387" s="1185"/>
      <c r="QWK387" s="1185"/>
      <c r="QWL387" s="1185"/>
      <c r="QWM387" s="1185"/>
      <c r="QWN387" s="1185"/>
      <c r="QWO387" s="1185"/>
      <c r="QWP387" s="1185"/>
      <c r="QWQ387" s="1185"/>
      <c r="QWR387" s="1185"/>
      <c r="QWS387" s="1185"/>
      <c r="QWT387" s="1185"/>
      <c r="QWU387" s="1185"/>
      <c r="QWV387" s="1185"/>
      <c r="QWW387" s="1185"/>
      <c r="QWX387" s="1185"/>
      <c r="QWY387" s="1185"/>
      <c r="QWZ387" s="1185"/>
      <c r="QXA387" s="1185"/>
      <c r="QXB387" s="1185"/>
      <c r="QXC387" s="1185"/>
      <c r="QXD387" s="1185"/>
      <c r="QXE387" s="1185"/>
      <c r="QXF387" s="1185"/>
      <c r="QXG387" s="1185"/>
      <c r="QXH387" s="1185"/>
      <c r="QXI387" s="1185"/>
      <c r="QXJ387" s="1185"/>
      <c r="QXK387" s="1185"/>
      <c r="QXL387" s="1185"/>
      <c r="QXM387" s="1185"/>
      <c r="QXN387" s="1185"/>
      <c r="QXO387" s="1185"/>
      <c r="QXP387" s="1185"/>
      <c r="QXQ387" s="1185"/>
      <c r="QXR387" s="1185"/>
      <c r="QXS387" s="1185"/>
      <c r="QXT387" s="1185"/>
      <c r="QXU387" s="1185"/>
      <c r="QXV387" s="1185"/>
      <c r="QXW387" s="1185"/>
      <c r="QXX387" s="1185"/>
      <c r="QXY387" s="1185"/>
      <c r="QXZ387" s="1185"/>
      <c r="QYA387" s="1185"/>
      <c r="QYB387" s="1185"/>
      <c r="QYC387" s="1185"/>
      <c r="QYD387" s="1185"/>
      <c r="QYE387" s="1185"/>
      <c r="QYF387" s="1185"/>
      <c r="QYG387" s="1185"/>
      <c r="QYH387" s="1185"/>
      <c r="QYI387" s="1185"/>
      <c r="QYJ387" s="1185"/>
      <c r="QYK387" s="1185"/>
      <c r="QYL387" s="1185"/>
      <c r="QYM387" s="1185"/>
      <c r="QYN387" s="1185"/>
      <c r="QYO387" s="1185"/>
      <c r="QYP387" s="1185"/>
      <c r="QYQ387" s="1185"/>
      <c r="QYR387" s="1185"/>
      <c r="QYS387" s="1185"/>
      <c r="QYT387" s="1185"/>
      <c r="QYU387" s="1185"/>
      <c r="QYV387" s="1185"/>
      <c r="QYW387" s="1185"/>
      <c r="QYX387" s="1185"/>
      <c r="QYY387" s="1185"/>
      <c r="QYZ387" s="1185"/>
      <c r="QZA387" s="1185"/>
      <c r="QZB387" s="1185"/>
      <c r="QZC387" s="1185"/>
      <c r="QZD387" s="1185"/>
      <c r="QZE387" s="1185"/>
      <c r="QZF387" s="1185"/>
      <c r="QZG387" s="1185"/>
      <c r="QZH387" s="1185"/>
      <c r="QZI387" s="1185"/>
      <c r="QZJ387" s="1185"/>
      <c r="QZK387" s="1185"/>
      <c r="QZL387" s="1185"/>
      <c r="QZM387" s="1185"/>
      <c r="QZN387" s="1185"/>
      <c r="QZO387" s="1185"/>
      <c r="QZP387" s="1185"/>
      <c r="QZQ387" s="1185"/>
      <c r="QZR387" s="1185"/>
      <c r="QZS387" s="1185"/>
      <c r="QZT387" s="1185"/>
      <c r="QZU387" s="1185"/>
      <c r="QZV387" s="1185"/>
      <c r="QZW387" s="1185"/>
      <c r="QZX387" s="1185"/>
      <c r="QZY387" s="1185"/>
      <c r="QZZ387" s="1185"/>
      <c r="RAA387" s="1185"/>
      <c r="RAB387" s="1185"/>
      <c r="RAC387" s="1185"/>
      <c r="RAD387" s="1185"/>
      <c r="RAE387" s="1185"/>
      <c r="RAF387" s="1185"/>
      <c r="RAG387" s="1185"/>
      <c r="RAH387" s="1185"/>
      <c r="RAI387" s="1185"/>
      <c r="RAJ387" s="1185"/>
      <c r="RAK387" s="1185"/>
      <c r="RAL387" s="1185"/>
      <c r="RAM387" s="1185"/>
      <c r="RAN387" s="1185"/>
      <c r="RAO387" s="1185"/>
      <c r="RAP387" s="1185"/>
      <c r="RAQ387" s="1185"/>
      <c r="RAR387" s="1185"/>
      <c r="RAS387" s="1185"/>
      <c r="RAT387" s="1185"/>
      <c r="RAU387" s="1185"/>
      <c r="RAV387" s="1185"/>
      <c r="RAW387" s="1185"/>
      <c r="RAX387" s="1185"/>
      <c r="RAY387" s="1185"/>
      <c r="RAZ387" s="1185"/>
      <c r="RBA387" s="1185"/>
      <c r="RBB387" s="1185"/>
      <c r="RBC387" s="1185"/>
      <c r="RBD387" s="1185"/>
      <c r="RBE387" s="1185"/>
      <c r="RBF387" s="1185"/>
      <c r="RBG387" s="1185"/>
      <c r="RBH387" s="1185"/>
      <c r="RBI387" s="1185"/>
      <c r="RBJ387" s="1185"/>
      <c r="RBK387" s="1185"/>
      <c r="RBL387" s="1185"/>
      <c r="RBM387" s="1185"/>
      <c r="RBN387" s="1185"/>
      <c r="RBO387" s="1185"/>
      <c r="RBP387" s="1185"/>
      <c r="RBQ387" s="1185"/>
      <c r="RBR387" s="1185"/>
      <c r="RBS387" s="1185"/>
      <c r="RBT387" s="1185"/>
      <c r="RBU387" s="1185"/>
      <c r="RBV387" s="1185"/>
      <c r="RBW387" s="1185"/>
      <c r="RBX387" s="1185"/>
      <c r="RBY387" s="1185"/>
      <c r="RBZ387" s="1185"/>
      <c r="RCA387" s="1185"/>
      <c r="RCB387" s="1185"/>
      <c r="RCC387" s="1185"/>
      <c r="RCD387" s="1185"/>
      <c r="RCE387" s="1185"/>
      <c r="RCF387" s="1185"/>
      <c r="RCG387" s="1185"/>
      <c r="RCH387" s="1185"/>
      <c r="RCI387" s="1185"/>
      <c r="RCJ387" s="1185"/>
      <c r="RCK387" s="1185"/>
      <c r="RCL387" s="1185"/>
      <c r="RCM387" s="1185"/>
      <c r="RCN387" s="1185"/>
      <c r="RCO387" s="1185"/>
      <c r="RCP387" s="1185"/>
      <c r="RCQ387" s="1185"/>
      <c r="RCR387" s="1185"/>
      <c r="RCS387" s="1185"/>
      <c r="RCT387" s="1185"/>
      <c r="RCU387" s="1185"/>
      <c r="RCV387" s="1185"/>
      <c r="RCW387" s="1185"/>
      <c r="RCX387" s="1185"/>
      <c r="RCY387" s="1185"/>
      <c r="RCZ387" s="1185"/>
      <c r="RDA387" s="1185"/>
      <c r="RDB387" s="1185"/>
      <c r="RDC387" s="1185"/>
      <c r="RDD387" s="1185"/>
      <c r="RDE387" s="1185"/>
      <c r="RDF387" s="1185"/>
      <c r="RDG387" s="1185"/>
      <c r="RDH387" s="1185"/>
      <c r="RDI387" s="1185"/>
      <c r="RDJ387" s="1185"/>
      <c r="RDK387" s="1185"/>
      <c r="RDL387" s="1185"/>
      <c r="RDM387" s="1185"/>
      <c r="RDN387" s="1185"/>
      <c r="RDO387" s="1185"/>
      <c r="RDP387" s="1185"/>
      <c r="RDQ387" s="1185"/>
      <c r="RDR387" s="1185"/>
      <c r="RDS387" s="1185"/>
      <c r="RDT387" s="1185"/>
      <c r="RDU387" s="1185"/>
      <c r="RDV387" s="1185"/>
      <c r="RDW387" s="1185"/>
      <c r="RDX387" s="1185"/>
      <c r="RDY387" s="1185"/>
      <c r="RDZ387" s="1185"/>
      <c r="REA387" s="1185"/>
      <c r="REB387" s="1185"/>
      <c r="REC387" s="1185"/>
      <c r="RED387" s="1185"/>
      <c r="REE387" s="1185"/>
      <c r="REF387" s="1185"/>
      <c r="REG387" s="1185"/>
      <c r="REH387" s="1185"/>
      <c r="REI387" s="1185"/>
      <c r="REJ387" s="1185"/>
      <c r="REK387" s="1185"/>
      <c r="REL387" s="1185"/>
      <c r="REM387" s="1185"/>
      <c r="REN387" s="1185"/>
      <c r="REO387" s="1185"/>
      <c r="REP387" s="1185"/>
      <c r="REQ387" s="1185"/>
      <c r="RER387" s="1185"/>
      <c r="RES387" s="1185"/>
      <c r="RET387" s="1185"/>
      <c r="REU387" s="1185"/>
      <c r="REV387" s="1185"/>
      <c r="REW387" s="1185"/>
      <c r="REX387" s="1185"/>
      <c r="REY387" s="1185"/>
      <c r="REZ387" s="1185"/>
      <c r="RFA387" s="1185"/>
      <c r="RFB387" s="1185"/>
      <c r="RFC387" s="1185"/>
      <c r="RFD387" s="1185"/>
      <c r="RFE387" s="1185"/>
      <c r="RFF387" s="1185"/>
      <c r="RFG387" s="1185"/>
      <c r="RFH387" s="1185"/>
      <c r="RFI387" s="1185"/>
      <c r="RFJ387" s="1185"/>
      <c r="RFK387" s="1185"/>
      <c r="RFL387" s="1185"/>
      <c r="RFM387" s="1185"/>
      <c r="RFN387" s="1185"/>
      <c r="RFO387" s="1185"/>
      <c r="RFP387" s="1185"/>
      <c r="RFQ387" s="1185"/>
      <c r="RFR387" s="1185"/>
      <c r="RFS387" s="1185"/>
      <c r="RFT387" s="1185"/>
      <c r="RFU387" s="1185"/>
      <c r="RFV387" s="1185"/>
      <c r="RFW387" s="1185"/>
      <c r="RFX387" s="1185"/>
      <c r="RFY387" s="1185"/>
      <c r="RFZ387" s="1185"/>
      <c r="RGA387" s="1185"/>
      <c r="RGB387" s="1185"/>
      <c r="RGC387" s="1185"/>
      <c r="RGD387" s="1185"/>
      <c r="RGE387" s="1185"/>
      <c r="RGF387" s="1185"/>
      <c r="RGG387" s="1185"/>
      <c r="RGH387" s="1185"/>
      <c r="RGI387" s="1185"/>
      <c r="RGJ387" s="1185"/>
      <c r="RGK387" s="1185"/>
      <c r="RGL387" s="1185"/>
      <c r="RGM387" s="1185"/>
      <c r="RGN387" s="1185"/>
      <c r="RGO387" s="1185"/>
      <c r="RGP387" s="1185"/>
      <c r="RGQ387" s="1185"/>
      <c r="RGR387" s="1185"/>
      <c r="RGS387" s="1185"/>
      <c r="RGT387" s="1185"/>
      <c r="RGU387" s="1185"/>
      <c r="RGV387" s="1185"/>
      <c r="RGW387" s="1185"/>
      <c r="RGX387" s="1185"/>
      <c r="RGY387" s="1185"/>
      <c r="RGZ387" s="1185"/>
      <c r="RHA387" s="1185"/>
      <c r="RHB387" s="1185"/>
      <c r="RHC387" s="1185"/>
      <c r="RHD387" s="1185"/>
      <c r="RHE387" s="1185"/>
      <c r="RHF387" s="1185"/>
      <c r="RHG387" s="1185"/>
      <c r="RHH387" s="1185"/>
      <c r="RHI387" s="1185"/>
      <c r="RHJ387" s="1185"/>
      <c r="RHK387" s="1185"/>
      <c r="RHL387" s="1185"/>
      <c r="RHM387" s="1185"/>
      <c r="RHN387" s="1185"/>
      <c r="RHO387" s="1185"/>
      <c r="RHP387" s="1185"/>
      <c r="RHQ387" s="1185"/>
      <c r="RHR387" s="1185"/>
      <c r="RHS387" s="1185"/>
      <c r="RHT387" s="1185"/>
      <c r="RHU387" s="1185"/>
      <c r="RHV387" s="1185"/>
      <c r="RHW387" s="1185"/>
      <c r="RHX387" s="1185"/>
      <c r="RHY387" s="1185"/>
      <c r="RHZ387" s="1185"/>
      <c r="RIA387" s="1185"/>
      <c r="RIB387" s="1185"/>
      <c r="RIC387" s="1185"/>
      <c r="RID387" s="1185"/>
      <c r="RIE387" s="1185"/>
      <c r="RIF387" s="1185"/>
      <c r="RIG387" s="1185"/>
      <c r="RIH387" s="1185"/>
      <c r="RII387" s="1185"/>
      <c r="RIJ387" s="1185"/>
      <c r="RIK387" s="1185"/>
      <c r="RIL387" s="1185"/>
      <c r="RIM387" s="1185"/>
      <c r="RIN387" s="1185"/>
      <c r="RIO387" s="1185"/>
      <c r="RIP387" s="1185"/>
      <c r="RIQ387" s="1185"/>
      <c r="RIR387" s="1185"/>
      <c r="RIS387" s="1185"/>
      <c r="RIT387" s="1185"/>
      <c r="RIU387" s="1185"/>
      <c r="RIV387" s="1185"/>
      <c r="RIW387" s="1185"/>
      <c r="RIX387" s="1185"/>
      <c r="RIY387" s="1185"/>
      <c r="RIZ387" s="1185"/>
      <c r="RJA387" s="1185"/>
      <c r="RJB387" s="1185"/>
      <c r="RJC387" s="1185"/>
      <c r="RJD387" s="1185"/>
      <c r="RJE387" s="1185"/>
      <c r="RJF387" s="1185"/>
      <c r="RJG387" s="1185"/>
      <c r="RJH387" s="1185"/>
      <c r="RJI387" s="1185"/>
      <c r="RJJ387" s="1185"/>
      <c r="RJK387" s="1185"/>
      <c r="RJL387" s="1185"/>
      <c r="RJM387" s="1185"/>
      <c r="RJN387" s="1185"/>
      <c r="RJO387" s="1185"/>
      <c r="RJP387" s="1185"/>
      <c r="RJQ387" s="1185"/>
      <c r="RJR387" s="1185"/>
      <c r="RJS387" s="1185"/>
      <c r="RJT387" s="1185"/>
      <c r="RJU387" s="1185"/>
      <c r="RJV387" s="1185"/>
      <c r="RJW387" s="1185"/>
      <c r="RJX387" s="1185"/>
      <c r="RJY387" s="1185"/>
      <c r="RJZ387" s="1185"/>
      <c r="RKA387" s="1185"/>
      <c r="RKB387" s="1185"/>
      <c r="RKC387" s="1185"/>
      <c r="RKD387" s="1185"/>
      <c r="RKE387" s="1185"/>
      <c r="RKF387" s="1185"/>
      <c r="RKG387" s="1185"/>
      <c r="RKH387" s="1185"/>
      <c r="RKI387" s="1185"/>
      <c r="RKJ387" s="1185"/>
      <c r="RKK387" s="1185"/>
      <c r="RKL387" s="1185"/>
      <c r="RKM387" s="1185"/>
      <c r="RKN387" s="1185"/>
      <c r="RKO387" s="1185"/>
      <c r="RKP387" s="1185"/>
      <c r="RKQ387" s="1185"/>
      <c r="RKR387" s="1185"/>
      <c r="RKS387" s="1185"/>
      <c r="RKT387" s="1185"/>
      <c r="RKU387" s="1185"/>
      <c r="RKV387" s="1185"/>
      <c r="RKW387" s="1185"/>
      <c r="RKX387" s="1185"/>
      <c r="RKY387" s="1185"/>
      <c r="RKZ387" s="1185"/>
      <c r="RLA387" s="1185"/>
      <c r="RLB387" s="1185"/>
      <c r="RLC387" s="1185"/>
      <c r="RLD387" s="1185"/>
      <c r="RLE387" s="1185"/>
      <c r="RLF387" s="1185"/>
      <c r="RLG387" s="1185"/>
      <c r="RLH387" s="1185"/>
      <c r="RLI387" s="1185"/>
      <c r="RLJ387" s="1185"/>
      <c r="RLK387" s="1185"/>
      <c r="RLL387" s="1185"/>
      <c r="RLM387" s="1185"/>
      <c r="RLN387" s="1185"/>
      <c r="RLO387" s="1185"/>
      <c r="RLP387" s="1185"/>
      <c r="RLQ387" s="1185"/>
      <c r="RLR387" s="1185"/>
      <c r="RLS387" s="1185"/>
      <c r="RLT387" s="1185"/>
      <c r="RLU387" s="1185"/>
      <c r="RLV387" s="1185"/>
      <c r="RLW387" s="1185"/>
      <c r="RLX387" s="1185"/>
      <c r="RLY387" s="1185"/>
      <c r="RLZ387" s="1185"/>
      <c r="RMA387" s="1185"/>
      <c r="RMB387" s="1185"/>
      <c r="RMC387" s="1185"/>
      <c r="RMD387" s="1185"/>
      <c r="RME387" s="1185"/>
      <c r="RMF387" s="1185"/>
      <c r="RMG387" s="1185"/>
      <c r="RMH387" s="1185"/>
      <c r="RMI387" s="1185"/>
      <c r="RMJ387" s="1185"/>
      <c r="RMK387" s="1185"/>
      <c r="RML387" s="1185"/>
      <c r="RMM387" s="1185"/>
      <c r="RMN387" s="1185"/>
      <c r="RMO387" s="1185"/>
      <c r="RMP387" s="1185"/>
      <c r="RMQ387" s="1185"/>
      <c r="RMR387" s="1185"/>
      <c r="RMS387" s="1185"/>
      <c r="RMT387" s="1185"/>
      <c r="RMU387" s="1185"/>
      <c r="RMV387" s="1185"/>
      <c r="RMW387" s="1185"/>
      <c r="RMX387" s="1185"/>
      <c r="RMY387" s="1185"/>
      <c r="RMZ387" s="1185"/>
      <c r="RNA387" s="1185"/>
      <c r="RNB387" s="1185"/>
      <c r="RNC387" s="1185"/>
      <c r="RND387" s="1185"/>
      <c r="RNE387" s="1185"/>
      <c r="RNF387" s="1185"/>
      <c r="RNG387" s="1185"/>
      <c r="RNH387" s="1185"/>
      <c r="RNI387" s="1185"/>
      <c r="RNJ387" s="1185"/>
      <c r="RNK387" s="1185"/>
      <c r="RNL387" s="1185"/>
      <c r="RNM387" s="1185"/>
      <c r="RNN387" s="1185"/>
      <c r="RNO387" s="1185"/>
      <c r="RNP387" s="1185"/>
      <c r="RNQ387" s="1185"/>
      <c r="RNR387" s="1185"/>
      <c r="RNS387" s="1185"/>
      <c r="RNT387" s="1185"/>
      <c r="RNU387" s="1185"/>
      <c r="RNV387" s="1185"/>
      <c r="RNW387" s="1185"/>
      <c r="RNX387" s="1185"/>
      <c r="RNY387" s="1185"/>
      <c r="RNZ387" s="1185"/>
      <c r="ROA387" s="1185"/>
      <c r="ROB387" s="1185"/>
      <c r="ROC387" s="1185"/>
      <c r="ROD387" s="1185"/>
      <c r="ROE387" s="1185"/>
      <c r="ROF387" s="1185"/>
      <c r="ROG387" s="1185"/>
      <c r="ROH387" s="1185"/>
      <c r="ROI387" s="1185"/>
      <c r="ROJ387" s="1185"/>
      <c r="ROK387" s="1185"/>
      <c r="ROL387" s="1185"/>
      <c r="ROM387" s="1185"/>
      <c r="RON387" s="1185"/>
      <c r="ROO387" s="1185"/>
      <c r="ROP387" s="1185"/>
      <c r="ROQ387" s="1185"/>
      <c r="ROR387" s="1185"/>
      <c r="ROS387" s="1185"/>
      <c r="ROT387" s="1185"/>
      <c r="ROU387" s="1185"/>
      <c r="ROV387" s="1185"/>
      <c r="ROW387" s="1185"/>
      <c r="ROX387" s="1185"/>
      <c r="ROY387" s="1185"/>
      <c r="ROZ387" s="1185"/>
      <c r="RPA387" s="1185"/>
      <c r="RPB387" s="1185"/>
      <c r="RPC387" s="1185"/>
      <c r="RPD387" s="1185"/>
      <c r="RPE387" s="1185"/>
      <c r="RPF387" s="1185"/>
      <c r="RPG387" s="1185"/>
      <c r="RPH387" s="1185"/>
      <c r="RPI387" s="1185"/>
      <c r="RPJ387" s="1185"/>
      <c r="RPK387" s="1185"/>
      <c r="RPL387" s="1185"/>
      <c r="RPM387" s="1185"/>
      <c r="RPN387" s="1185"/>
      <c r="RPO387" s="1185"/>
      <c r="RPP387" s="1185"/>
      <c r="RPQ387" s="1185"/>
      <c r="RPR387" s="1185"/>
      <c r="RPS387" s="1185"/>
      <c r="RPT387" s="1185"/>
      <c r="RPU387" s="1185"/>
      <c r="RPV387" s="1185"/>
      <c r="RPW387" s="1185"/>
      <c r="RPX387" s="1185"/>
      <c r="RPY387" s="1185"/>
      <c r="RPZ387" s="1185"/>
      <c r="RQA387" s="1185"/>
      <c r="RQB387" s="1185"/>
      <c r="RQC387" s="1185"/>
      <c r="RQD387" s="1185"/>
      <c r="RQE387" s="1185"/>
      <c r="RQF387" s="1185"/>
      <c r="RQG387" s="1185"/>
      <c r="RQH387" s="1185"/>
      <c r="RQI387" s="1185"/>
      <c r="RQJ387" s="1185"/>
      <c r="RQK387" s="1185"/>
      <c r="RQL387" s="1185"/>
      <c r="RQM387" s="1185"/>
      <c r="RQN387" s="1185"/>
      <c r="RQO387" s="1185"/>
      <c r="RQP387" s="1185"/>
      <c r="RQQ387" s="1185"/>
      <c r="RQR387" s="1185"/>
      <c r="RQS387" s="1185"/>
      <c r="RQT387" s="1185"/>
      <c r="RQU387" s="1185"/>
      <c r="RQV387" s="1185"/>
      <c r="RQW387" s="1185"/>
      <c r="RQX387" s="1185"/>
      <c r="RQY387" s="1185"/>
      <c r="RQZ387" s="1185"/>
      <c r="RRA387" s="1185"/>
      <c r="RRB387" s="1185"/>
      <c r="RRC387" s="1185"/>
      <c r="RRD387" s="1185"/>
      <c r="RRE387" s="1185"/>
      <c r="RRF387" s="1185"/>
      <c r="RRG387" s="1185"/>
      <c r="RRH387" s="1185"/>
      <c r="RRI387" s="1185"/>
      <c r="RRJ387" s="1185"/>
      <c r="RRK387" s="1185"/>
      <c r="RRL387" s="1185"/>
      <c r="RRM387" s="1185"/>
      <c r="RRN387" s="1185"/>
      <c r="RRO387" s="1185"/>
      <c r="RRP387" s="1185"/>
      <c r="RRQ387" s="1185"/>
      <c r="RRR387" s="1185"/>
      <c r="RRS387" s="1185"/>
      <c r="RRT387" s="1185"/>
      <c r="RRU387" s="1185"/>
      <c r="RRV387" s="1185"/>
      <c r="RRW387" s="1185"/>
      <c r="RRX387" s="1185"/>
      <c r="RRY387" s="1185"/>
      <c r="RRZ387" s="1185"/>
      <c r="RSA387" s="1185"/>
      <c r="RSB387" s="1185"/>
      <c r="RSC387" s="1185"/>
      <c r="RSD387" s="1185"/>
      <c r="RSE387" s="1185"/>
      <c r="RSF387" s="1185"/>
      <c r="RSG387" s="1185"/>
      <c r="RSH387" s="1185"/>
      <c r="RSI387" s="1185"/>
      <c r="RSJ387" s="1185"/>
      <c r="RSK387" s="1185"/>
      <c r="RSL387" s="1185"/>
      <c r="RSM387" s="1185"/>
      <c r="RSN387" s="1185"/>
      <c r="RSO387" s="1185"/>
      <c r="RSP387" s="1185"/>
      <c r="RSQ387" s="1185"/>
      <c r="RSR387" s="1185"/>
      <c r="RSS387" s="1185"/>
      <c r="RST387" s="1185"/>
      <c r="RSU387" s="1185"/>
      <c r="RSV387" s="1185"/>
      <c r="RSW387" s="1185"/>
      <c r="RSX387" s="1185"/>
      <c r="RSY387" s="1185"/>
      <c r="RSZ387" s="1185"/>
      <c r="RTA387" s="1185"/>
      <c r="RTB387" s="1185"/>
      <c r="RTC387" s="1185"/>
      <c r="RTD387" s="1185"/>
      <c r="RTE387" s="1185"/>
      <c r="RTF387" s="1185"/>
      <c r="RTG387" s="1185"/>
      <c r="RTH387" s="1185"/>
      <c r="RTI387" s="1185"/>
      <c r="RTJ387" s="1185"/>
      <c r="RTK387" s="1185"/>
      <c r="RTL387" s="1185"/>
      <c r="RTM387" s="1185"/>
      <c r="RTN387" s="1185"/>
      <c r="RTO387" s="1185"/>
      <c r="RTP387" s="1185"/>
      <c r="RTQ387" s="1185"/>
      <c r="RTR387" s="1185"/>
      <c r="RTS387" s="1185"/>
      <c r="RTT387" s="1185"/>
      <c r="RTU387" s="1185"/>
      <c r="RTV387" s="1185"/>
      <c r="RTW387" s="1185"/>
      <c r="RTX387" s="1185"/>
      <c r="RTY387" s="1185"/>
      <c r="RTZ387" s="1185"/>
      <c r="RUA387" s="1185"/>
      <c r="RUB387" s="1185"/>
      <c r="RUC387" s="1185"/>
      <c r="RUD387" s="1185"/>
      <c r="RUE387" s="1185"/>
      <c r="RUF387" s="1185"/>
      <c r="RUG387" s="1185"/>
      <c r="RUH387" s="1185"/>
      <c r="RUI387" s="1185"/>
      <c r="RUJ387" s="1185"/>
      <c r="RUK387" s="1185"/>
      <c r="RUL387" s="1185"/>
      <c r="RUM387" s="1185"/>
      <c r="RUN387" s="1185"/>
      <c r="RUO387" s="1185"/>
      <c r="RUP387" s="1185"/>
      <c r="RUQ387" s="1185"/>
      <c r="RUR387" s="1185"/>
      <c r="RUS387" s="1185"/>
      <c r="RUT387" s="1185"/>
      <c r="RUU387" s="1185"/>
      <c r="RUV387" s="1185"/>
      <c r="RUW387" s="1185"/>
      <c r="RUX387" s="1185"/>
      <c r="RUY387" s="1185"/>
      <c r="RUZ387" s="1185"/>
      <c r="RVA387" s="1185"/>
      <c r="RVB387" s="1185"/>
      <c r="RVC387" s="1185"/>
      <c r="RVD387" s="1185"/>
      <c r="RVE387" s="1185"/>
      <c r="RVF387" s="1185"/>
      <c r="RVG387" s="1185"/>
      <c r="RVH387" s="1185"/>
      <c r="RVI387" s="1185"/>
      <c r="RVJ387" s="1185"/>
      <c r="RVK387" s="1185"/>
      <c r="RVL387" s="1185"/>
      <c r="RVM387" s="1185"/>
      <c r="RVN387" s="1185"/>
      <c r="RVO387" s="1185"/>
      <c r="RVP387" s="1185"/>
      <c r="RVQ387" s="1185"/>
      <c r="RVR387" s="1185"/>
      <c r="RVS387" s="1185"/>
      <c r="RVT387" s="1185"/>
      <c r="RVU387" s="1185"/>
      <c r="RVV387" s="1185"/>
      <c r="RVW387" s="1185"/>
      <c r="RVX387" s="1185"/>
      <c r="RVY387" s="1185"/>
      <c r="RVZ387" s="1185"/>
      <c r="RWA387" s="1185"/>
      <c r="RWB387" s="1185"/>
      <c r="RWC387" s="1185"/>
      <c r="RWD387" s="1185"/>
      <c r="RWE387" s="1185"/>
      <c r="RWF387" s="1185"/>
      <c r="RWG387" s="1185"/>
      <c r="RWH387" s="1185"/>
      <c r="RWI387" s="1185"/>
      <c r="RWJ387" s="1185"/>
      <c r="RWK387" s="1185"/>
      <c r="RWL387" s="1185"/>
      <c r="RWM387" s="1185"/>
      <c r="RWN387" s="1185"/>
      <c r="RWO387" s="1185"/>
      <c r="RWP387" s="1185"/>
      <c r="RWQ387" s="1185"/>
      <c r="RWR387" s="1185"/>
      <c r="RWS387" s="1185"/>
      <c r="RWT387" s="1185"/>
      <c r="RWU387" s="1185"/>
      <c r="RWV387" s="1185"/>
      <c r="RWW387" s="1185"/>
      <c r="RWX387" s="1185"/>
      <c r="RWY387" s="1185"/>
      <c r="RWZ387" s="1185"/>
      <c r="RXA387" s="1185"/>
      <c r="RXB387" s="1185"/>
      <c r="RXC387" s="1185"/>
      <c r="RXD387" s="1185"/>
      <c r="RXE387" s="1185"/>
      <c r="RXF387" s="1185"/>
      <c r="RXG387" s="1185"/>
      <c r="RXH387" s="1185"/>
      <c r="RXI387" s="1185"/>
      <c r="RXJ387" s="1185"/>
      <c r="RXK387" s="1185"/>
      <c r="RXL387" s="1185"/>
      <c r="RXM387" s="1185"/>
      <c r="RXN387" s="1185"/>
      <c r="RXO387" s="1185"/>
      <c r="RXP387" s="1185"/>
      <c r="RXQ387" s="1185"/>
      <c r="RXR387" s="1185"/>
      <c r="RXS387" s="1185"/>
      <c r="RXT387" s="1185"/>
      <c r="RXU387" s="1185"/>
      <c r="RXV387" s="1185"/>
      <c r="RXW387" s="1185"/>
      <c r="RXX387" s="1185"/>
      <c r="RXY387" s="1185"/>
      <c r="RXZ387" s="1185"/>
      <c r="RYA387" s="1185"/>
      <c r="RYB387" s="1185"/>
      <c r="RYC387" s="1185"/>
      <c r="RYD387" s="1185"/>
      <c r="RYE387" s="1185"/>
      <c r="RYF387" s="1185"/>
      <c r="RYG387" s="1185"/>
      <c r="RYH387" s="1185"/>
      <c r="RYI387" s="1185"/>
      <c r="RYJ387" s="1185"/>
      <c r="RYK387" s="1185"/>
      <c r="RYL387" s="1185"/>
      <c r="RYM387" s="1185"/>
      <c r="RYN387" s="1185"/>
      <c r="RYO387" s="1185"/>
      <c r="RYP387" s="1185"/>
      <c r="RYQ387" s="1185"/>
      <c r="RYR387" s="1185"/>
      <c r="RYS387" s="1185"/>
      <c r="RYT387" s="1185"/>
      <c r="RYU387" s="1185"/>
      <c r="RYV387" s="1185"/>
      <c r="RYW387" s="1185"/>
      <c r="RYX387" s="1185"/>
      <c r="RYY387" s="1185"/>
      <c r="RYZ387" s="1185"/>
      <c r="RZA387" s="1185"/>
      <c r="RZB387" s="1185"/>
      <c r="RZC387" s="1185"/>
      <c r="RZD387" s="1185"/>
      <c r="RZE387" s="1185"/>
      <c r="RZF387" s="1185"/>
      <c r="RZG387" s="1185"/>
      <c r="RZH387" s="1185"/>
      <c r="RZI387" s="1185"/>
      <c r="RZJ387" s="1185"/>
      <c r="RZK387" s="1185"/>
      <c r="RZL387" s="1185"/>
      <c r="RZM387" s="1185"/>
      <c r="RZN387" s="1185"/>
      <c r="RZO387" s="1185"/>
      <c r="RZP387" s="1185"/>
      <c r="RZQ387" s="1185"/>
      <c r="RZR387" s="1185"/>
      <c r="RZS387" s="1185"/>
      <c r="RZT387" s="1185"/>
      <c r="RZU387" s="1185"/>
      <c r="RZV387" s="1185"/>
      <c r="RZW387" s="1185"/>
      <c r="RZX387" s="1185"/>
      <c r="RZY387" s="1185"/>
      <c r="RZZ387" s="1185"/>
      <c r="SAA387" s="1185"/>
      <c r="SAB387" s="1185"/>
      <c r="SAC387" s="1185"/>
      <c r="SAD387" s="1185"/>
      <c r="SAE387" s="1185"/>
      <c r="SAF387" s="1185"/>
      <c r="SAG387" s="1185"/>
      <c r="SAH387" s="1185"/>
      <c r="SAI387" s="1185"/>
      <c r="SAJ387" s="1185"/>
      <c r="SAK387" s="1185"/>
      <c r="SAL387" s="1185"/>
      <c r="SAM387" s="1185"/>
      <c r="SAN387" s="1185"/>
      <c r="SAO387" s="1185"/>
      <c r="SAP387" s="1185"/>
      <c r="SAQ387" s="1185"/>
      <c r="SAR387" s="1185"/>
      <c r="SAS387" s="1185"/>
      <c r="SAT387" s="1185"/>
      <c r="SAU387" s="1185"/>
      <c r="SAV387" s="1185"/>
      <c r="SAW387" s="1185"/>
      <c r="SAX387" s="1185"/>
      <c r="SAY387" s="1185"/>
      <c r="SAZ387" s="1185"/>
      <c r="SBA387" s="1185"/>
      <c r="SBB387" s="1185"/>
      <c r="SBC387" s="1185"/>
      <c r="SBD387" s="1185"/>
      <c r="SBE387" s="1185"/>
      <c r="SBF387" s="1185"/>
      <c r="SBG387" s="1185"/>
      <c r="SBH387" s="1185"/>
      <c r="SBI387" s="1185"/>
      <c r="SBJ387" s="1185"/>
      <c r="SBK387" s="1185"/>
      <c r="SBL387" s="1185"/>
      <c r="SBM387" s="1185"/>
      <c r="SBN387" s="1185"/>
      <c r="SBO387" s="1185"/>
      <c r="SBP387" s="1185"/>
      <c r="SBQ387" s="1185"/>
      <c r="SBR387" s="1185"/>
      <c r="SBS387" s="1185"/>
      <c r="SBT387" s="1185"/>
      <c r="SBU387" s="1185"/>
      <c r="SBV387" s="1185"/>
      <c r="SBW387" s="1185"/>
      <c r="SBX387" s="1185"/>
      <c r="SBY387" s="1185"/>
      <c r="SBZ387" s="1185"/>
      <c r="SCA387" s="1185"/>
      <c r="SCB387" s="1185"/>
      <c r="SCC387" s="1185"/>
      <c r="SCD387" s="1185"/>
      <c r="SCE387" s="1185"/>
      <c r="SCF387" s="1185"/>
      <c r="SCG387" s="1185"/>
      <c r="SCH387" s="1185"/>
      <c r="SCI387" s="1185"/>
      <c r="SCJ387" s="1185"/>
      <c r="SCK387" s="1185"/>
      <c r="SCL387" s="1185"/>
      <c r="SCM387" s="1185"/>
      <c r="SCN387" s="1185"/>
      <c r="SCO387" s="1185"/>
      <c r="SCP387" s="1185"/>
      <c r="SCQ387" s="1185"/>
      <c r="SCR387" s="1185"/>
      <c r="SCS387" s="1185"/>
      <c r="SCT387" s="1185"/>
      <c r="SCU387" s="1185"/>
      <c r="SCV387" s="1185"/>
      <c r="SCW387" s="1185"/>
      <c r="SCX387" s="1185"/>
      <c r="SCY387" s="1185"/>
      <c r="SCZ387" s="1185"/>
      <c r="SDA387" s="1185"/>
      <c r="SDB387" s="1185"/>
      <c r="SDC387" s="1185"/>
      <c r="SDD387" s="1185"/>
      <c r="SDE387" s="1185"/>
      <c r="SDF387" s="1185"/>
      <c r="SDG387" s="1185"/>
      <c r="SDH387" s="1185"/>
      <c r="SDI387" s="1185"/>
      <c r="SDJ387" s="1185"/>
      <c r="SDK387" s="1185"/>
      <c r="SDL387" s="1185"/>
      <c r="SDM387" s="1185"/>
      <c r="SDN387" s="1185"/>
      <c r="SDO387" s="1185"/>
      <c r="SDP387" s="1185"/>
      <c r="SDQ387" s="1185"/>
      <c r="SDR387" s="1185"/>
      <c r="SDS387" s="1185"/>
      <c r="SDT387" s="1185"/>
      <c r="SDU387" s="1185"/>
      <c r="SDV387" s="1185"/>
      <c r="SDW387" s="1185"/>
      <c r="SDX387" s="1185"/>
      <c r="SDY387" s="1185"/>
      <c r="SDZ387" s="1185"/>
      <c r="SEA387" s="1185"/>
      <c r="SEB387" s="1185"/>
      <c r="SEC387" s="1185"/>
      <c r="SED387" s="1185"/>
      <c r="SEE387" s="1185"/>
      <c r="SEF387" s="1185"/>
      <c r="SEG387" s="1185"/>
      <c r="SEH387" s="1185"/>
      <c r="SEI387" s="1185"/>
      <c r="SEJ387" s="1185"/>
      <c r="SEK387" s="1185"/>
      <c r="SEL387" s="1185"/>
      <c r="SEM387" s="1185"/>
      <c r="SEN387" s="1185"/>
      <c r="SEO387" s="1185"/>
      <c r="SEP387" s="1185"/>
      <c r="SEQ387" s="1185"/>
      <c r="SER387" s="1185"/>
      <c r="SES387" s="1185"/>
      <c r="SET387" s="1185"/>
      <c r="SEU387" s="1185"/>
      <c r="SEV387" s="1185"/>
      <c r="SEW387" s="1185"/>
      <c r="SEX387" s="1185"/>
      <c r="SEY387" s="1185"/>
      <c r="SEZ387" s="1185"/>
      <c r="SFA387" s="1185"/>
      <c r="SFB387" s="1185"/>
      <c r="SFC387" s="1185"/>
      <c r="SFD387" s="1185"/>
      <c r="SFE387" s="1185"/>
      <c r="SFF387" s="1185"/>
      <c r="SFG387" s="1185"/>
      <c r="SFH387" s="1185"/>
      <c r="SFI387" s="1185"/>
      <c r="SFJ387" s="1185"/>
      <c r="SFK387" s="1185"/>
      <c r="SFL387" s="1185"/>
      <c r="SFM387" s="1185"/>
      <c r="SFN387" s="1185"/>
      <c r="SFO387" s="1185"/>
      <c r="SFP387" s="1185"/>
      <c r="SFQ387" s="1185"/>
      <c r="SFR387" s="1185"/>
      <c r="SFS387" s="1185"/>
      <c r="SFT387" s="1185"/>
      <c r="SFU387" s="1185"/>
      <c r="SFV387" s="1185"/>
      <c r="SFW387" s="1185"/>
      <c r="SFX387" s="1185"/>
      <c r="SFY387" s="1185"/>
      <c r="SFZ387" s="1185"/>
      <c r="SGA387" s="1185"/>
      <c r="SGB387" s="1185"/>
      <c r="SGC387" s="1185"/>
      <c r="SGD387" s="1185"/>
      <c r="SGE387" s="1185"/>
      <c r="SGF387" s="1185"/>
      <c r="SGG387" s="1185"/>
      <c r="SGH387" s="1185"/>
      <c r="SGI387" s="1185"/>
      <c r="SGJ387" s="1185"/>
      <c r="SGK387" s="1185"/>
      <c r="SGL387" s="1185"/>
      <c r="SGM387" s="1185"/>
      <c r="SGN387" s="1185"/>
      <c r="SGO387" s="1185"/>
      <c r="SGP387" s="1185"/>
      <c r="SGQ387" s="1185"/>
      <c r="SGR387" s="1185"/>
      <c r="SGS387" s="1185"/>
      <c r="SGT387" s="1185"/>
      <c r="SGU387" s="1185"/>
      <c r="SGV387" s="1185"/>
      <c r="SGW387" s="1185"/>
      <c r="SGX387" s="1185"/>
      <c r="SGY387" s="1185"/>
      <c r="SGZ387" s="1185"/>
      <c r="SHA387" s="1185"/>
      <c r="SHB387" s="1185"/>
      <c r="SHC387" s="1185"/>
      <c r="SHD387" s="1185"/>
      <c r="SHE387" s="1185"/>
      <c r="SHF387" s="1185"/>
      <c r="SHG387" s="1185"/>
      <c r="SHH387" s="1185"/>
      <c r="SHI387" s="1185"/>
      <c r="SHJ387" s="1185"/>
      <c r="SHK387" s="1185"/>
      <c r="SHL387" s="1185"/>
      <c r="SHM387" s="1185"/>
      <c r="SHN387" s="1185"/>
      <c r="SHO387" s="1185"/>
      <c r="SHP387" s="1185"/>
      <c r="SHQ387" s="1185"/>
      <c r="SHR387" s="1185"/>
      <c r="SHS387" s="1185"/>
      <c r="SHT387" s="1185"/>
      <c r="SHU387" s="1185"/>
      <c r="SHV387" s="1185"/>
      <c r="SHW387" s="1185"/>
      <c r="SHX387" s="1185"/>
      <c r="SHY387" s="1185"/>
      <c r="SHZ387" s="1185"/>
      <c r="SIA387" s="1185"/>
      <c r="SIB387" s="1185"/>
      <c r="SIC387" s="1185"/>
      <c r="SID387" s="1185"/>
      <c r="SIE387" s="1185"/>
      <c r="SIF387" s="1185"/>
      <c r="SIG387" s="1185"/>
      <c r="SIH387" s="1185"/>
      <c r="SII387" s="1185"/>
      <c r="SIJ387" s="1185"/>
      <c r="SIK387" s="1185"/>
      <c r="SIL387" s="1185"/>
      <c r="SIM387" s="1185"/>
      <c r="SIN387" s="1185"/>
      <c r="SIO387" s="1185"/>
      <c r="SIP387" s="1185"/>
      <c r="SIQ387" s="1185"/>
      <c r="SIR387" s="1185"/>
      <c r="SIS387" s="1185"/>
      <c r="SIT387" s="1185"/>
      <c r="SIU387" s="1185"/>
      <c r="SIV387" s="1185"/>
      <c r="SIW387" s="1185"/>
      <c r="SIX387" s="1185"/>
      <c r="SIY387" s="1185"/>
      <c r="SIZ387" s="1185"/>
      <c r="SJA387" s="1185"/>
      <c r="SJB387" s="1185"/>
      <c r="SJC387" s="1185"/>
      <c r="SJD387" s="1185"/>
      <c r="SJE387" s="1185"/>
      <c r="SJF387" s="1185"/>
      <c r="SJG387" s="1185"/>
      <c r="SJH387" s="1185"/>
      <c r="SJI387" s="1185"/>
      <c r="SJJ387" s="1185"/>
      <c r="SJK387" s="1185"/>
      <c r="SJL387" s="1185"/>
      <c r="SJM387" s="1185"/>
      <c r="SJN387" s="1185"/>
      <c r="SJO387" s="1185"/>
      <c r="SJP387" s="1185"/>
      <c r="SJQ387" s="1185"/>
      <c r="SJR387" s="1185"/>
      <c r="SJS387" s="1185"/>
      <c r="SJT387" s="1185"/>
      <c r="SJU387" s="1185"/>
      <c r="SJV387" s="1185"/>
      <c r="SJW387" s="1185"/>
      <c r="SJX387" s="1185"/>
      <c r="SJY387" s="1185"/>
      <c r="SJZ387" s="1185"/>
      <c r="SKA387" s="1185"/>
      <c r="SKB387" s="1185"/>
      <c r="SKC387" s="1185"/>
      <c r="SKD387" s="1185"/>
      <c r="SKE387" s="1185"/>
      <c r="SKF387" s="1185"/>
      <c r="SKG387" s="1185"/>
      <c r="SKH387" s="1185"/>
      <c r="SKI387" s="1185"/>
      <c r="SKJ387" s="1185"/>
      <c r="SKK387" s="1185"/>
      <c r="SKL387" s="1185"/>
      <c r="SKM387" s="1185"/>
      <c r="SKN387" s="1185"/>
      <c r="SKO387" s="1185"/>
      <c r="SKP387" s="1185"/>
      <c r="SKQ387" s="1185"/>
      <c r="SKR387" s="1185"/>
      <c r="SKS387" s="1185"/>
      <c r="SKT387" s="1185"/>
      <c r="SKU387" s="1185"/>
      <c r="SKV387" s="1185"/>
      <c r="SKW387" s="1185"/>
      <c r="SKX387" s="1185"/>
      <c r="SKY387" s="1185"/>
      <c r="SKZ387" s="1185"/>
      <c r="SLA387" s="1185"/>
      <c r="SLB387" s="1185"/>
      <c r="SLC387" s="1185"/>
      <c r="SLD387" s="1185"/>
      <c r="SLE387" s="1185"/>
      <c r="SLF387" s="1185"/>
      <c r="SLG387" s="1185"/>
      <c r="SLH387" s="1185"/>
      <c r="SLI387" s="1185"/>
      <c r="SLJ387" s="1185"/>
      <c r="SLK387" s="1185"/>
      <c r="SLL387" s="1185"/>
      <c r="SLM387" s="1185"/>
      <c r="SLN387" s="1185"/>
      <c r="SLO387" s="1185"/>
      <c r="SLP387" s="1185"/>
      <c r="SLQ387" s="1185"/>
      <c r="SLR387" s="1185"/>
      <c r="SLS387" s="1185"/>
      <c r="SLT387" s="1185"/>
      <c r="SLU387" s="1185"/>
      <c r="SLV387" s="1185"/>
      <c r="SLW387" s="1185"/>
      <c r="SLX387" s="1185"/>
      <c r="SLY387" s="1185"/>
      <c r="SLZ387" s="1185"/>
      <c r="SMA387" s="1185"/>
      <c r="SMB387" s="1185"/>
      <c r="SMC387" s="1185"/>
      <c r="SMD387" s="1185"/>
      <c r="SME387" s="1185"/>
      <c r="SMF387" s="1185"/>
      <c r="SMG387" s="1185"/>
      <c r="SMH387" s="1185"/>
      <c r="SMI387" s="1185"/>
      <c r="SMJ387" s="1185"/>
      <c r="SMK387" s="1185"/>
      <c r="SML387" s="1185"/>
      <c r="SMM387" s="1185"/>
      <c r="SMN387" s="1185"/>
      <c r="SMO387" s="1185"/>
      <c r="SMP387" s="1185"/>
      <c r="SMQ387" s="1185"/>
      <c r="SMR387" s="1185"/>
      <c r="SMS387" s="1185"/>
      <c r="SMT387" s="1185"/>
      <c r="SMU387" s="1185"/>
      <c r="SMV387" s="1185"/>
      <c r="SMW387" s="1185"/>
      <c r="SMX387" s="1185"/>
      <c r="SMY387" s="1185"/>
      <c r="SMZ387" s="1185"/>
      <c r="SNA387" s="1185"/>
      <c r="SNB387" s="1185"/>
      <c r="SNC387" s="1185"/>
      <c r="SND387" s="1185"/>
      <c r="SNE387" s="1185"/>
      <c r="SNF387" s="1185"/>
      <c r="SNG387" s="1185"/>
      <c r="SNH387" s="1185"/>
      <c r="SNI387" s="1185"/>
      <c r="SNJ387" s="1185"/>
      <c r="SNK387" s="1185"/>
      <c r="SNL387" s="1185"/>
      <c r="SNM387" s="1185"/>
      <c r="SNN387" s="1185"/>
      <c r="SNO387" s="1185"/>
      <c r="SNP387" s="1185"/>
      <c r="SNQ387" s="1185"/>
      <c r="SNR387" s="1185"/>
      <c r="SNS387" s="1185"/>
      <c r="SNT387" s="1185"/>
      <c r="SNU387" s="1185"/>
      <c r="SNV387" s="1185"/>
      <c r="SNW387" s="1185"/>
      <c r="SNX387" s="1185"/>
      <c r="SNY387" s="1185"/>
      <c r="SNZ387" s="1185"/>
      <c r="SOA387" s="1185"/>
      <c r="SOB387" s="1185"/>
      <c r="SOC387" s="1185"/>
      <c r="SOD387" s="1185"/>
      <c r="SOE387" s="1185"/>
      <c r="SOF387" s="1185"/>
      <c r="SOG387" s="1185"/>
      <c r="SOH387" s="1185"/>
      <c r="SOI387" s="1185"/>
      <c r="SOJ387" s="1185"/>
      <c r="SOK387" s="1185"/>
      <c r="SOL387" s="1185"/>
      <c r="SOM387" s="1185"/>
      <c r="SON387" s="1185"/>
      <c r="SOO387" s="1185"/>
      <c r="SOP387" s="1185"/>
      <c r="SOQ387" s="1185"/>
      <c r="SOR387" s="1185"/>
      <c r="SOS387" s="1185"/>
      <c r="SOT387" s="1185"/>
      <c r="SOU387" s="1185"/>
      <c r="SOV387" s="1185"/>
      <c r="SOW387" s="1185"/>
      <c r="SOX387" s="1185"/>
      <c r="SOY387" s="1185"/>
      <c r="SOZ387" s="1185"/>
      <c r="SPA387" s="1185"/>
      <c r="SPB387" s="1185"/>
      <c r="SPC387" s="1185"/>
      <c r="SPD387" s="1185"/>
      <c r="SPE387" s="1185"/>
      <c r="SPF387" s="1185"/>
      <c r="SPG387" s="1185"/>
      <c r="SPH387" s="1185"/>
      <c r="SPI387" s="1185"/>
      <c r="SPJ387" s="1185"/>
      <c r="SPK387" s="1185"/>
      <c r="SPL387" s="1185"/>
      <c r="SPM387" s="1185"/>
      <c r="SPN387" s="1185"/>
      <c r="SPO387" s="1185"/>
      <c r="SPP387" s="1185"/>
      <c r="SPQ387" s="1185"/>
      <c r="SPR387" s="1185"/>
      <c r="SPS387" s="1185"/>
      <c r="SPT387" s="1185"/>
      <c r="SPU387" s="1185"/>
      <c r="SPV387" s="1185"/>
      <c r="SPW387" s="1185"/>
      <c r="SPX387" s="1185"/>
      <c r="SPY387" s="1185"/>
      <c r="SPZ387" s="1185"/>
      <c r="SQA387" s="1185"/>
      <c r="SQB387" s="1185"/>
      <c r="SQC387" s="1185"/>
      <c r="SQD387" s="1185"/>
      <c r="SQE387" s="1185"/>
      <c r="SQF387" s="1185"/>
      <c r="SQG387" s="1185"/>
      <c r="SQH387" s="1185"/>
      <c r="SQI387" s="1185"/>
      <c r="SQJ387" s="1185"/>
      <c r="SQK387" s="1185"/>
      <c r="SQL387" s="1185"/>
      <c r="SQM387" s="1185"/>
      <c r="SQN387" s="1185"/>
      <c r="SQO387" s="1185"/>
      <c r="SQP387" s="1185"/>
      <c r="SQQ387" s="1185"/>
      <c r="SQR387" s="1185"/>
      <c r="SQS387" s="1185"/>
      <c r="SQT387" s="1185"/>
      <c r="SQU387" s="1185"/>
      <c r="SQV387" s="1185"/>
      <c r="SQW387" s="1185"/>
      <c r="SQX387" s="1185"/>
      <c r="SQY387" s="1185"/>
      <c r="SQZ387" s="1185"/>
      <c r="SRA387" s="1185"/>
      <c r="SRB387" s="1185"/>
      <c r="SRC387" s="1185"/>
      <c r="SRD387" s="1185"/>
      <c r="SRE387" s="1185"/>
      <c r="SRF387" s="1185"/>
      <c r="SRG387" s="1185"/>
      <c r="SRH387" s="1185"/>
      <c r="SRI387" s="1185"/>
      <c r="SRJ387" s="1185"/>
      <c r="SRK387" s="1185"/>
      <c r="SRL387" s="1185"/>
      <c r="SRM387" s="1185"/>
      <c r="SRN387" s="1185"/>
      <c r="SRO387" s="1185"/>
      <c r="SRP387" s="1185"/>
      <c r="SRQ387" s="1185"/>
      <c r="SRR387" s="1185"/>
      <c r="SRS387" s="1185"/>
      <c r="SRT387" s="1185"/>
      <c r="SRU387" s="1185"/>
      <c r="SRV387" s="1185"/>
      <c r="SRW387" s="1185"/>
      <c r="SRX387" s="1185"/>
      <c r="SRY387" s="1185"/>
      <c r="SRZ387" s="1185"/>
      <c r="SSA387" s="1185"/>
      <c r="SSB387" s="1185"/>
      <c r="SSC387" s="1185"/>
      <c r="SSD387" s="1185"/>
      <c r="SSE387" s="1185"/>
      <c r="SSF387" s="1185"/>
      <c r="SSG387" s="1185"/>
      <c r="SSH387" s="1185"/>
      <c r="SSI387" s="1185"/>
      <c r="SSJ387" s="1185"/>
      <c r="SSK387" s="1185"/>
      <c r="SSL387" s="1185"/>
      <c r="SSM387" s="1185"/>
      <c r="SSN387" s="1185"/>
      <c r="SSO387" s="1185"/>
      <c r="SSP387" s="1185"/>
      <c r="SSQ387" s="1185"/>
      <c r="SSR387" s="1185"/>
      <c r="SSS387" s="1185"/>
      <c r="SST387" s="1185"/>
      <c r="SSU387" s="1185"/>
      <c r="SSV387" s="1185"/>
      <c r="SSW387" s="1185"/>
      <c r="SSX387" s="1185"/>
      <c r="SSY387" s="1185"/>
      <c r="SSZ387" s="1185"/>
      <c r="STA387" s="1185"/>
      <c r="STB387" s="1185"/>
      <c r="STC387" s="1185"/>
      <c r="STD387" s="1185"/>
      <c r="STE387" s="1185"/>
      <c r="STF387" s="1185"/>
      <c r="STG387" s="1185"/>
      <c r="STH387" s="1185"/>
      <c r="STI387" s="1185"/>
      <c r="STJ387" s="1185"/>
      <c r="STK387" s="1185"/>
      <c r="STL387" s="1185"/>
      <c r="STM387" s="1185"/>
      <c r="STN387" s="1185"/>
      <c r="STO387" s="1185"/>
      <c r="STP387" s="1185"/>
      <c r="STQ387" s="1185"/>
      <c r="STR387" s="1185"/>
      <c r="STS387" s="1185"/>
      <c r="STT387" s="1185"/>
      <c r="STU387" s="1185"/>
      <c r="STV387" s="1185"/>
      <c r="STW387" s="1185"/>
      <c r="STX387" s="1185"/>
      <c r="STY387" s="1185"/>
      <c r="STZ387" s="1185"/>
      <c r="SUA387" s="1185"/>
      <c r="SUB387" s="1185"/>
      <c r="SUC387" s="1185"/>
      <c r="SUD387" s="1185"/>
      <c r="SUE387" s="1185"/>
      <c r="SUF387" s="1185"/>
      <c r="SUG387" s="1185"/>
      <c r="SUH387" s="1185"/>
      <c r="SUI387" s="1185"/>
      <c r="SUJ387" s="1185"/>
      <c r="SUK387" s="1185"/>
      <c r="SUL387" s="1185"/>
      <c r="SUM387" s="1185"/>
      <c r="SUN387" s="1185"/>
      <c r="SUO387" s="1185"/>
      <c r="SUP387" s="1185"/>
      <c r="SUQ387" s="1185"/>
      <c r="SUR387" s="1185"/>
      <c r="SUS387" s="1185"/>
      <c r="SUT387" s="1185"/>
      <c r="SUU387" s="1185"/>
      <c r="SUV387" s="1185"/>
      <c r="SUW387" s="1185"/>
      <c r="SUX387" s="1185"/>
      <c r="SUY387" s="1185"/>
      <c r="SUZ387" s="1185"/>
      <c r="SVA387" s="1185"/>
      <c r="SVB387" s="1185"/>
      <c r="SVC387" s="1185"/>
      <c r="SVD387" s="1185"/>
      <c r="SVE387" s="1185"/>
      <c r="SVF387" s="1185"/>
      <c r="SVG387" s="1185"/>
      <c r="SVH387" s="1185"/>
      <c r="SVI387" s="1185"/>
      <c r="SVJ387" s="1185"/>
      <c r="SVK387" s="1185"/>
      <c r="SVL387" s="1185"/>
      <c r="SVM387" s="1185"/>
      <c r="SVN387" s="1185"/>
      <c r="SVO387" s="1185"/>
      <c r="SVP387" s="1185"/>
      <c r="SVQ387" s="1185"/>
      <c r="SVR387" s="1185"/>
      <c r="SVS387" s="1185"/>
      <c r="SVT387" s="1185"/>
      <c r="SVU387" s="1185"/>
      <c r="SVV387" s="1185"/>
      <c r="SVW387" s="1185"/>
      <c r="SVX387" s="1185"/>
      <c r="SVY387" s="1185"/>
      <c r="SVZ387" s="1185"/>
      <c r="SWA387" s="1185"/>
      <c r="SWB387" s="1185"/>
      <c r="SWC387" s="1185"/>
      <c r="SWD387" s="1185"/>
      <c r="SWE387" s="1185"/>
      <c r="SWF387" s="1185"/>
      <c r="SWG387" s="1185"/>
      <c r="SWH387" s="1185"/>
      <c r="SWI387" s="1185"/>
      <c r="SWJ387" s="1185"/>
      <c r="SWK387" s="1185"/>
      <c r="SWL387" s="1185"/>
      <c r="SWM387" s="1185"/>
      <c r="SWN387" s="1185"/>
      <c r="SWO387" s="1185"/>
      <c r="SWP387" s="1185"/>
      <c r="SWQ387" s="1185"/>
      <c r="SWR387" s="1185"/>
      <c r="SWS387" s="1185"/>
      <c r="SWT387" s="1185"/>
      <c r="SWU387" s="1185"/>
      <c r="SWV387" s="1185"/>
      <c r="SWW387" s="1185"/>
      <c r="SWX387" s="1185"/>
      <c r="SWY387" s="1185"/>
      <c r="SWZ387" s="1185"/>
      <c r="SXA387" s="1185"/>
      <c r="SXB387" s="1185"/>
      <c r="SXC387" s="1185"/>
      <c r="SXD387" s="1185"/>
      <c r="SXE387" s="1185"/>
      <c r="SXF387" s="1185"/>
      <c r="SXG387" s="1185"/>
      <c r="SXH387" s="1185"/>
      <c r="SXI387" s="1185"/>
      <c r="SXJ387" s="1185"/>
      <c r="SXK387" s="1185"/>
      <c r="SXL387" s="1185"/>
      <c r="SXM387" s="1185"/>
      <c r="SXN387" s="1185"/>
      <c r="SXO387" s="1185"/>
      <c r="SXP387" s="1185"/>
      <c r="SXQ387" s="1185"/>
      <c r="SXR387" s="1185"/>
      <c r="SXS387" s="1185"/>
      <c r="SXT387" s="1185"/>
      <c r="SXU387" s="1185"/>
      <c r="SXV387" s="1185"/>
      <c r="SXW387" s="1185"/>
      <c r="SXX387" s="1185"/>
      <c r="SXY387" s="1185"/>
      <c r="SXZ387" s="1185"/>
      <c r="SYA387" s="1185"/>
      <c r="SYB387" s="1185"/>
      <c r="SYC387" s="1185"/>
      <c r="SYD387" s="1185"/>
      <c r="SYE387" s="1185"/>
      <c r="SYF387" s="1185"/>
      <c r="SYG387" s="1185"/>
      <c r="SYH387" s="1185"/>
      <c r="SYI387" s="1185"/>
      <c r="SYJ387" s="1185"/>
      <c r="SYK387" s="1185"/>
      <c r="SYL387" s="1185"/>
      <c r="SYM387" s="1185"/>
      <c r="SYN387" s="1185"/>
      <c r="SYO387" s="1185"/>
      <c r="SYP387" s="1185"/>
      <c r="SYQ387" s="1185"/>
      <c r="SYR387" s="1185"/>
      <c r="SYS387" s="1185"/>
      <c r="SYT387" s="1185"/>
      <c r="SYU387" s="1185"/>
      <c r="SYV387" s="1185"/>
      <c r="SYW387" s="1185"/>
      <c r="SYX387" s="1185"/>
      <c r="SYY387" s="1185"/>
      <c r="SYZ387" s="1185"/>
      <c r="SZA387" s="1185"/>
      <c r="SZB387" s="1185"/>
      <c r="SZC387" s="1185"/>
      <c r="SZD387" s="1185"/>
      <c r="SZE387" s="1185"/>
      <c r="SZF387" s="1185"/>
      <c r="SZG387" s="1185"/>
      <c r="SZH387" s="1185"/>
      <c r="SZI387" s="1185"/>
      <c r="SZJ387" s="1185"/>
      <c r="SZK387" s="1185"/>
      <c r="SZL387" s="1185"/>
      <c r="SZM387" s="1185"/>
      <c r="SZN387" s="1185"/>
      <c r="SZO387" s="1185"/>
      <c r="SZP387" s="1185"/>
      <c r="SZQ387" s="1185"/>
      <c r="SZR387" s="1185"/>
      <c r="SZS387" s="1185"/>
      <c r="SZT387" s="1185"/>
      <c r="SZU387" s="1185"/>
      <c r="SZV387" s="1185"/>
      <c r="SZW387" s="1185"/>
      <c r="SZX387" s="1185"/>
      <c r="SZY387" s="1185"/>
      <c r="SZZ387" s="1185"/>
      <c r="TAA387" s="1185"/>
      <c r="TAB387" s="1185"/>
      <c r="TAC387" s="1185"/>
      <c r="TAD387" s="1185"/>
      <c r="TAE387" s="1185"/>
      <c r="TAF387" s="1185"/>
      <c r="TAG387" s="1185"/>
      <c r="TAH387" s="1185"/>
      <c r="TAI387" s="1185"/>
      <c r="TAJ387" s="1185"/>
      <c r="TAK387" s="1185"/>
      <c r="TAL387" s="1185"/>
      <c r="TAM387" s="1185"/>
      <c r="TAN387" s="1185"/>
      <c r="TAO387" s="1185"/>
      <c r="TAP387" s="1185"/>
      <c r="TAQ387" s="1185"/>
      <c r="TAR387" s="1185"/>
      <c r="TAS387" s="1185"/>
      <c r="TAT387" s="1185"/>
      <c r="TAU387" s="1185"/>
      <c r="TAV387" s="1185"/>
      <c r="TAW387" s="1185"/>
      <c r="TAX387" s="1185"/>
      <c r="TAY387" s="1185"/>
      <c r="TAZ387" s="1185"/>
      <c r="TBA387" s="1185"/>
      <c r="TBB387" s="1185"/>
      <c r="TBC387" s="1185"/>
      <c r="TBD387" s="1185"/>
      <c r="TBE387" s="1185"/>
      <c r="TBF387" s="1185"/>
      <c r="TBG387" s="1185"/>
      <c r="TBH387" s="1185"/>
      <c r="TBI387" s="1185"/>
      <c r="TBJ387" s="1185"/>
      <c r="TBK387" s="1185"/>
      <c r="TBL387" s="1185"/>
      <c r="TBM387" s="1185"/>
      <c r="TBN387" s="1185"/>
      <c r="TBO387" s="1185"/>
      <c r="TBP387" s="1185"/>
      <c r="TBQ387" s="1185"/>
      <c r="TBR387" s="1185"/>
      <c r="TBS387" s="1185"/>
      <c r="TBT387" s="1185"/>
      <c r="TBU387" s="1185"/>
      <c r="TBV387" s="1185"/>
      <c r="TBW387" s="1185"/>
      <c r="TBX387" s="1185"/>
      <c r="TBY387" s="1185"/>
      <c r="TBZ387" s="1185"/>
      <c r="TCA387" s="1185"/>
      <c r="TCB387" s="1185"/>
      <c r="TCC387" s="1185"/>
      <c r="TCD387" s="1185"/>
      <c r="TCE387" s="1185"/>
      <c r="TCF387" s="1185"/>
      <c r="TCG387" s="1185"/>
      <c r="TCH387" s="1185"/>
      <c r="TCI387" s="1185"/>
      <c r="TCJ387" s="1185"/>
      <c r="TCK387" s="1185"/>
      <c r="TCL387" s="1185"/>
      <c r="TCM387" s="1185"/>
      <c r="TCN387" s="1185"/>
      <c r="TCO387" s="1185"/>
      <c r="TCP387" s="1185"/>
      <c r="TCQ387" s="1185"/>
      <c r="TCR387" s="1185"/>
      <c r="TCS387" s="1185"/>
      <c r="TCT387" s="1185"/>
      <c r="TCU387" s="1185"/>
      <c r="TCV387" s="1185"/>
      <c r="TCW387" s="1185"/>
      <c r="TCX387" s="1185"/>
      <c r="TCY387" s="1185"/>
      <c r="TCZ387" s="1185"/>
      <c r="TDA387" s="1185"/>
      <c r="TDB387" s="1185"/>
      <c r="TDC387" s="1185"/>
      <c r="TDD387" s="1185"/>
      <c r="TDE387" s="1185"/>
      <c r="TDF387" s="1185"/>
      <c r="TDG387" s="1185"/>
      <c r="TDH387" s="1185"/>
      <c r="TDI387" s="1185"/>
      <c r="TDJ387" s="1185"/>
      <c r="TDK387" s="1185"/>
      <c r="TDL387" s="1185"/>
      <c r="TDM387" s="1185"/>
      <c r="TDN387" s="1185"/>
      <c r="TDO387" s="1185"/>
      <c r="TDP387" s="1185"/>
      <c r="TDQ387" s="1185"/>
      <c r="TDR387" s="1185"/>
      <c r="TDS387" s="1185"/>
      <c r="TDT387" s="1185"/>
      <c r="TDU387" s="1185"/>
      <c r="TDV387" s="1185"/>
      <c r="TDW387" s="1185"/>
      <c r="TDX387" s="1185"/>
      <c r="TDY387" s="1185"/>
      <c r="TDZ387" s="1185"/>
      <c r="TEA387" s="1185"/>
      <c r="TEB387" s="1185"/>
      <c r="TEC387" s="1185"/>
      <c r="TED387" s="1185"/>
      <c r="TEE387" s="1185"/>
      <c r="TEF387" s="1185"/>
      <c r="TEG387" s="1185"/>
      <c r="TEH387" s="1185"/>
      <c r="TEI387" s="1185"/>
      <c r="TEJ387" s="1185"/>
      <c r="TEK387" s="1185"/>
      <c r="TEL387" s="1185"/>
      <c r="TEM387" s="1185"/>
      <c r="TEN387" s="1185"/>
      <c r="TEO387" s="1185"/>
      <c r="TEP387" s="1185"/>
      <c r="TEQ387" s="1185"/>
      <c r="TER387" s="1185"/>
      <c r="TES387" s="1185"/>
      <c r="TET387" s="1185"/>
      <c r="TEU387" s="1185"/>
      <c r="TEV387" s="1185"/>
      <c r="TEW387" s="1185"/>
      <c r="TEX387" s="1185"/>
      <c r="TEY387" s="1185"/>
      <c r="TEZ387" s="1185"/>
      <c r="TFA387" s="1185"/>
      <c r="TFB387" s="1185"/>
      <c r="TFC387" s="1185"/>
      <c r="TFD387" s="1185"/>
      <c r="TFE387" s="1185"/>
      <c r="TFF387" s="1185"/>
      <c r="TFG387" s="1185"/>
      <c r="TFH387" s="1185"/>
      <c r="TFI387" s="1185"/>
      <c r="TFJ387" s="1185"/>
      <c r="TFK387" s="1185"/>
      <c r="TFL387" s="1185"/>
      <c r="TFM387" s="1185"/>
      <c r="TFN387" s="1185"/>
      <c r="TFO387" s="1185"/>
      <c r="TFP387" s="1185"/>
      <c r="TFQ387" s="1185"/>
      <c r="TFR387" s="1185"/>
      <c r="TFS387" s="1185"/>
      <c r="TFT387" s="1185"/>
      <c r="TFU387" s="1185"/>
      <c r="TFV387" s="1185"/>
      <c r="TFW387" s="1185"/>
      <c r="TFX387" s="1185"/>
      <c r="TFY387" s="1185"/>
      <c r="TFZ387" s="1185"/>
      <c r="TGA387" s="1185"/>
      <c r="TGB387" s="1185"/>
      <c r="TGC387" s="1185"/>
      <c r="TGD387" s="1185"/>
      <c r="TGE387" s="1185"/>
      <c r="TGF387" s="1185"/>
      <c r="TGG387" s="1185"/>
      <c r="TGH387" s="1185"/>
      <c r="TGI387" s="1185"/>
      <c r="TGJ387" s="1185"/>
      <c r="TGK387" s="1185"/>
      <c r="TGL387" s="1185"/>
      <c r="TGM387" s="1185"/>
      <c r="TGN387" s="1185"/>
      <c r="TGO387" s="1185"/>
      <c r="TGP387" s="1185"/>
      <c r="TGQ387" s="1185"/>
      <c r="TGR387" s="1185"/>
      <c r="TGS387" s="1185"/>
      <c r="TGT387" s="1185"/>
      <c r="TGU387" s="1185"/>
      <c r="TGV387" s="1185"/>
      <c r="TGW387" s="1185"/>
      <c r="TGX387" s="1185"/>
      <c r="TGY387" s="1185"/>
      <c r="TGZ387" s="1185"/>
      <c r="THA387" s="1185"/>
      <c r="THB387" s="1185"/>
      <c r="THC387" s="1185"/>
      <c r="THD387" s="1185"/>
      <c r="THE387" s="1185"/>
      <c r="THF387" s="1185"/>
      <c r="THG387" s="1185"/>
      <c r="THH387" s="1185"/>
      <c r="THI387" s="1185"/>
      <c r="THJ387" s="1185"/>
      <c r="THK387" s="1185"/>
      <c r="THL387" s="1185"/>
      <c r="THM387" s="1185"/>
      <c r="THN387" s="1185"/>
      <c r="THO387" s="1185"/>
      <c r="THP387" s="1185"/>
      <c r="THQ387" s="1185"/>
      <c r="THR387" s="1185"/>
      <c r="THS387" s="1185"/>
      <c r="THT387" s="1185"/>
      <c r="THU387" s="1185"/>
      <c r="THV387" s="1185"/>
      <c r="THW387" s="1185"/>
      <c r="THX387" s="1185"/>
      <c r="THY387" s="1185"/>
      <c r="THZ387" s="1185"/>
      <c r="TIA387" s="1185"/>
      <c r="TIB387" s="1185"/>
      <c r="TIC387" s="1185"/>
      <c r="TID387" s="1185"/>
      <c r="TIE387" s="1185"/>
      <c r="TIF387" s="1185"/>
      <c r="TIG387" s="1185"/>
      <c r="TIH387" s="1185"/>
      <c r="TII387" s="1185"/>
      <c r="TIJ387" s="1185"/>
      <c r="TIK387" s="1185"/>
      <c r="TIL387" s="1185"/>
      <c r="TIM387" s="1185"/>
      <c r="TIN387" s="1185"/>
      <c r="TIO387" s="1185"/>
      <c r="TIP387" s="1185"/>
      <c r="TIQ387" s="1185"/>
      <c r="TIR387" s="1185"/>
      <c r="TIS387" s="1185"/>
      <c r="TIT387" s="1185"/>
      <c r="TIU387" s="1185"/>
      <c r="TIV387" s="1185"/>
      <c r="TIW387" s="1185"/>
      <c r="TIX387" s="1185"/>
      <c r="TIY387" s="1185"/>
      <c r="TIZ387" s="1185"/>
      <c r="TJA387" s="1185"/>
      <c r="TJB387" s="1185"/>
      <c r="TJC387" s="1185"/>
      <c r="TJD387" s="1185"/>
      <c r="TJE387" s="1185"/>
      <c r="TJF387" s="1185"/>
      <c r="TJG387" s="1185"/>
      <c r="TJH387" s="1185"/>
      <c r="TJI387" s="1185"/>
      <c r="TJJ387" s="1185"/>
      <c r="TJK387" s="1185"/>
      <c r="TJL387" s="1185"/>
      <c r="TJM387" s="1185"/>
      <c r="TJN387" s="1185"/>
      <c r="TJO387" s="1185"/>
      <c r="TJP387" s="1185"/>
      <c r="TJQ387" s="1185"/>
      <c r="TJR387" s="1185"/>
      <c r="TJS387" s="1185"/>
      <c r="TJT387" s="1185"/>
      <c r="TJU387" s="1185"/>
      <c r="TJV387" s="1185"/>
      <c r="TJW387" s="1185"/>
      <c r="TJX387" s="1185"/>
      <c r="TJY387" s="1185"/>
      <c r="TJZ387" s="1185"/>
      <c r="TKA387" s="1185"/>
      <c r="TKB387" s="1185"/>
      <c r="TKC387" s="1185"/>
      <c r="TKD387" s="1185"/>
      <c r="TKE387" s="1185"/>
      <c r="TKF387" s="1185"/>
      <c r="TKG387" s="1185"/>
      <c r="TKH387" s="1185"/>
      <c r="TKI387" s="1185"/>
      <c r="TKJ387" s="1185"/>
      <c r="TKK387" s="1185"/>
      <c r="TKL387" s="1185"/>
      <c r="TKM387" s="1185"/>
      <c r="TKN387" s="1185"/>
      <c r="TKO387" s="1185"/>
      <c r="TKP387" s="1185"/>
      <c r="TKQ387" s="1185"/>
      <c r="TKR387" s="1185"/>
      <c r="TKS387" s="1185"/>
      <c r="TKT387" s="1185"/>
      <c r="TKU387" s="1185"/>
      <c r="TKV387" s="1185"/>
      <c r="TKW387" s="1185"/>
      <c r="TKX387" s="1185"/>
      <c r="TKY387" s="1185"/>
      <c r="TKZ387" s="1185"/>
      <c r="TLA387" s="1185"/>
      <c r="TLB387" s="1185"/>
      <c r="TLC387" s="1185"/>
      <c r="TLD387" s="1185"/>
      <c r="TLE387" s="1185"/>
      <c r="TLF387" s="1185"/>
      <c r="TLG387" s="1185"/>
      <c r="TLH387" s="1185"/>
      <c r="TLI387" s="1185"/>
      <c r="TLJ387" s="1185"/>
      <c r="TLK387" s="1185"/>
      <c r="TLL387" s="1185"/>
      <c r="TLM387" s="1185"/>
      <c r="TLN387" s="1185"/>
      <c r="TLO387" s="1185"/>
      <c r="TLP387" s="1185"/>
      <c r="TLQ387" s="1185"/>
      <c r="TLR387" s="1185"/>
      <c r="TLS387" s="1185"/>
      <c r="TLT387" s="1185"/>
      <c r="TLU387" s="1185"/>
      <c r="TLV387" s="1185"/>
      <c r="TLW387" s="1185"/>
      <c r="TLX387" s="1185"/>
      <c r="TLY387" s="1185"/>
      <c r="TLZ387" s="1185"/>
      <c r="TMA387" s="1185"/>
      <c r="TMB387" s="1185"/>
      <c r="TMC387" s="1185"/>
      <c r="TMD387" s="1185"/>
      <c r="TME387" s="1185"/>
      <c r="TMF387" s="1185"/>
      <c r="TMG387" s="1185"/>
      <c r="TMH387" s="1185"/>
      <c r="TMI387" s="1185"/>
      <c r="TMJ387" s="1185"/>
      <c r="TMK387" s="1185"/>
      <c r="TML387" s="1185"/>
      <c r="TMM387" s="1185"/>
      <c r="TMN387" s="1185"/>
      <c r="TMO387" s="1185"/>
      <c r="TMP387" s="1185"/>
      <c r="TMQ387" s="1185"/>
      <c r="TMR387" s="1185"/>
      <c r="TMS387" s="1185"/>
      <c r="TMT387" s="1185"/>
      <c r="TMU387" s="1185"/>
      <c r="TMV387" s="1185"/>
      <c r="TMW387" s="1185"/>
      <c r="TMX387" s="1185"/>
      <c r="TMY387" s="1185"/>
      <c r="TMZ387" s="1185"/>
      <c r="TNA387" s="1185"/>
      <c r="TNB387" s="1185"/>
      <c r="TNC387" s="1185"/>
      <c r="TND387" s="1185"/>
      <c r="TNE387" s="1185"/>
      <c r="TNF387" s="1185"/>
      <c r="TNG387" s="1185"/>
      <c r="TNH387" s="1185"/>
      <c r="TNI387" s="1185"/>
      <c r="TNJ387" s="1185"/>
      <c r="TNK387" s="1185"/>
      <c r="TNL387" s="1185"/>
      <c r="TNM387" s="1185"/>
      <c r="TNN387" s="1185"/>
      <c r="TNO387" s="1185"/>
      <c r="TNP387" s="1185"/>
      <c r="TNQ387" s="1185"/>
      <c r="TNR387" s="1185"/>
      <c r="TNS387" s="1185"/>
      <c r="TNT387" s="1185"/>
      <c r="TNU387" s="1185"/>
      <c r="TNV387" s="1185"/>
      <c r="TNW387" s="1185"/>
      <c r="TNX387" s="1185"/>
      <c r="TNY387" s="1185"/>
      <c r="TNZ387" s="1185"/>
      <c r="TOA387" s="1185"/>
      <c r="TOB387" s="1185"/>
      <c r="TOC387" s="1185"/>
      <c r="TOD387" s="1185"/>
      <c r="TOE387" s="1185"/>
      <c r="TOF387" s="1185"/>
      <c r="TOG387" s="1185"/>
      <c r="TOH387" s="1185"/>
      <c r="TOI387" s="1185"/>
      <c r="TOJ387" s="1185"/>
      <c r="TOK387" s="1185"/>
      <c r="TOL387" s="1185"/>
      <c r="TOM387" s="1185"/>
      <c r="TON387" s="1185"/>
      <c r="TOO387" s="1185"/>
      <c r="TOP387" s="1185"/>
      <c r="TOQ387" s="1185"/>
      <c r="TOR387" s="1185"/>
      <c r="TOS387" s="1185"/>
      <c r="TOT387" s="1185"/>
      <c r="TOU387" s="1185"/>
      <c r="TOV387" s="1185"/>
      <c r="TOW387" s="1185"/>
      <c r="TOX387" s="1185"/>
      <c r="TOY387" s="1185"/>
      <c r="TOZ387" s="1185"/>
      <c r="TPA387" s="1185"/>
      <c r="TPB387" s="1185"/>
      <c r="TPC387" s="1185"/>
      <c r="TPD387" s="1185"/>
      <c r="TPE387" s="1185"/>
      <c r="TPF387" s="1185"/>
      <c r="TPG387" s="1185"/>
      <c r="TPH387" s="1185"/>
      <c r="TPI387" s="1185"/>
      <c r="TPJ387" s="1185"/>
      <c r="TPK387" s="1185"/>
      <c r="TPL387" s="1185"/>
      <c r="TPM387" s="1185"/>
      <c r="TPN387" s="1185"/>
      <c r="TPO387" s="1185"/>
      <c r="TPP387" s="1185"/>
      <c r="TPQ387" s="1185"/>
      <c r="TPR387" s="1185"/>
      <c r="TPS387" s="1185"/>
      <c r="TPT387" s="1185"/>
      <c r="TPU387" s="1185"/>
      <c r="TPV387" s="1185"/>
      <c r="TPW387" s="1185"/>
      <c r="TPX387" s="1185"/>
      <c r="TPY387" s="1185"/>
      <c r="TPZ387" s="1185"/>
      <c r="TQA387" s="1185"/>
      <c r="TQB387" s="1185"/>
      <c r="TQC387" s="1185"/>
      <c r="TQD387" s="1185"/>
      <c r="TQE387" s="1185"/>
      <c r="TQF387" s="1185"/>
      <c r="TQG387" s="1185"/>
      <c r="TQH387" s="1185"/>
      <c r="TQI387" s="1185"/>
      <c r="TQJ387" s="1185"/>
      <c r="TQK387" s="1185"/>
      <c r="TQL387" s="1185"/>
      <c r="TQM387" s="1185"/>
      <c r="TQN387" s="1185"/>
      <c r="TQO387" s="1185"/>
      <c r="TQP387" s="1185"/>
      <c r="TQQ387" s="1185"/>
      <c r="TQR387" s="1185"/>
      <c r="TQS387" s="1185"/>
      <c r="TQT387" s="1185"/>
      <c r="TQU387" s="1185"/>
      <c r="TQV387" s="1185"/>
      <c r="TQW387" s="1185"/>
      <c r="TQX387" s="1185"/>
      <c r="TQY387" s="1185"/>
      <c r="TQZ387" s="1185"/>
      <c r="TRA387" s="1185"/>
      <c r="TRB387" s="1185"/>
      <c r="TRC387" s="1185"/>
      <c r="TRD387" s="1185"/>
      <c r="TRE387" s="1185"/>
      <c r="TRF387" s="1185"/>
      <c r="TRG387" s="1185"/>
      <c r="TRH387" s="1185"/>
      <c r="TRI387" s="1185"/>
      <c r="TRJ387" s="1185"/>
      <c r="TRK387" s="1185"/>
      <c r="TRL387" s="1185"/>
      <c r="TRM387" s="1185"/>
      <c r="TRN387" s="1185"/>
      <c r="TRO387" s="1185"/>
      <c r="TRP387" s="1185"/>
      <c r="TRQ387" s="1185"/>
      <c r="TRR387" s="1185"/>
      <c r="TRS387" s="1185"/>
      <c r="TRT387" s="1185"/>
      <c r="TRU387" s="1185"/>
      <c r="TRV387" s="1185"/>
      <c r="TRW387" s="1185"/>
      <c r="TRX387" s="1185"/>
      <c r="TRY387" s="1185"/>
      <c r="TRZ387" s="1185"/>
      <c r="TSA387" s="1185"/>
      <c r="TSB387" s="1185"/>
      <c r="TSC387" s="1185"/>
      <c r="TSD387" s="1185"/>
      <c r="TSE387" s="1185"/>
      <c r="TSF387" s="1185"/>
      <c r="TSG387" s="1185"/>
      <c r="TSH387" s="1185"/>
      <c r="TSI387" s="1185"/>
      <c r="TSJ387" s="1185"/>
      <c r="TSK387" s="1185"/>
      <c r="TSL387" s="1185"/>
      <c r="TSM387" s="1185"/>
      <c r="TSN387" s="1185"/>
      <c r="TSO387" s="1185"/>
      <c r="TSP387" s="1185"/>
      <c r="TSQ387" s="1185"/>
      <c r="TSR387" s="1185"/>
      <c r="TSS387" s="1185"/>
      <c r="TST387" s="1185"/>
      <c r="TSU387" s="1185"/>
      <c r="TSV387" s="1185"/>
      <c r="TSW387" s="1185"/>
      <c r="TSX387" s="1185"/>
      <c r="TSY387" s="1185"/>
      <c r="TSZ387" s="1185"/>
      <c r="TTA387" s="1185"/>
      <c r="TTB387" s="1185"/>
      <c r="TTC387" s="1185"/>
      <c r="TTD387" s="1185"/>
      <c r="TTE387" s="1185"/>
      <c r="TTF387" s="1185"/>
      <c r="TTG387" s="1185"/>
      <c r="TTH387" s="1185"/>
      <c r="TTI387" s="1185"/>
      <c r="TTJ387" s="1185"/>
      <c r="TTK387" s="1185"/>
      <c r="TTL387" s="1185"/>
      <c r="TTM387" s="1185"/>
      <c r="TTN387" s="1185"/>
      <c r="TTO387" s="1185"/>
      <c r="TTP387" s="1185"/>
      <c r="TTQ387" s="1185"/>
      <c r="TTR387" s="1185"/>
      <c r="TTS387" s="1185"/>
      <c r="TTT387" s="1185"/>
      <c r="TTU387" s="1185"/>
      <c r="TTV387" s="1185"/>
      <c r="TTW387" s="1185"/>
      <c r="TTX387" s="1185"/>
      <c r="TTY387" s="1185"/>
      <c r="TTZ387" s="1185"/>
      <c r="TUA387" s="1185"/>
      <c r="TUB387" s="1185"/>
      <c r="TUC387" s="1185"/>
      <c r="TUD387" s="1185"/>
      <c r="TUE387" s="1185"/>
      <c r="TUF387" s="1185"/>
      <c r="TUG387" s="1185"/>
      <c r="TUH387" s="1185"/>
      <c r="TUI387" s="1185"/>
      <c r="TUJ387" s="1185"/>
      <c r="TUK387" s="1185"/>
      <c r="TUL387" s="1185"/>
      <c r="TUM387" s="1185"/>
      <c r="TUN387" s="1185"/>
      <c r="TUO387" s="1185"/>
      <c r="TUP387" s="1185"/>
      <c r="TUQ387" s="1185"/>
      <c r="TUR387" s="1185"/>
      <c r="TUS387" s="1185"/>
      <c r="TUT387" s="1185"/>
      <c r="TUU387" s="1185"/>
      <c r="TUV387" s="1185"/>
      <c r="TUW387" s="1185"/>
      <c r="TUX387" s="1185"/>
      <c r="TUY387" s="1185"/>
      <c r="TUZ387" s="1185"/>
      <c r="TVA387" s="1185"/>
      <c r="TVB387" s="1185"/>
      <c r="TVC387" s="1185"/>
      <c r="TVD387" s="1185"/>
      <c r="TVE387" s="1185"/>
      <c r="TVF387" s="1185"/>
      <c r="TVG387" s="1185"/>
      <c r="TVH387" s="1185"/>
      <c r="TVI387" s="1185"/>
      <c r="TVJ387" s="1185"/>
      <c r="TVK387" s="1185"/>
      <c r="TVL387" s="1185"/>
      <c r="TVM387" s="1185"/>
      <c r="TVN387" s="1185"/>
      <c r="TVO387" s="1185"/>
      <c r="TVP387" s="1185"/>
      <c r="TVQ387" s="1185"/>
      <c r="TVR387" s="1185"/>
      <c r="TVS387" s="1185"/>
      <c r="TVT387" s="1185"/>
      <c r="TVU387" s="1185"/>
      <c r="TVV387" s="1185"/>
      <c r="TVW387" s="1185"/>
      <c r="TVX387" s="1185"/>
      <c r="TVY387" s="1185"/>
      <c r="TVZ387" s="1185"/>
      <c r="TWA387" s="1185"/>
      <c r="TWB387" s="1185"/>
      <c r="TWC387" s="1185"/>
      <c r="TWD387" s="1185"/>
      <c r="TWE387" s="1185"/>
      <c r="TWF387" s="1185"/>
      <c r="TWG387" s="1185"/>
      <c r="TWH387" s="1185"/>
      <c r="TWI387" s="1185"/>
      <c r="TWJ387" s="1185"/>
      <c r="TWK387" s="1185"/>
      <c r="TWL387" s="1185"/>
      <c r="TWM387" s="1185"/>
      <c r="TWN387" s="1185"/>
      <c r="TWO387" s="1185"/>
      <c r="TWP387" s="1185"/>
      <c r="TWQ387" s="1185"/>
      <c r="TWR387" s="1185"/>
      <c r="TWS387" s="1185"/>
      <c r="TWT387" s="1185"/>
      <c r="TWU387" s="1185"/>
      <c r="TWV387" s="1185"/>
      <c r="TWW387" s="1185"/>
      <c r="TWX387" s="1185"/>
      <c r="TWY387" s="1185"/>
      <c r="TWZ387" s="1185"/>
      <c r="TXA387" s="1185"/>
      <c r="TXB387" s="1185"/>
      <c r="TXC387" s="1185"/>
      <c r="TXD387" s="1185"/>
      <c r="TXE387" s="1185"/>
      <c r="TXF387" s="1185"/>
      <c r="TXG387" s="1185"/>
      <c r="TXH387" s="1185"/>
      <c r="TXI387" s="1185"/>
      <c r="TXJ387" s="1185"/>
      <c r="TXK387" s="1185"/>
      <c r="TXL387" s="1185"/>
      <c r="TXM387" s="1185"/>
      <c r="TXN387" s="1185"/>
      <c r="TXO387" s="1185"/>
      <c r="TXP387" s="1185"/>
      <c r="TXQ387" s="1185"/>
      <c r="TXR387" s="1185"/>
      <c r="TXS387" s="1185"/>
      <c r="TXT387" s="1185"/>
      <c r="TXU387" s="1185"/>
      <c r="TXV387" s="1185"/>
      <c r="TXW387" s="1185"/>
      <c r="TXX387" s="1185"/>
      <c r="TXY387" s="1185"/>
      <c r="TXZ387" s="1185"/>
      <c r="TYA387" s="1185"/>
      <c r="TYB387" s="1185"/>
      <c r="TYC387" s="1185"/>
      <c r="TYD387" s="1185"/>
      <c r="TYE387" s="1185"/>
      <c r="TYF387" s="1185"/>
      <c r="TYG387" s="1185"/>
      <c r="TYH387" s="1185"/>
      <c r="TYI387" s="1185"/>
      <c r="TYJ387" s="1185"/>
      <c r="TYK387" s="1185"/>
      <c r="TYL387" s="1185"/>
      <c r="TYM387" s="1185"/>
      <c r="TYN387" s="1185"/>
      <c r="TYO387" s="1185"/>
      <c r="TYP387" s="1185"/>
      <c r="TYQ387" s="1185"/>
      <c r="TYR387" s="1185"/>
      <c r="TYS387" s="1185"/>
      <c r="TYT387" s="1185"/>
      <c r="TYU387" s="1185"/>
      <c r="TYV387" s="1185"/>
      <c r="TYW387" s="1185"/>
      <c r="TYX387" s="1185"/>
      <c r="TYY387" s="1185"/>
      <c r="TYZ387" s="1185"/>
      <c r="TZA387" s="1185"/>
      <c r="TZB387" s="1185"/>
      <c r="TZC387" s="1185"/>
      <c r="TZD387" s="1185"/>
      <c r="TZE387" s="1185"/>
      <c r="TZF387" s="1185"/>
      <c r="TZG387" s="1185"/>
      <c r="TZH387" s="1185"/>
      <c r="TZI387" s="1185"/>
      <c r="TZJ387" s="1185"/>
      <c r="TZK387" s="1185"/>
      <c r="TZL387" s="1185"/>
      <c r="TZM387" s="1185"/>
      <c r="TZN387" s="1185"/>
      <c r="TZO387" s="1185"/>
      <c r="TZP387" s="1185"/>
      <c r="TZQ387" s="1185"/>
      <c r="TZR387" s="1185"/>
      <c r="TZS387" s="1185"/>
      <c r="TZT387" s="1185"/>
      <c r="TZU387" s="1185"/>
      <c r="TZV387" s="1185"/>
      <c r="TZW387" s="1185"/>
      <c r="TZX387" s="1185"/>
      <c r="TZY387" s="1185"/>
      <c r="TZZ387" s="1185"/>
      <c r="UAA387" s="1185"/>
      <c r="UAB387" s="1185"/>
      <c r="UAC387" s="1185"/>
      <c r="UAD387" s="1185"/>
      <c r="UAE387" s="1185"/>
      <c r="UAF387" s="1185"/>
      <c r="UAG387" s="1185"/>
      <c r="UAH387" s="1185"/>
      <c r="UAI387" s="1185"/>
      <c r="UAJ387" s="1185"/>
      <c r="UAK387" s="1185"/>
      <c r="UAL387" s="1185"/>
      <c r="UAM387" s="1185"/>
      <c r="UAN387" s="1185"/>
      <c r="UAO387" s="1185"/>
      <c r="UAP387" s="1185"/>
      <c r="UAQ387" s="1185"/>
      <c r="UAR387" s="1185"/>
      <c r="UAS387" s="1185"/>
      <c r="UAT387" s="1185"/>
      <c r="UAU387" s="1185"/>
      <c r="UAV387" s="1185"/>
      <c r="UAW387" s="1185"/>
      <c r="UAX387" s="1185"/>
      <c r="UAY387" s="1185"/>
      <c r="UAZ387" s="1185"/>
      <c r="UBA387" s="1185"/>
      <c r="UBB387" s="1185"/>
      <c r="UBC387" s="1185"/>
      <c r="UBD387" s="1185"/>
      <c r="UBE387" s="1185"/>
      <c r="UBF387" s="1185"/>
      <c r="UBG387" s="1185"/>
      <c r="UBH387" s="1185"/>
      <c r="UBI387" s="1185"/>
      <c r="UBJ387" s="1185"/>
      <c r="UBK387" s="1185"/>
      <c r="UBL387" s="1185"/>
      <c r="UBM387" s="1185"/>
      <c r="UBN387" s="1185"/>
      <c r="UBO387" s="1185"/>
      <c r="UBP387" s="1185"/>
      <c r="UBQ387" s="1185"/>
      <c r="UBR387" s="1185"/>
      <c r="UBS387" s="1185"/>
      <c r="UBT387" s="1185"/>
      <c r="UBU387" s="1185"/>
      <c r="UBV387" s="1185"/>
      <c r="UBW387" s="1185"/>
      <c r="UBX387" s="1185"/>
      <c r="UBY387" s="1185"/>
      <c r="UBZ387" s="1185"/>
      <c r="UCA387" s="1185"/>
      <c r="UCB387" s="1185"/>
      <c r="UCC387" s="1185"/>
      <c r="UCD387" s="1185"/>
      <c r="UCE387" s="1185"/>
      <c r="UCF387" s="1185"/>
      <c r="UCG387" s="1185"/>
      <c r="UCH387" s="1185"/>
      <c r="UCI387" s="1185"/>
      <c r="UCJ387" s="1185"/>
      <c r="UCK387" s="1185"/>
      <c r="UCL387" s="1185"/>
      <c r="UCM387" s="1185"/>
      <c r="UCN387" s="1185"/>
      <c r="UCO387" s="1185"/>
      <c r="UCP387" s="1185"/>
      <c r="UCQ387" s="1185"/>
      <c r="UCR387" s="1185"/>
      <c r="UCS387" s="1185"/>
      <c r="UCT387" s="1185"/>
      <c r="UCU387" s="1185"/>
      <c r="UCV387" s="1185"/>
      <c r="UCW387" s="1185"/>
      <c r="UCX387" s="1185"/>
      <c r="UCY387" s="1185"/>
      <c r="UCZ387" s="1185"/>
      <c r="UDA387" s="1185"/>
      <c r="UDB387" s="1185"/>
      <c r="UDC387" s="1185"/>
      <c r="UDD387" s="1185"/>
      <c r="UDE387" s="1185"/>
      <c r="UDF387" s="1185"/>
      <c r="UDG387" s="1185"/>
      <c r="UDH387" s="1185"/>
      <c r="UDI387" s="1185"/>
      <c r="UDJ387" s="1185"/>
      <c r="UDK387" s="1185"/>
      <c r="UDL387" s="1185"/>
      <c r="UDM387" s="1185"/>
      <c r="UDN387" s="1185"/>
      <c r="UDO387" s="1185"/>
      <c r="UDP387" s="1185"/>
      <c r="UDQ387" s="1185"/>
      <c r="UDR387" s="1185"/>
      <c r="UDS387" s="1185"/>
      <c r="UDT387" s="1185"/>
      <c r="UDU387" s="1185"/>
      <c r="UDV387" s="1185"/>
      <c r="UDW387" s="1185"/>
      <c r="UDX387" s="1185"/>
      <c r="UDY387" s="1185"/>
      <c r="UDZ387" s="1185"/>
      <c r="UEA387" s="1185"/>
      <c r="UEB387" s="1185"/>
      <c r="UEC387" s="1185"/>
      <c r="UED387" s="1185"/>
      <c r="UEE387" s="1185"/>
      <c r="UEF387" s="1185"/>
      <c r="UEG387" s="1185"/>
      <c r="UEH387" s="1185"/>
      <c r="UEI387" s="1185"/>
      <c r="UEJ387" s="1185"/>
      <c r="UEK387" s="1185"/>
      <c r="UEL387" s="1185"/>
      <c r="UEM387" s="1185"/>
      <c r="UEN387" s="1185"/>
      <c r="UEO387" s="1185"/>
      <c r="UEP387" s="1185"/>
      <c r="UEQ387" s="1185"/>
      <c r="UER387" s="1185"/>
      <c r="UES387" s="1185"/>
      <c r="UET387" s="1185"/>
      <c r="UEU387" s="1185"/>
      <c r="UEV387" s="1185"/>
      <c r="UEW387" s="1185"/>
      <c r="UEX387" s="1185"/>
      <c r="UEY387" s="1185"/>
      <c r="UEZ387" s="1185"/>
      <c r="UFA387" s="1185"/>
      <c r="UFB387" s="1185"/>
      <c r="UFC387" s="1185"/>
      <c r="UFD387" s="1185"/>
      <c r="UFE387" s="1185"/>
      <c r="UFF387" s="1185"/>
      <c r="UFG387" s="1185"/>
      <c r="UFH387" s="1185"/>
      <c r="UFI387" s="1185"/>
      <c r="UFJ387" s="1185"/>
      <c r="UFK387" s="1185"/>
      <c r="UFL387" s="1185"/>
      <c r="UFM387" s="1185"/>
      <c r="UFN387" s="1185"/>
      <c r="UFO387" s="1185"/>
      <c r="UFP387" s="1185"/>
      <c r="UFQ387" s="1185"/>
      <c r="UFR387" s="1185"/>
      <c r="UFS387" s="1185"/>
      <c r="UFT387" s="1185"/>
      <c r="UFU387" s="1185"/>
      <c r="UFV387" s="1185"/>
      <c r="UFW387" s="1185"/>
      <c r="UFX387" s="1185"/>
      <c r="UFY387" s="1185"/>
      <c r="UFZ387" s="1185"/>
      <c r="UGA387" s="1185"/>
      <c r="UGB387" s="1185"/>
      <c r="UGC387" s="1185"/>
      <c r="UGD387" s="1185"/>
      <c r="UGE387" s="1185"/>
      <c r="UGF387" s="1185"/>
      <c r="UGG387" s="1185"/>
      <c r="UGH387" s="1185"/>
      <c r="UGI387" s="1185"/>
      <c r="UGJ387" s="1185"/>
      <c r="UGK387" s="1185"/>
      <c r="UGL387" s="1185"/>
      <c r="UGM387" s="1185"/>
      <c r="UGN387" s="1185"/>
      <c r="UGO387" s="1185"/>
      <c r="UGP387" s="1185"/>
      <c r="UGQ387" s="1185"/>
      <c r="UGR387" s="1185"/>
      <c r="UGS387" s="1185"/>
      <c r="UGT387" s="1185"/>
      <c r="UGU387" s="1185"/>
      <c r="UGV387" s="1185"/>
      <c r="UGW387" s="1185"/>
      <c r="UGX387" s="1185"/>
      <c r="UGY387" s="1185"/>
      <c r="UGZ387" s="1185"/>
      <c r="UHA387" s="1185"/>
      <c r="UHB387" s="1185"/>
      <c r="UHC387" s="1185"/>
      <c r="UHD387" s="1185"/>
      <c r="UHE387" s="1185"/>
      <c r="UHF387" s="1185"/>
      <c r="UHG387" s="1185"/>
      <c r="UHH387" s="1185"/>
      <c r="UHI387" s="1185"/>
      <c r="UHJ387" s="1185"/>
      <c r="UHK387" s="1185"/>
      <c r="UHL387" s="1185"/>
      <c r="UHM387" s="1185"/>
      <c r="UHN387" s="1185"/>
      <c r="UHO387" s="1185"/>
      <c r="UHP387" s="1185"/>
      <c r="UHQ387" s="1185"/>
      <c r="UHR387" s="1185"/>
      <c r="UHS387" s="1185"/>
      <c r="UHT387" s="1185"/>
      <c r="UHU387" s="1185"/>
      <c r="UHV387" s="1185"/>
      <c r="UHW387" s="1185"/>
      <c r="UHX387" s="1185"/>
      <c r="UHY387" s="1185"/>
      <c r="UHZ387" s="1185"/>
      <c r="UIA387" s="1185"/>
      <c r="UIB387" s="1185"/>
      <c r="UIC387" s="1185"/>
      <c r="UID387" s="1185"/>
      <c r="UIE387" s="1185"/>
      <c r="UIF387" s="1185"/>
      <c r="UIG387" s="1185"/>
      <c r="UIH387" s="1185"/>
      <c r="UII387" s="1185"/>
      <c r="UIJ387" s="1185"/>
      <c r="UIK387" s="1185"/>
      <c r="UIL387" s="1185"/>
      <c r="UIM387" s="1185"/>
      <c r="UIN387" s="1185"/>
      <c r="UIO387" s="1185"/>
      <c r="UIP387" s="1185"/>
      <c r="UIQ387" s="1185"/>
      <c r="UIR387" s="1185"/>
      <c r="UIS387" s="1185"/>
      <c r="UIT387" s="1185"/>
      <c r="UIU387" s="1185"/>
      <c r="UIV387" s="1185"/>
      <c r="UIW387" s="1185"/>
      <c r="UIX387" s="1185"/>
      <c r="UIY387" s="1185"/>
      <c r="UIZ387" s="1185"/>
      <c r="UJA387" s="1185"/>
      <c r="UJB387" s="1185"/>
      <c r="UJC387" s="1185"/>
      <c r="UJD387" s="1185"/>
      <c r="UJE387" s="1185"/>
      <c r="UJF387" s="1185"/>
      <c r="UJG387" s="1185"/>
      <c r="UJH387" s="1185"/>
      <c r="UJI387" s="1185"/>
      <c r="UJJ387" s="1185"/>
      <c r="UJK387" s="1185"/>
      <c r="UJL387" s="1185"/>
      <c r="UJM387" s="1185"/>
      <c r="UJN387" s="1185"/>
      <c r="UJO387" s="1185"/>
      <c r="UJP387" s="1185"/>
      <c r="UJQ387" s="1185"/>
      <c r="UJR387" s="1185"/>
      <c r="UJS387" s="1185"/>
      <c r="UJT387" s="1185"/>
      <c r="UJU387" s="1185"/>
      <c r="UJV387" s="1185"/>
      <c r="UJW387" s="1185"/>
      <c r="UJX387" s="1185"/>
      <c r="UJY387" s="1185"/>
      <c r="UJZ387" s="1185"/>
      <c r="UKA387" s="1185"/>
      <c r="UKB387" s="1185"/>
      <c r="UKC387" s="1185"/>
      <c r="UKD387" s="1185"/>
      <c r="UKE387" s="1185"/>
      <c r="UKF387" s="1185"/>
      <c r="UKG387" s="1185"/>
      <c r="UKH387" s="1185"/>
      <c r="UKI387" s="1185"/>
      <c r="UKJ387" s="1185"/>
      <c r="UKK387" s="1185"/>
      <c r="UKL387" s="1185"/>
      <c r="UKM387" s="1185"/>
      <c r="UKN387" s="1185"/>
      <c r="UKO387" s="1185"/>
      <c r="UKP387" s="1185"/>
      <c r="UKQ387" s="1185"/>
      <c r="UKR387" s="1185"/>
      <c r="UKS387" s="1185"/>
      <c r="UKT387" s="1185"/>
      <c r="UKU387" s="1185"/>
      <c r="UKV387" s="1185"/>
      <c r="UKW387" s="1185"/>
      <c r="UKX387" s="1185"/>
      <c r="UKY387" s="1185"/>
      <c r="UKZ387" s="1185"/>
      <c r="ULA387" s="1185"/>
      <c r="ULB387" s="1185"/>
      <c r="ULC387" s="1185"/>
      <c r="ULD387" s="1185"/>
      <c r="ULE387" s="1185"/>
      <c r="ULF387" s="1185"/>
      <c r="ULG387" s="1185"/>
      <c r="ULH387" s="1185"/>
      <c r="ULI387" s="1185"/>
      <c r="ULJ387" s="1185"/>
      <c r="ULK387" s="1185"/>
      <c r="ULL387" s="1185"/>
      <c r="ULM387" s="1185"/>
      <c r="ULN387" s="1185"/>
      <c r="ULO387" s="1185"/>
      <c r="ULP387" s="1185"/>
      <c r="ULQ387" s="1185"/>
      <c r="ULR387" s="1185"/>
      <c r="ULS387" s="1185"/>
      <c r="ULT387" s="1185"/>
      <c r="ULU387" s="1185"/>
      <c r="ULV387" s="1185"/>
      <c r="ULW387" s="1185"/>
      <c r="ULX387" s="1185"/>
      <c r="ULY387" s="1185"/>
      <c r="ULZ387" s="1185"/>
      <c r="UMA387" s="1185"/>
      <c r="UMB387" s="1185"/>
      <c r="UMC387" s="1185"/>
      <c r="UMD387" s="1185"/>
      <c r="UME387" s="1185"/>
      <c r="UMF387" s="1185"/>
      <c r="UMG387" s="1185"/>
      <c r="UMH387" s="1185"/>
      <c r="UMI387" s="1185"/>
      <c r="UMJ387" s="1185"/>
      <c r="UMK387" s="1185"/>
      <c r="UML387" s="1185"/>
      <c r="UMM387" s="1185"/>
      <c r="UMN387" s="1185"/>
      <c r="UMO387" s="1185"/>
      <c r="UMP387" s="1185"/>
      <c r="UMQ387" s="1185"/>
      <c r="UMR387" s="1185"/>
      <c r="UMS387" s="1185"/>
      <c r="UMT387" s="1185"/>
      <c r="UMU387" s="1185"/>
      <c r="UMV387" s="1185"/>
      <c r="UMW387" s="1185"/>
      <c r="UMX387" s="1185"/>
      <c r="UMY387" s="1185"/>
      <c r="UMZ387" s="1185"/>
      <c r="UNA387" s="1185"/>
      <c r="UNB387" s="1185"/>
      <c r="UNC387" s="1185"/>
      <c r="UND387" s="1185"/>
      <c r="UNE387" s="1185"/>
      <c r="UNF387" s="1185"/>
      <c r="UNG387" s="1185"/>
      <c r="UNH387" s="1185"/>
      <c r="UNI387" s="1185"/>
      <c r="UNJ387" s="1185"/>
      <c r="UNK387" s="1185"/>
      <c r="UNL387" s="1185"/>
      <c r="UNM387" s="1185"/>
      <c r="UNN387" s="1185"/>
      <c r="UNO387" s="1185"/>
      <c r="UNP387" s="1185"/>
      <c r="UNQ387" s="1185"/>
      <c r="UNR387" s="1185"/>
      <c r="UNS387" s="1185"/>
      <c r="UNT387" s="1185"/>
      <c r="UNU387" s="1185"/>
      <c r="UNV387" s="1185"/>
      <c r="UNW387" s="1185"/>
      <c r="UNX387" s="1185"/>
      <c r="UNY387" s="1185"/>
      <c r="UNZ387" s="1185"/>
      <c r="UOA387" s="1185"/>
      <c r="UOB387" s="1185"/>
      <c r="UOC387" s="1185"/>
      <c r="UOD387" s="1185"/>
      <c r="UOE387" s="1185"/>
      <c r="UOF387" s="1185"/>
      <c r="UOG387" s="1185"/>
      <c r="UOH387" s="1185"/>
      <c r="UOI387" s="1185"/>
      <c r="UOJ387" s="1185"/>
      <c r="UOK387" s="1185"/>
      <c r="UOL387" s="1185"/>
      <c r="UOM387" s="1185"/>
      <c r="UON387" s="1185"/>
      <c r="UOO387" s="1185"/>
      <c r="UOP387" s="1185"/>
      <c r="UOQ387" s="1185"/>
      <c r="UOR387" s="1185"/>
      <c r="UOS387" s="1185"/>
      <c r="UOT387" s="1185"/>
      <c r="UOU387" s="1185"/>
      <c r="UOV387" s="1185"/>
      <c r="UOW387" s="1185"/>
      <c r="UOX387" s="1185"/>
      <c r="UOY387" s="1185"/>
      <c r="UOZ387" s="1185"/>
      <c r="UPA387" s="1185"/>
      <c r="UPB387" s="1185"/>
      <c r="UPC387" s="1185"/>
      <c r="UPD387" s="1185"/>
      <c r="UPE387" s="1185"/>
      <c r="UPF387" s="1185"/>
      <c r="UPG387" s="1185"/>
      <c r="UPH387" s="1185"/>
      <c r="UPI387" s="1185"/>
      <c r="UPJ387" s="1185"/>
      <c r="UPK387" s="1185"/>
      <c r="UPL387" s="1185"/>
      <c r="UPM387" s="1185"/>
      <c r="UPN387" s="1185"/>
      <c r="UPO387" s="1185"/>
      <c r="UPP387" s="1185"/>
      <c r="UPQ387" s="1185"/>
      <c r="UPR387" s="1185"/>
      <c r="UPS387" s="1185"/>
      <c r="UPT387" s="1185"/>
      <c r="UPU387" s="1185"/>
      <c r="UPV387" s="1185"/>
      <c r="UPW387" s="1185"/>
      <c r="UPX387" s="1185"/>
      <c r="UPY387" s="1185"/>
      <c r="UPZ387" s="1185"/>
      <c r="UQA387" s="1185"/>
      <c r="UQB387" s="1185"/>
      <c r="UQC387" s="1185"/>
      <c r="UQD387" s="1185"/>
      <c r="UQE387" s="1185"/>
      <c r="UQF387" s="1185"/>
      <c r="UQG387" s="1185"/>
      <c r="UQH387" s="1185"/>
      <c r="UQI387" s="1185"/>
      <c r="UQJ387" s="1185"/>
      <c r="UQK387" s="1185"/>
      <c r="UQL387" s="1185"/>
      <c r="UQM387" s="1185"/>
      <c r="UQN387" s="1185"/>
      <c r="UQO387" s="1185"/>
      <c r="UQP387" s="1185"/>
      <c r="UQQ387" s="1185"/>
      <c r="UQR387" s="1185"/>
      <c r="UQS387" s="1185"/>
      <c r="UQT387" s="1185"/>
      <c r="UQU387" s="1185"/>
      <c r="UQV387" s="1185"/>
      <c r="UQW387" s="1185"/>
      <c r="UQX387" s="1185"/>
      <c r="UQY387" s="1185"/>
      <c r="UQZ387" s="1185"/>
      <c r="URA387" s="1185"/>
      <c r="URB387" s="1185"/>
      <c r="URC387" s="1185"/>
      <c r="URD387" s="1185"/>
      <c r="URE387" s="1185"/>
      <c r="URF387" s="1185"/>
      <c r="URG387" s="1185"/>
      <c r="URH387" s="1185"/>
      <c r="URI387" s="1185"/>
      <c r="URJ387" s="1185"/>
      <c r="URK387" s="1185"/>
      <c r="URL387" s="1185"/>
      <c r="URM387" s="1185"/>
      <c r="URN387" s="1185"/>
      <c r="URO387" s="1185"/>
      <c r="URP387" s="1185"/>
      <c r="URQ387" s="1185"/>
      <c r="URR387" s="1185"/>
      <c r="URS387" s="1185"/>
      <c r="URT387" s="1185"/>
      <c r="URU387" s="1185"/>
      <c r="URV387" s="1185"/>
      <c r="URW387" s="1185"/>
      <c r="URX387" s="1185"/>
      <c r="URY387" s="1185"/>
      <c r="URZ387" s="1185"/>
      <c r="USA387" s="1185"/>
      <c r="USB387" s="1185"/>
      <c r="USC387" s="1185"/>
      <c r="USD387" s="1185"/>
      <c r="USE387" s="1185"/>
      <c r="USF387" s="1185"/>
      <c r="USG387" s="1185"/>
      <c r="USH387" s="1185"/>
      <c r="USI387" s="1185"/>
      <c r="USJ387" s="1185"/>
      <c r="USK387" s="1185"/>
      <c r="USL387" s="1185"/>
      <c r="USM387" s="1185"/>
      <c r="USN387" s="1185"/>
      <c r="USO387" s="1185"/>
      <c r="USP387" s="1185"/>
      <c r="USQ387" s="1185"/>
      <c r="USR387" s="1185"/>
      <c r="USS387" s="1185"/>
      <c r="UST387" s="1185"/>
      <c r="USU387" s="1185"/>
      <c r="USV387" s="1185"/>
      <c r="USW387" s="1185"/>
      <c r="USX387" s="1185"/>
      <c r="USY387" s="1185"/>
      <c r="USZ387" s="1185"/>
      <c r="UTA387" s="1185"/>
      <c r="UTB387" s="1185"/>
      <c r="UTC387" s="1185"/>
      <c r="UTD387" s="1185"/>
      <c r="UTE387" s="1185"/>
      <c r="UTF387" s="1185"/>
      <c r="UTG387" s="1185"/>
      <c r="UTH387" s="1185"/>
      <c r="UTI387" s="1185"/>
      <c r="UTJ387" s="1185"/>
      <c r="UTK387" s="1185"/>
      <c r="UTL387" s="1185"/>
      <c r="UTM387" s="1185"/>
      <c r="UTN387" s="1185"/>
      <c r="UTO387" s="1185"/>
      <c r="UTP387" s="1185"/>
      <c r="UTQ387" s="1185"/>
      <c r="UTR387" s="1185"/>
      <c r="UTS387" s="1185"/>
      <c r="UTT387" s="1185"/>
      <c r="UTU387" s="1185"/>
      <c r="UTV387" s="1185"/>
      <c r="UTW387" s="1185"/>
      <c r="UTX387" s="1185"/>
      <c r="UTY387" s="1185"/>
      <c r="UTZ387" s="1185"/>
      <c r="UUA387" s="1185"/>
      <c r="UUB387" s="1185"/>
      <c r="UUC387" s="1185"/>
      <c r="UUD387" s="1185"/>
      <c r="UUE387" s="1185"/>
      <c r="UUF387" s="1185"/>
      <c r="UUG387" s="1185"/>
      <c r="UUH387" s="1185"/>
      <c r="UUI387" s="1185"/>
      <c r="UUJ387" s="1185"/>
      <c r="UUK387" s="1185"/>
      <c r="UUL387" s="1185"/>
      <c r="UUM387" s="1185"/>
      <c r="UUN387" s="1185"/>
      <c r="UUO387" s="1185"/>
      <c r="UUP387" s="1185"/>
      <c r="UUQ387" s="1185"/>
      <c r="UUR387" s="1185"/>
      <c r="UUS387" s="1185"/>
      <c r="UUT387" s="1185"/>
      <c r="UUU387" s="1185"/>
      <c r="UUV387" s="1185"/>
      <c r="UUW387" s="1185"/>
      <c r="UUX387" s="1185"/>
      <c r="UUY387" s="1185"/>
      <c r="UUZ387" s="1185"/>
      <c r="UVA387" s="1185"/>
      <c r="UVB387" s="1185"/>
      <c r="UVC387" s="1185"/>
      <c r="UVD387" s="1185"/>
      <c r="UVE387" s="1185"/>
      <c r="UVF387" s="1185"/>
      <c r="UVG387" s="1185"/>
      <c r="UVH387" s="1185"/>
      <c r="UVI387" s="1185"/>
      <c r="UVJ387" s="1185"/>
      <c r="UVK387" s="1185"/>
      <c r="UVL387" s="1185"/>
      <c r="UVM387" s="1185"/>
      <c r="UVN387" s="1185"/>
      <c r="UVO387" s="1185"/>
      <c r="UVP387" s="1185"/>
      <c r="UVQ387" s="1185"/>
      <c r="UVR387" s="1185"/>
      <c r="UVS387" s="1185"/>
      <c r="UVT387" s="1185"/>
      <c r="UVU387" s="1185"/>
      <c r="UVV387" s="1185"/>
      <c r="UVW387" s="1185"/>
      <c r="UVX387" s="1185"/>
      <c r="UVY387" s="1185"/>
      <c r="UVZ387" s="1185"/>
      <c r="UWA387" s="1185"/>
      <c r="UWB387" s="1185"/>
      <c r="UWC387" s="1185"/>
      <c r="UWD387" s="1185"/>
      <c r="UWE387" s="1185"/>
      <c r="UWF387" s="1185"/>
      <c r="UWG387" s="1185"/>
      <c r="UWH387" s="1185"/>
      <c r="UWI387" s="1185"/>
      <c r="UWJ387" s="1185"/>
      <c r="UWK387" s="1185"/>
      <c r="UWL387" s="1185"/>
      <c r="UWM387" s="1185"/>
      <c r="UWN387" s="1185"/>
      <c r="UWO387" s="1185"/>
      <c r="UWP387" s="1185"/>
      <c r="UWQ387" s="1185"/>
      <c r="UWR387" s="1185"/>
      <c r="UWS387" s="1185"/>
      <c r="UWT387" s="1185"/>
      <c r="UWU387" s="1185"/>
      <c r="UWV387" s="1185"/>
      <c r="UWW387" s="1185"/>
      <c r="UWX387" s="1185"/>
      <c r="UWY387" s="1185"/>
      <c r="UWZ387" s="1185"/>
      <c r="UXA387" s="1185"/>
      <c r="UXB387" s="1185"/>
      <c r="UXC387" s="1185"/>
      <c r="UXD387" s="1185"/>
      <c r="UXE387" s="1185"/>
      <c r="UXF387" s="1185"/>
      <c r="UXG387" s="1185"/>
      <c r="UXH387" s="1185"/>
      <c r="UXI387" s="1185"/>
      <c r="UXJ387" s="1185"/>
      <c r="UXK387" s="1185"/>
      <c r="UXL387" s="1185"/>
      <c r="UXM387" s="1185"/>
      <c r="UXN387" s="1185"/>
      <c r="UXO387" s="1185"/>
      <c r="UXP387" s="1185"/>
      <c r="UXQ387" s="1185"/>
      <c r="UXR387" s="1185"/>
      <c r="UXS387" s="1185"/>
      <c r="UXT387" s="1185"/>
      <c r="UXU387" s="1185"/>
      <c r="UXV387" s="1185"/>
      <c r="UXW387" s="1185"/>
      <c r="UXX387" s="1185"/>
      <c r="UXY387" s="1185"/>
      <c r="UXZ387" s="1185"/>
      <c r="UYA387" s="1185"/>
      <c r="UYB387" s="1185"/>
      <c r="UYC387" s="1185"/>
      <c r="UYD387" s="1185"/>
      <c r="UYE387" s="1185"/>
      <c r="UYF387" s="1185"/>
      <c r="UYG387" s="1185"/>
      <c r="UYH387" s="1185"/>
      <c r="UYI387" s="1185"/>
      <c r="UYJ387" s="1185"/>
      <c r="UYK387" s="1185"/>
      <c r="UYL387" s="1185"/>
      <c r="UYM387" s="1185"/>
      <c r="UYN387" s="1185"/>
      <c r="UYO387" s="1185"/>
      <c r="UYP387" s="1185"/>
      <c r="UYQ387" s="1185"/>
      <c r="UYR387" s="1185"/>
      <c r="UYS387" s="1185"/>
      <c r="UYT387" s="1185"/>
      <c r="UYU387" s="1185"/>
      <c r="UYV387" s="1185"/>
      <c r="UYW387" s="1185"/>
      <c r="UYX387" s="1185"/>
      <c r="UYY387" s="1185"/>
      <c r="UYZ387" s="1185"/>
      <c r="UZA387" s="1185"/>
      <c r="UZB387" s="1185"/>
      <c r="UZC387" s="1185"/>
      <c r="UZD387" s="1185"/>
      <c r="UZE387" s="1185"/>
      <c r="UZF387" s="1185"/>
      <c r="UZG387" s="1185"/>
      <c r="UZH387" s="1185"/>
      <c r="UZI387" s="1185"/>
      <c r="UZJ387" s="1185"/>
      <c r="UZK387" s="1185"/>
      <c r="UZL387" s="1185"/>
      <c r="UZM387" s="1185"/>
      <c r="UZN387" s="1185"/>
      <c r="UZO387" s="1185"/>
      <c r="UZP387" s="1185"/>
      <c r="UZQ387" s="1185"/>
      <c r="UZR387" s="1185"/>
      <c r="UZS387" s="1185"/>
      <c r="UZT387" s="1185"/>
      <c r="UZU387" s="1185"/>
      <c r="UZV387" s="1185"/>
      <c r="UZW387" s="1185"/>
      <c r="UZX387" s="1185"/>
      <c r="UZY387" s="1185"/>
      <c r="UZZ387" s="1185"/>
      <c r="VAA387" s="1185"/>
      <c r="VAB387" s="1185"/>
      <c r="VAC387" s="1185"/>
      <c r="VAD387" s="1185"/>
      <c r="VAE387" s="1185"/>
      <c r="VAF387" s="1185"/>
      <c r="VAG387" s="1185"/>
      <c r="VAH387" s="1185"/>
      <c r="VAI387" s="1185"/>
      <c r="VAJ387" s="1185"/>
      <c r="VAK387" s="1185"/>
      <c r="VAL387" s="1185"/>
      <c r="VAM387" s="1185"/>
      <c r="VAN387" s="1185"/>
      <c r="VAO387" s="1185"/>
      <c r="VAP387" s="1185"/>
      <c r="VAQ387" s="1185"/>
      <c r="VAR387" s="1185"/>
      <c r="VAS387" s="1185"/>
      <c r="VAT387" s="1185"/>
      <c r="VAU387" s="1185"/>
      <c r="VAV387" s="1185"/>
      <c r="VAW387" s="1185"/>
      <c r="VAX387" s="1185"/>
      <c r="VAY387" s="1185"/>
      <c r="VAZ387" s="1185"/>
      <c r="VBA387" s="1185"/>
      <c r="VBB387" s="1185"/>
      <c r="VBC387" s="1185"/>
      <c r="VBD387" s="1185"/>
      <c r="VBE387" s="1185"/>
      <c r="VBF387" s="1185"/>
      <c r="VBG387" s="1185"/>
      <c r="VBH387" s="1185"/>
      <c r="VBI387" s="1185"/>
      <c r="VBJ387" s="1185"/>
      <c r="VBK387" s="1185"/>
      <c r="VBL387" s="1185"/>
      <c r="VBM387" s="1185"/>
      <c r="VBN387" s="1185"/>
      <c r="VBO387" s="1185"/>
      <c r="VBP387" s="1185"/>
      <c r="VBQ387" s="1185"/>
      <c r="VBR387" s="1185"/>
      <c r="VBS387" s="1185"/>
      <c r="VBT387" s="1185"/>
      <c r="VBU387" s="1185"/>
      <c r="VBV387" s="1185"/>
      <c r="VBW387" s="1185"/>
      <c r="VBX387" s="1185"/>
      <c r="VBY387" s="1185"/>
      <c r="VBZ387" s="1185"/>
      <c r="VCA387" s="1185"/>
      <c r="VCB387" s="1185"/>
      <c r="VCC387" s="1185"/>
      <c r="VCD387" s="1185"/>
      <c r="VCE387" s="1185"/>
      <c r="VCF387" s="1185"/>
      <c r="VCG387" s="1185"/>
      <c r="VCH387" s="1185"/>
      <c r="VCI387" s="1185"/>
      <c r="VCJ387" s="1185"/>
      <c r="VCK387" s="1185"/>
      <c r="VCL387" s="1185"/>
      <c r="VCM387" s="1185"/>
      <c r="VCN387" s="1185"/>
      <c r="VCO387" s="1185"/>
      <c r="VCP387" s="1185"/>
      <c r="VCQ387" s="1185"/>
      <c r="VCR387" s="1185"/>
      <c r="VCS387" s="1185"/>
      <c r="VCT387" s="1185"/>
      <c r="VCU387" s="1185"/>
      <c r="VCV387" s="1185"/>
      <c r="VCW387" s="1185"/>
      <c r="VCX387" s="1185"/>
      <c r="VCY387" s="1185"/>
      <c r="VCZ387" s="1185"/>
      <c r="VDA387" s="1185"/>
      <c r="VDB387" s="1185"/>
      <c r="VDC387" s="1185"/>
      <c r="VDD387" s="1185"/>
      <c r="VDE387" s="1185"/>
      <c r="VDF387" s="1185"/>
      <c r="VDG387" s="1185"/>
      <c r="VDH387" s="1185"/>
      <c r="VDI387" s="1185"/>
      <c r="VDJ387" s="1185"/>
      <c r="VDK387" s="1185"/>
      <c r="VDL387" s="1185"/>
      <c r="VDM387" s="1185"/>
      <c r="VDN387" s="1185"/>
      <c r="VDO387" s="1185"/>
      <c r="VDP387" s="1185"/>
      <c r="VDQ387" s="1185"/>
      <c r="VDR387" s="1185"/>
      <c r="VDS387" s="1185"/>
      <c r="VDT387" s="1185"/>
      <c r="VDU387" s="1185"/>
      <c r="VDV387" s="1185"/>
      <c r="VDW387" s="1185"/>
      <c r="VDX387" s="1185"/>
      <c r="VDY387" s="1185"/>
      <c r="VDZ387" s="1185"/>
      <c r="VEA387" s="1185"/>
      <c r="VEB387" s="1185"/>
      <c r="VEC387" s="1185"/>
      <c r="VED387" s="1185"/>
      <c r="VEE387" s="1185"/>
      <c r="VEF387" s="1185"/>
      <c r="VEG387" s="1185"/>
      <c r="VEH387" s="1185"/>
      <c r="VEI387" s="1185"/>
      <c r="VEJ387" s="1185"/>
      <c r="VEK387" s="1185"/>
      <c r="VEL387" s="1185"/>
      <c r="VEM387" s="1185"/>
      <c r="VEN387" s="1185"/>
      <c r="VEO387" s="1185"/>
      <c r="VEP387" s="1185"/>
      <c r="VEQ387" s="1185"/>
      <c r="VER387" s="1185"/>
      <c r="VES387" s="1185"/>
      <c r="VET387" s="1185"/>
      <c r="VEU387" s="1185"/>
      <c r="VEV387" s="1185"/>
      <c r="VEW387" s="1185"/>
      <c r="VEX387" s="1185"/>
      <c r="VEY387" s="1185"/>
      <c r="VEZ387" s="1185"/>
      <c r="VFA387" s="1185"/>
      <c r="VFB387" s="1185"/>
      <c r="VFC387" s="1185"/>
      <c r="VFD387" s="1185"/>
      <c r="VFE387" s="1185"/>
      <c r="VFF387" s="1185"/>
      <c r="VFG387" s="1185"/>
      <c r="VFH387" s="1185"/>
      <c r="VFI387" s="1185"/>
      <c r="VFJ387" s="1185"/>
      <c r="VFK387" s="1185"/>
      <c r="VFL387" s="1185"/>
      <c r="VFM387" s="1185"/>
      <c r="VFN387" s="1185"/>
      <c r="VFO387" s="1185"/>
      <c r="VFP387" s="1185"/>
      <c r="VFQ387" s="1185"/>
      <c r="VFR387" s="1185"/>
      <c r="VFS387" s="1185"/>
      <c r="VFT387" s="1185"/>
      <c r="VFU387" s="1185"/>
      <c r="VFV387" s="1185"/>
      <c r="VFW387" s="1185"/>
      <c r="VFX387" s="1185"/>
      <c r="VFY387" s="1185"/>
      <c r="VFZ387" s="1185"/>
      <c r="VGA387" s="1185"/>
      <c r="VGB387" s="1185"/>
      <c r="VGC387" s="1185"/>
      <c r="VGD387" s="1185"/>
      <c r="VGE387" s="1185"/>
      <c r="VGF387" s="1185"/>
      <c r="VGG387" s="1185"/>
      <c r="VGH387" s="1185"/>
      <c r="VGI387" s="1185"/>
      <c r="VGJ387" s="1185"/>
      <c r="VGK387" s="1185"/>
      <c r="VGL387" s="1185"/>
      <c r="VGM387" s="1185"/>
      <c r="VGN387" s="1185"/>
      <c r="VGO387" s="1185"/>
      <c r="VGP387" s="1185"/>
      <c r="VGQ387" s="1185"/>
      <c r="VGR387" s="1185"/>
      <c r="VGS387" s="1185"/>
      <c r="VGT387" s="1185"/>
      <c r="VGU387" s="1185"/>
      <c r="VGV387" s="1185"/>
      <c r="VGW387" s="1185"/>
      <c r="VGX387" s="1185"/>
      <c r="VGY387" s="1185"/>
      <c r="VGZ387" s="1185"/>
      <c r="VHA387" s="1185"/>
      <c r="VHB387" s="1185"/>
      <c r="VHC387" s="1185"/>
      <c r="VHD387" s="1185"/>
      <c r="VHE387" s="1185"/>
      <c r="VHF387" s="1185"/>
      <c r="VHG387" s="1185"/>
      <c r="VHH387" s="1185"/>
      <c r="VHI387" s="1185"/>
      <c r="VHJ387" s="1185"/>
      <c r="VHK387" s="1185"/>
      <c r="VHL387" s="1185"/>
      <c r="VHM387" s="1185"/>
      <c r="VHN387" s="1185"/>
      <c r="VHO387" s="1185"/>
      <c r="VHP387" s="1185"/>
      <c r="VHQ387" s="1185"/>
      <c r="VHR387" s="1185"/>
      <c r="VHS387" s="1185"/>
      <c r="VHT387" s="1185"/>
      <c r="VHU387" s="1185"/>
      <c r="VHV387" s="1185"/>
      <c r="VHW387" s="1185"/>
      <c r="VHX387" s="1185"/>
      <c r="VHY387" s="1185"/>
      <c r="VHZ387" s="1185"/>
      <c r="VIA387" s="1185"/>
      <c r="VIB387" s="1185"/>
      <c r="VIC387" s="1185"/>
      <c r="VID387" s="1185"/>
      <c r="VIE387" s="1185"/>
      <c r="VIF387" s="1185"/>
      <c r="VIG387" s="1185"/>
      <c r="VIH387" s="1185"/>
      <c r="VII387" s="1185"/>
      <c r="VIJ387" s="1185"/>
      <c r="VIK387" s="1185"/>
      <c r="VIL387" s="1185"/>
      <c r="VIM387" s="1185"/>
      <c r="VIN387" s="1185"/>
      <c r="VIO387" s="1185"/>
      <c r="VIP387" s="1185"/>
      <c r="VIQ387" s="1185"/>
      <c r="VIR387" s="1185"/>
      <c r="VIS387" s="1185"/>
      <c r="VIT387" s="1185"/>
      <c r="VIU387" s="1185"/>
      <c r="VIV387" s="1185"/>
      <c r="VIW387" s="1185"/>
      <c r="VIX387" s="1185"/>
      <c r="VIY387" s="1185"/>
      <c r="VIZ387" s="1185"/>
      <c r="VJA387" s="1185"/>
      <c r="VJB387" s="1185"/>
      <c r="VJC387" s="1185"/>
      <c r="VJD387" s="1185"/>
      <c r="VJE387" s="1185"/>
      <c r="VJF387" s="1185"/>
      <c r="VJG387" s="1185"/>
      <c r="VJH387" s="1185"/>
      <c r="VJI387" s="1185"/>
      <c r="VJJ387" s="1185"/>
      <c r="VJK387" s="1185"/>
      <c r="VJL387" s="1185"/>
      <c r="VJM387" s="1185"/>
      <c r="VJN387" s="1185"/>
      <c r="VJO387" s="1185"/>
      <c r="VJP387" s="1185"/>
      <c r="VJQ387" s="1185"/>
      <c r="VJR387" s="1185"/>
      <c r="VJS387" s="1185"/>
      <c r="VJT387" s="1185"/>
      <c r="VJU387" s="1185"/>
      <c r="VJV387" s="1185"/>
      <c r="VJW387" s="1185"/>
      <c r="VJX387" s="1185"/>
      <c r="VJY387" s="1185"/>
      <c r="VJZ387" s="1185"/>
      <c r="VKA387" s="1185"/>
      <c r="VKB387" s="1185"/>
      <c r="VKC387" s="1185"/>
      <c r="VKD387" s="1185"/>
      <c r="VKE387" s="1185"/>
      <c r="VKF387" s="1185"/>
      <c r="VKG387" s="1185"/>
      <c r="VKH387" s="1185"/>
      <c r="VKI387" s="1185"/>
      <c r="VKJ387" s="1185"/>
      <c r="VKK387" s="1185"/>
      <c r="VKL387" s="1185"/>
      <c r="VKM387" s="1185"/>
      <c r="VKN387" s="1185"/>
      <c r="VKO387" s="1185"/>
      <c r="VKP387" s="1185"/>
      <c r="VKQ387" s="1185"/>
      <c r="VKR387" s="1185"/>
      <c r="VKS387" s="1185"/>
      <c r="VKT387" s="1185"/>
      <c r="VKU387" s="1185"/>
      <c r="VKV387" s="1185"/>
      <c r="VKW387" s="1185"/>
      <c r="VKX387" s="1185"/>
      <c r="VKY387" s="1185"/>
      <c r="VKZ387" s="1185"/>
      <c r="VLA387" s="1185"/>
      <c r="VLB387" s="1185"/>
      <c r="VLC387" s="1185"/>
      <c r="VLD387" s="1185"/>
      <c r="VLE387" s="1185"/>
      <c r="VLF387" s="1185"/>
      <c r="VLG387" s="1185"/>
      <c r="VLH387" s="1185"/>
      <c r="VLI387" s="1185"/>
      <c r="VLJ387" s="1185"/>
      <c r="VLK387" s="1185"/>
      <c r="VLL387" s="1185"/>
      <c r="VLM387" s="1185"/>
      <c r="VLN387" s="1185"/>
      <c r="VLO387" s="1185"/>
      <c r="VLP387" s="1185"/>
      <c r="VLQ387" s="1185"/>
      <c r="VLR387" s="1185"/>
      <c r="VLS387" s="1185"/>
      <c r="VLT387" s="1185"/>
      <c r="VLU387" s="1185"/>
      <c r="VLV387" s="1185"/>
      <c r="VLW387" s="1185"/>
      <c r="VLX387" s="1185"/>
      <c r="VLY387" s="1185"/>
      <c r="VLZ387" s="1185"/>
      <c r="VMA387" s="1185"/>
      <c r="VMB387" s="1185"/>
      <c r="VMC387" s="1185"/>
      <c r="VMD387" s="1185"/>
      <c r="VME387" s="1185"/>
      <c r="VMF387" s="1185"/>
      <c r="VMG387" s="1185"/>
      <c r="VMH387" s="1185"/>
      <c r="VMI387" s="1185"/>
      <c r="VMJ387" s="1185"/>
      <c r="VMK387" s="1185"/>
      <c r="VML387" s="1185"/>
      <c r="VMM387" s="1185"/>
      <c r="VMN387" s="1185"/>
      <c r="VMO387" s="1185"/>
      <c r="VMP387" s="1185"/>
      <c r="VMQ387" s="1185"/>
      <c r="VMR387" s="1185"/>
      <c r="VMS387" s="1185"/>
      <c r="VMT387" s="1185"/>
      <c r="VMU387" s="1185"/>
      <c r="VMV387" s="1185"/>
      <c r="VMW387" s="1185"/>
      <c r="VMX387" s="1185"/>
      <c r="VMY387" s="1185"/>
      <c r="VMZ387" s="1185"/>
      <c r="VNA387" s="1185"/>
      <c r="VNB387" s="1185"/>
      <c r="VNC387" s="1185"/>
      <c r="VND387" s="1185"/>
      <c r="VNE387" s="1185"/>
      <c r="VNF387" s="1185"/>
      <c r="VNG387" s="1185"/>
      <c r="VNH387" s="1185"/>
      <c r="VNI387" s="1185"/>
      <c r="VNJ387" s="1185"/>
      <c r="VNK387" s="1185"/>
      <c r="VNL387" s="1185"/>
      <c r="VNM387" s="1185"/>
      <c r="VNN387" s="1185"/>
      <c r="VNO387" s="1185"/>
      <c r="VNP387" s="1185"/>
      <c r="VNQ387" s="1185"/>
      <c r="VNR387" s="1185"/>
      <c r="VNS387" s="1185"/>
      <c r="VNT387" s="1185"/>
      <c r="VNU387" s="1185"/>
      <c r="VNV387" s="1185"/>
      <c r="VNW387" s="1185"/>
      <c r="VNX387" s="1185"/>
      <c r="VNY387" s="1185"/>
      <c r="VNZ387" s="1185"/>
      <c r="VOA387" s="1185"/>
      <c r="VOB387" s="1185"/>
      <c r="VOC387" s="1185"/>
      <c r="VOD387" s="1185"/>
      <c r="VOE387" s="1185"/>
      <c r="VOF387" s="1185"/>
      <c r="VOG387" s="1185"/>
      <c r="VOH387" s="1185"/>
      <c r="VOI387" s="1185"/>
      <c r="VOJ387" s="1185"/>
      <c r="VOK387" s="1185"/>
      <c r="VOL387" s="1185"/>
      <c r="VOM387" s="1185"/>
      <c r="VON387" s="1185"/>
      <c r="VOO387" s="1185"/>
      <c r="VOP387" s="1185"/>
      <c r="VOQ387" s="1185"/>
      <c r="VOR387" s="1185"/>
      <c r="VOS387" s="1185"/>
      <c r="VOT387" s="1185"/>
      <c r="VOU387" s="1185"/>
      <c r="VOV387" s="1185"/>
      <c r="VOW387" s="1185"/>
      <c r="VOX387" s="1185"/>
      <c r="VOY387" s="1185"/>
      <c r="VOZ387" s="1185"/>
      <c r="VPA387" s="1185"/>
      <c r="VPB387" s="1185"/>
      <c r="VPC387" s="1185"/>
      <c r="VPD387" s="1185"/>
      <c r="VPE387" s="1185"/>
      <c r="VPF387" s="1185"/>
      <c r="VPG387" s="1185"/>
      <c r="VPH387" s="1185"/>
      <c r="VPI387" s="1185"/>
      <c r="VPJ387" s="1185"/>
      <c r="VPK387" s="1185"/>
      <c r="VPL387" s="1185"/>
      <c r="VPM387" s="1185"/>
      <c r="VPN387" s="1185"/>
      <c r="VPO387" s="1185"/>
      <c r="VPP387" s="1185"/>
      <c r="VPQ387" s="1185"/>
      <c r="VPR387" s="1185"/>
      <c r="VPS387" s="1185"/>
      <c r="VPT387" s="1185"/>
      <c r="VPU387" s="1185"/>
      <c r="VPV387" s="1185"/>
      <c r="VPW387" s="1185"/>
      <c r="VPX387" s="1185"/>
      <c r="VPY387" s="1185"/>
      <c r="VPZ387" s="1185"/>
      <c r="VQA387" s="1185"/>
      <c r="VQB387" s="1185"/>
      <c r="VQC387" s="1185"/>
      <c r="VQD387" s="1185"/>
      <c r="VQE387" s="1185"/>
      <c r="VQF387" s="1185"/>
      <c r="VQG387" s="1185"/>
      <c r="VQH387" s="1185"/>
      <c r="VQI387" s="1185"/>
      <c r="VQJ387" s="1185"/>
      <c r="VQK387" s="1185"/>
      <c r="VQL387" s="1185"/>
      <c r="VQM387" s="1185"/>
      <c r="VQN387" s="1185"/>
      <c r="VQO387" s="1185"/>
      <c r="VQP387" s="1185"/>
      <c r="VQQ387" s="1185"/>
      <c r="VQR387" s="1185"/>
      <c r="VQS387" s="1185"/>
      <c r="VQT387" s="1185"/>
      <c r="VQU387" s="1185"/>
      <c r="VQV387" s="1185"/>
      <c r="VQW387" s="1185"/>
      <c r="VQX387" s="1185"/>
      <c r="VQY387" s="1185"/>
      <c r="VQZ387" s="1185"/>
      <c r="VRA387" s="1185"/>
      <c r="VRB387" s="1185"/>
      <c r="VRC387" s="1185"/>
      <c r="VRD387" s="1185"/>
      <c r="VRE387" s="1185"/>
      <c r="VRF387" s="1185"/>
      <c r="VRG387" s="1185"/>
      <c r="VRH387" s="1185"/>
      <c r="VRI387" s="1185"/>
      <c r="VRJ387" s="1185"/>
      <c r="VRK387" s="1185"/>
      <c r="VRL387" s="1185"/>
      <c r="VRM387" s="1185"/>
      <c r="VRN387" s="1185"/>
      <c r="VRO387" s="1185"/>
      <c r="VRP387" s="1185"/>
      <c r="VRQ387" s="1185"/>
      <c r="VRR387" s="1185"/>
      <c r="VRS387" s="1185"/>
      <c r="VRT387" s="1185"/>
      <c r="VRU387" s="1185"/>
      <c r="VRV387" s="1185"/>
      <c r="VRW387" s="1185"/>
      <c r="VRX387" s="1185"/>
      <c r="VRY387" s="1185"/>
      <c r="VRZ387" s="1185"/>
      <c r="VSA387" s="1185"/>
      <c r="VSB387" s="1185"/>
      <c r="VSC387" s="1185"/>
      <c r="VSD387" s="1185"/>
      <c r="VSE387" s="1185"/>
      <c r="VSF387" s="1185"/>
      <c r="VSG387" s="1185"/>
      <c r="VSH387" s="1185"/>
      <c r="VSI387" s="1185"/>
      <c r="VSJ387" s="1185"/>
      <c r="VSK387" s="1185"/>
      <c r="VSL387" s="1185"/>
      <c r="VSM387" s="1185"/>
      <c r="VSN387" s="1185"/>
      <c r="VSO387" s="1185"/>
      <c r="VSP387" s="1185"/>
      <c r="VSQ387" s="1185"/>
      <c r="VSR387" s="1185"/>
      <c r="VSS387" s="1185"/>
      <c r="VST387" s="1185"/>
      <c r="VSU387" s="1185"/>
      <c r="VSV387" s="1185"/>
      <c r="VSW387" s="1185"/>
      <c r="VSX387" s="1185"/>
      <c r="VSY387" s="1185"/>
      <c r="VSZ387" s="1185"/>
      <c r="VTA387" s="1185"/>
      <c r="VTB387" s="1185"/>
      <c r="VTC387" s="1185"/>
      <c r="VTD387" s="1185"/>
      <c r="VTE387" s="1185"/>
      <c r="VTF387" s="1185"/>
      <c r="VTG387" s="1185"/>
      <c r="VTH387" s="1185"/>
      <c r="VTI387" s="1185"/>
      <c r="VTJ387" s="1185"/>
      <c r="VTK387" s="1185"/>
      <c r="VTL387" s="1185"/>
      <c r="VTM387" s="1185"/>
      <c r="VTN387" s="1185"/>
      <c r="VTO387" s="1185"/>
      <c r="VTP387" s="1185"/>
      <c r="VTQ387" s="1185"/>
      <c r="VTR387" s="1185"/>
      <c r="VTS387" s="1185"/>
      <c r="VTT387" s="1185"/>
      <c r="VTU387" s="1185"/>
      <c r="VTV387" s="1185"/>
      <c r="VTW387" s="1185"/>
      <c r="VTX387" s="1185"/>
      <c r="VTY387" s="1185"/>
      <c r="VTZ387" s="1185"/>
      <c r="VUA387" s="1185"/>
      <c r="VUB387" s="1185"/>
      <c r="VUC387" s="1185"/>
      <c r="VUD387" s="1185"/>
      <c r="VUE387" s="1185"/>
      <c r="VUF387" s="1185"/>
      <c r="VUG387" s="1185"/>
      <c r="VUH387" s="1185"/>
      <c r="VUI387" s="1185"/>
      <c r="VUJ387" s="1185"/>
      <c r="VUK387" s="1185"/>
      <c r="VUL387" s="1185"/>
      <c r="VUM387" s="1185"/>
      <c r="VUN387" s="1185"/>
      <c r="VUO387" s="1185"/>
      <c r="VUP387" s="1185"/>
      <c r="VUQ387" s="1185"/>
      <c r="VUR387" s="1185"/>
      <c r="VUS387" s="1185"/>
      <c r="VUT387" s="1185"/>
      <c r="VUU387" s="1185"/>
      <c r="VUV387" s="1185"/>
      <c r="VUW387" s="1185"/>
      <c r="VUX387" s="1185"/>
      <c r="VUY387" s="1185"/>
      <c r="VUZ387" s="1185"/>
      <c r="VVA387" s="1185"/>
      <c r="VVB387" s="1185"/>
      <c r="VVC387" s="1185"/>
      <c r="VVD387" s="1185"/>
      <c r="VVE387" s="1185"/>
      <c r="VVF387" s="1185"/>
      <c r="VVG387" s="1185"/>
      <c r="VVH387" s="1185"/>
      <c r="VVI387" s="1185"/>
      <c r="VVJ387" s="1185"/>
      <c r="VVK387" s="1185"/>
      <c r="VVL387" s="1185"/>
      <c r="VVM387" s="1185"/>
      <c r="VVN387" s="1185"/>
      <c r="VVO387" s="1185"/>
      <c r="VVP387" s="1185"/>
      <c r="VVQ387" s="1185"/>
      <c r="VVR387" s="1185"/>
      <c r="VVS387" s="1185"/>
      <c r="VVT387" s="1185"/>
      <c r="VVU387" s="1185"/>
      <c r="VVV387" s="1185"/>
      <c r="VVW387" s="1185"/>
      <c r="VVX387" s="1185"/>
      <c r="VVY387" s="1185"/>
      <c r="VVZ387" s="1185"/>
      <c r="VWA387" s="1185"/>
      <c r="VWB387" s="1185"/>
      <c r="VWC387" s="1185"/>
      <c r="VWD387" s="1185"/>
      <c r="VWE387" s="1185"/>
      <c r="VWF387" s="1185"/>
      <c r="VWG387" s="1185"/>
      <c r="VWH387" s="1185"/>
      <c r="VWI387" s="1185"/>
      <c r="VWJ387" s="1185"/>
      <c r="VWK387" s="1185"/>
      <c r="VWL387" s="1185"/>
      <c r="VWM387" s="1185"/>
      <c r="VWN387" s="1185"/>
      <c r="VWO387" s="1185"/>
      <c r="VWP387" s="1185"/>
      <c r="VWQ387" s="1185"/>
      <c r="VWR387" s="1185"/>
      <c r="VWS387" s="1185"/>
      <c r="VWT387" s="1185"/>
      <c r="VWU387" s="1185"/>
      <c r="VWV387" s="1185"/>
      <c r="VWW387" s="1185"/>
      <c r="VWX387" s="1185"/>
      <c r="VWY387" s="1185"/>
      <c r="VWZ387" s="1185"/>
      <c r="VXA387" s="1185"/>
      <c r="VXB387" s="1185"/>
      <c r="VXC387" s="1185"/>
      <c r="VXD387" s="1185"/>
      <c r="VXE387" s="1185"/>
      <c r="VXF387" s="1185"/>
      <c r="VXG387" s="1185"/>
      <c r="VXH387" s="1185"/>
      <c r="VXI387" s="1185"/>
      <c r="VXJ387" s="1185"/>
      <c r="VXK387" s="1185"/>
      <c r="VXL387" s="1185"/>
      <c r="VXM387" s="1185"/>
      <c r="VXN387" s="1185"/>
      <c r="VXO387" s="1185"/>
      <c r="VXP387" s="1185"/>
      <c r="VXQ387" s="1185"/>
      <c r="VXR387" s="1185"/>
      <c r="VXS387" s="1185"/>
      <c r="VXT387" s="1185"/>
      <c r="VXU387" s="1185"/>
      <c r="VXV387" s="1185"/>
      <c r="VXW387" s="1185"/>
      <c r="VXX387" s="1185"/>
      <c r="VXY387" s="1185"/>
      <c r="VXZ387" s="1185"/>
      <c r="VYA387" s="1185"/>
      <c r="VYB387" s="1185"/>
      <c r="VYC387" s="1185"/>
      <c r="VYD387" s="1185"/>
      <c r="VYE387" s="1185"/>
      <c r="VYF387" s="1185"/>
      <c r="VYG387" s="1185"/>
      <c r="VYH387" s="1185"/>
      <c r="VYI387" s="1185"/>
      <c r="VYJ387" s="1185"/>
      <c r="VYK387" s="1185"/>
      <c r="VYL387" s="1185"/>
      <c r="VYM387" s="1185"/>
      <c r="VYN387" s="1185"/>
      <c r="VYO387" s="1185"/>
      <c r="VYP387" s="1185"/>
      <c r="VYQ387" s="1185"/>
      <c r="VYR387" s="1185"/>
      <c r="VYS387" s="1185"/>
      <c r="VYT387" s="1185"/>
      <c r="VYU387" s="1185"/>
      <c r="VYV387" s="1185"/>
      <c r="VYW387" s="1185"/>
      <c r="VYX387" s="1185"/>
      <c r="VYY387" s="1185"/>
      <c r="VYZ387" s="1185"/>
      <c r="VZA387" s="1185"/>
      <c r="VZB387" s="1185"/>
      <c r="VZC387" s="1185"/>
      <c r="VZD387" s="1185"/>
      <c r="VZE387" s="1185"/>
      <c r="VZF387" s="1185"/>
      <c r="VZG387" s="1185"/>
      <c r="VZH387" s="1185"/>
      <c r="VZI387" s="1185"/>
      <c r="VZJ387" s="1185"/>
      <c r="VZK387" s="1185"/>
      <c r="VZL387" s="1185"/>
      <c r="VZM387" s="1185"/>
      <c r="VZN387" s="1185"/>
      <c r="VZO387" s="1185"/>
      <c r="VZP387" s="1185"/>
      <c r="VZQ387" s="1185"/>
      <c r="VZR387" s="1185"/>
      <c r="VZS387" s="1185"/>
      <c r="VZT387" s="1185"/>
      <c r="VZU387" s="1185"/>
      <c r="VZV387" s="1185"/>
      <c r="VZW387" s="1185"/>
      <c r="VZX387" s="1185"/>
      <c r="VZY387" s="1185"/>
      <c r="VZZ387" s="1185"/>
      <c r="WAA387" s="1185"/>
      <c r="WAB387" s="1185"/>
      <c r="WAC387" s="1185"/>
      <c r="WAD387" s="1185"/>
      <c r="WAE387" s="1185"/>
      <c r="WAF387" s="1185"/>
      <c r="WAG387" s="1185"/>
      <c r="WAH387" s="1185"/>
      <c r="WAI387" s="1185"/>
      <c r="WAJ387" s="1185"/>
      <c r="WAK387" s="1185"/>
      <c r="WAL387" s="1185"/>
      <c r="WAM387" s="1185"/>
      <c r="WAN387" s="1185"/>
      <c r="WAO387" s="1185"/>
      <c r="WAP387" s="1185"/>
      <c r="WAQ387" s="1185"/>
      <c r="WAR387" s="1185"/>
      <c r="WAS387" s="1185"/>
      <c r="WAT387" s="1185"/>
      <c r="WAU387" s="1185"/>
      <c r="WAV387" s="1185"/>
      <c r="WAW387" s="1185"/>
      <c r="WAX387" s="1185"/>
      <c r="WAY387" s="1185"/>
      <c r="WAZ387" s="1185"/>
      <c r="WBA387" s="1185"/>
      <c r="WBB387" s="1185"/>
      <c r="WBC387" s="1185"/>
      <c r="WBD387" s="1185"/>
      <c r="WBE387" s="1185"/>
      <c r="WBF387" s="1185"/>
      <c r="WBG387" s="1185"/>
      <c r="WBH387" s="1185"/>
      <c r="WBI387" s="1185"/>
      <c r="WBJ387" s="1185"/>
      <c r="WBK387" s="1185"/>
      <c r="WBL387" s="1185"/>
      <c r="WBM387" s="1185"/>
      <c r="WBN387" s="1185"/>
      <c r="WBO387" s="1185"/>
      <c r="WBP387" s="1185"/>
      <c r="WBQ387" s="1185"/>
      <c r="WBR387" s="1185"/>
      <c r="WBS387" s="1185"/>
      <c r="WBT387" s="1185"/>
      <c r="WBU387" s="1185"/>
      <c r="WBV387" s="1185"/>
      <c r="WBW387" s="1185"/>
      <c r="WBX387" s="1185"/>
      <c r="WBY387" s="1185"/>
      <c r="WBZ387" s="1185"/>
      <c r="WCA387" s="1185"/>
      <c r="WCB387" s="1185"/>
      <c r="WCC387" s="1185"/>
      <c r="WCD387" s="1185"/>
      <c r="WCE387" s="1185"/>
      <c r="WCF387" s="1185"/>
      <c r="WCG387" s="1185"/>
      <c r="WCH387" s="1185"/>
      <c r="WCI387" s="1185"/>
      <c r="WCJ387" s="1185"/>
      <c r="WCK387" s="1185"/>
      <c r="WCL387" s="1185"/>
      <c r="WCM387" s="1185"/>
      <c r="WCN387" s="1185"/>
      <c r="WCO387" s="1185"/>
      <c r="WCP387" s="1185"/>
      <c r="WCQ387" s="1185"/>
      <c r="WCR387" s="1185"/>
      <c r="WCS387" s="1185"/>
      <c r="WCT387" s="1185"/>
      <c r="WCU387" s="1185"/>
      <c r="WCV387" s="1185"/>
      <c r="WCW387" s="1185"/>
      <c r="WCX387" s="1185"/>
      <c r="WCY387" s="1185"/>
      <c r="WCZ387" s="1185"/>
      <c r="WDA387" s="1185"/>
      <c r="WDB387" s="1185"/>
      <c r="WDC387" s="1185"/>
      <c r="WDD387" s="1185"/>
      <c r="WDE387" s="1185"/>
      <c r="WDF387" s="1185"/>
      <c r="WDG387" s="1185"/>
      <c r="WDH387" s="1185"/>
      <c r="WDI387" s="1185"/>
      <c r="WDJ387" s="1185"/>
      <c r="WDK387" s="1185"/>
      <c r="WDL387" s="1185"/>
      <c r="WDM387" s="1185"/>
      <c r="WDN387" s="1185"/>
      <c r="WDO387" s="1185"/>
      <c r="WDP387" s="1185"/>
      <c r="WDQ387" s="1185"/>
      <c r="WDR387" s="1185"/>
      <c r="WDS387" s="1185"/>
      <c r="WDT387" s="1185"/>
      <c r="WDU387" s="1185"/>
      <c r="WDV387" s="1185"/>
      <c r="WDW387" s="1185"/>
      <c r="WDX387" s="1185"/>
      <c r="WDY387" s="1185"/>
      <c r="WDZ387" s="1185"/>
      <c r="WEA387" s="1185"/>
      <c r="WEB387" s="1185"/>
      <c r="WEC387" s="1185"/>
      <c r="WED387" s="1185"/>
      <c r="WEE387" s="1185"/>
      <c r="WEF387" s="1185"/>
      <c r="WEG387" s="1185"/>
      <c r="WEH387" s="1185"/>
      <c r="WEI387" s="1185"/>
      <c r="WEJ387" s="1185"/>
      <c r="WEK387" s="1185"/>
      <c r="WEL387" s="1185"/>
      <c r="WEM387" s="1185"/>
      <c r="WEN387" s="1185"/>
      <c r="WEO387" s="1185"/>
      <c r="WEP387" s="1185"/>
      <c r="WEQ387" s="1185"/>
      <c r="WER387" s="1185"/>
      <c r="WES387" s="1185"/>
      <c r="WET387" s="1185"/>
      <c r="WEU387" s="1185"/>
      <c r="WEV387" s="1185"/>
      <c r="WEW387" s="1185"/>
      <c r="WEX387" s="1185"/>
      <c r="WEY387" s="1185"/>
      <c r="WEZ387" s="1185"/>
      <c r="WFA387" s="1185"/>
      <c r="WFB387" s="1185"/>
      <c r="WFC387" s="1185"/>
      <c r="WFD387" s="1185"/>
      <c r="WFE387" s="1185"/>
      <c r="WFF387" s="1185"/>
      <c r="WFG387" s="1185"/>
      <c r="WFH387" s="1185"/>
      <c r="WFI387" s="1185"/>
      <c r="WFJ387" s="1185"/>
      <c r="WFK387" s="1185"/>
      <c r="WFL387" s="1185"/>
      <c r="WFM387" s="1185"/>
      <c r="WFN387" s="1185"/>
      <c r="WFO387" s="1185"/>
      <c r="WFP387" s="1185"/>
      <c r="WFQ387" s="1185"/>
      <c r="WFR387" s="1185"/>
      <c r="WFS387" s="1185"/>
      <c r="WFT387" s="1185"/>
      <c r="WFU387" s="1185"/>
      <c r="WFV387" s="1185"/>
      <c r="WFW387" s="1185"/>
      <c r="WFX387" s="1185"/>
      <c r="WFY387" s="1185"/>
      <c r="WFZ387" s="1185"/>
      <c r="WGA387" s="1185"/>
      <c r="WGB387" s="1185"/>
      <c r="WGC387" s="1185"/>
      <c r="WGD387" s="1185"/>
      <c r="WGE387" s="1185"/>
      <c r="WGF387" s="1185"/>
      <c r="WGG387" s="1185"/>
      <c r="WGH387" s="1185"/>
      <c r="WGI387" s="1185"/>
      <c r="WGJ387" s="1185"/>
      <c r="WGK387" s="1185"/>
      <c r="WGL387" s="1185"/>
      <c r="WGM387" s="1185"/>
      <c r="WGN387" s="1185"/>
      <c r="WGO387" s="1185"/>
      <c r="WGP387" s="1185"/>
      <c r="WGQ387" s="1185"/>
      <c r="WGR387" s="1185"/>
      <c r="WGS387" s="1185"/>
      <c r="WGT387" s="1185"/>
      <c r="WGU387" s="1185"/>
      <c r="WGV387" s="1185"/>
      <c r="WGW387" s="1185"/>
      <c r="WGX387" s="1185"/>
      <c r="WGY387" s="1185"/>
      <c r="WGZ387" s="1185"/>
      <c r="WHA387" s="1185"/>
      <c r="WHB387" s="1185"/>
      <c r="WHC387" s="1185"/>
      <c r="WHD387" s="1185"/>
      <c r="WHE387" s="1185"/>
      <c r="WHF387" s="1185"/>
      <c r="WHG387" s="1185"/>
      <c r="WHH387" s="1185"/>
      <c r="WHI387" s="1185"/>
      <c r="WHJ387" s="1185"/>
      <c r="WHK387" s="1185"/>
      <c r="WHL387" s="1185"/>
      <c r="WHM387" s="1185"/>
      <c r="WHN387" s="1185"/>
      <c r="WHO387" s="1185"/>
      <c r="WHP387" s="1185"/>
      <c r="WHQ387" s="1185"/>
      <c r="WHR387" s="1185"/>
      <c r="WHS387" s="1185"/>
      <c r="WHT387" s="1185"/>
      <c r="WHU387" s="1185"/>
      <c r="WHV387" s="1185"/>
      <c r="WHW387" s="1185"/>
      <c r="WHX387" s="1185"/>
      <c r="WHY387" s="1185"/>
      <c r="WHZ387" s="1185"/>
      <c r="WIA387" s="1185"/>
      <c r="WIB387" s="1185"/>
      <c r="WIC387" s="1185"/>
      <c r="WID387" s="1185"/>
      <c r="WIE387" s="1185"/>
      <c r="WIF387" s="1185"/>
      <c r="WIG387" s="1185"/>
      <c r="WIH387" s="1185"/>
      <c r="WII387" s="1185"/>
      <c r="WIJ387" s="1185"/>
      <c r="WIK387" s="1185"/>
      <c r="WIL387" s="1185"/>
      <c r="WIM387" s="1185"/>
      <c r="WIN387" s="1185"/>
      <c r="WIO387" s="1185"/>
      <c r="WIP387" s="1185"/>
      <c r="WIQ387" s="1185"/>
      <c r="WIR387" s="1185"/>
      <c r="WIS387" s="1185"/>
      <c r="WIT387" s="1185"/>
      <c r="WIU387" s="1185"/>
      <c r="WIV387" s="1185"/>
      <c r="WIW387" s="1185"/>
      <c r="WIX387" s="1185"/>
      <c r="WIY387" s="1185"/>
      <c r="WIZ387" s="1185"/>
      <c r="WJA387" s="1185"/>
      <c r="WJB387" s="1185"/>
      <c r="WJC387" s="1185"/>
      <c r="WJD387" s="1185"/>
      <c r="WJE387" s="1185"/>
      <c r="WJF387" s="1185"/>
      <c r="WJG387" s="1185"/>
      <c r="WJH387" s="1185"/>
      <c r="WJI387" s="1185"/>
      <c r="WJJ387" s="1185"/>
      <c r="WJK387" s="1185"/>
      <c r="WJL387" s="1185"/>
      <c r="WJM387" s="1185"/>
      <c r="WJN387" s="1185"/>
      <c r="WJO387" s="1185"/>
      <c r="WJP387" s="1185"/>
      <c r="WJQ387" s="1185"/>
      <c r="WJR387" s="1185"/>
      <c r="WJS387" s="1185"/>
      <c r="WJT387" s="1185"/>
      <c r="WJU387" s="1185"/>
      <c r="WJV387" s="1185"/>
      <c r="WJW387" s="1185"/>
      <c r="WJX387" s="1185"/>
      <c r="WJY387" s="1185"/>
      <c r="WJZ387" s="1185"/>
      <c r="WKA387" s="1185"/>
      <c r="WKB387" s="1185"/>
      <c r="WKC387" s="1185"/>
      <c r="WKD387" s="1185"/>
      <c r="WKE387" s="1185"/>
      <c r="WKF387" s="1185"/>
      <c r="WKG387" s="1185"/>
      <c r="WKH387" s="1185"/>
      <c r="WKI387" s="1185"/>
      <c r="WKJ387" s="1185"/>
      <c r="WKK387" s="1185"/>
      <c r="WKL387" s="1185"/>
      <c r="WKM387" s="1185"/>
      <c r="WKN387" s="1185"/>
      <c r="WKO387" s="1185"/>
      <c r="WKP387" s="1185"/>
      <c r="WKQ387" s="1185"/>
      <c r="WKR387" s="1185"/>
      <c r="WKS387" s="1185"/>
      <c r="WKT387" s="1185"/>
      <c r="WKU387" s="1185"/>
      <c r="WKV387" s="1185"/>
      <c r="WKW387" s="1185"/>
      <c r="WKX387" s="1185"/>
      <c r="WKY387" s="1185"/>
      <c r="WKZ387" s="1185"/>
      <c r="WLA387" s="1185"/>
      <c r="WLB387" s="1185"/>
      <c r="WLC387" s="1185"/>
      <c r="WLD387" s="1185"/>
      <c r="WLE387" s="1185"/>
      <c r="WLF387" s="1185"/>
      <c r="WLG387" s="1185"/>
      <c r="WLH387" s="1185"/>
      <c r="WLI387" s="1185"/>
      <c r="WLJ387" s="1185"/>
      <c r="WLK387" s="1185"/>
      <c r="WLL387" s="1185"/>
      <c r="WLM387" s="1185"/>
      <c r="WLN387" s="1185"/>
      <c r="WLO387" s="1185"/>
      <c r="WLP387" s="1185"/>
      <c r="WLQ387" s="1185"/>
      <c r="WLR387" s="1185"/>
      <c r="WLS387" s="1185"/>
      <c r="WLT387" s="1185"/>
      <c r="WLU387" s="1185"/>
      <c r="WLV387" s="1185"/>
      <c r="WLW387" s="1185"/>
      <c r="WLX387" s="1185"/>
      <c r="WLY387" s="1185"/>
      <c r="WLZ387" s="1185"/>
      <c r="WMA387" s="1185"/>
      <c r="WMB387" s="1185"/>
      <c r="WMC387" s="1185"/>
      <c r="WMD387" s="1185"/>
      <c r="WME387" s="1185"/>
      <c r="WMF387" s="1185"/>
      <c r="WMG387" s="1185"/>
      <c r="WMH387" s="1185"/>
      <c r="WMI387" s="1185"/>
      <c r="WMJ387" s="1185"/>
      <c r="WMK387" s="1185"/>
      <c r="WML387" s="1185"/>
      <c r="WMM387" s="1185"/>
      <c r="WMN387" s="1185"/>
      <c r="WMO387" s="1185"/>
      <c r="WMP387" s="1185"/>
      <c r="WMQ387" s="1185"/>
      <c r="WMR387" s="1185"/>
      <c r="WMS387" s="1185"/>
      <c r="WMT387" s="1185"/>
      <c r="WMU387" s="1185"/>
      <c r="WMV387" s="1185"/>
      <c r="WMW387" s="1185"/>
      <c r="WMX387" s="1185"/>
      <c r="WMY387" s="1185"/>
      <c r="WMZ387" s="1185"/>
      <c r="WNA387" s="1185"/>
      <c r="WNB387" s="1185"/>
      <c r="WNC387" s="1185"/>
      <c r="WND387" s="1185"/>
      <c r="WNE387" s="1185"/>
      <c r="WNF387" s="1185"/>
      <c r="WNG387" s="1185"/>
      <c r="WNH387" s="1185"/>
      <c r="WNI387" s="1185"/>
      <c r="WNJ387" s="1185"/>
      <c r="WNK387" s="1185"/>
      <c r="WNL387" s="1185"/>
      <c r="WNM387" s="1185"/>
      <c r="WNN387" s="1185"/>
      <c r="WNO387" s="1185"/>
      <c r="WNP387" s="1185"/>
      <c r="WNQ387" s="1185"/>
      <c r="WNR387" s="1185"/>
      <c r="WNS387" s="1185"/>
      <c r="WNT387" s="1185"/>
      <c r="WNU387" s="1185"/>
      <c r="WNV387" s="1185"/>
      <c r="WNW387" s="1185"/>
      <c r="WNX387" s="1185"/>
      <c r="WNY387" s="1185"/>
      <c r="WNZ387" s="1185"/>
      <c r="WOA387" s="1185"/>
      <c r="WOB387" s="1185"/>
      <c r="WOC387" s="1185"/>
      <c r="WOD387" s="1185"/>
      <c r="WOE387" s="1185"/>
      <c r="WOF387" s="1185"/>
      <c r="WOG387" s="1185"/>
      <c r="WOH387" s="1185"/>
      <c r="WOI387" s="1185"/>
      <c r="WOJ387" s="1185"/>
      <c r="WOK387" s="1185"/>
      <c r="WOL387" s="1185"/>
      <c r="WOM387" s="1185"/>
      <c r="WON387" s="1185"/>
      <c r="WOO387" s="1185"/>
      <c r="WOP387" s="1185"/>
      <c r="WOQ387" s="1185"/>
      <c r="WOR387" s="1185"/>
      <c r="WOS387" s="1185"/>
      <c r="WOT387" s="1185"/>
      <c r="WOU387" s="1185"/>
      <c r="WOV387" s="1185"/>
      <c r="WOW387" s="1185"/>
      <c r="WOX387" s="1185"/>
      <c r="WOY387" s="1185"/>
      <c r="WOZ387" s="1185"/>
      <c r="WPA387" s="1185"/>
      <c r="WPB387" s="1185"/>
      <c r="WPC387" s="1185"/>
      <c r="WPD387" s="1185"/>
      <c r="WPE387" s="1185"/>
      <c r="WPF387" s="1185"/>
      <c r="WPG387" s="1185"/>
      <c r="WPH387" s="1185"/>
      <c r="WPI387" s="1185"/>
      <c r="WPJ387" s="1185"/>
      <c r="WPK387" s="1185"/>
      <c r="WPL387" s="1185"/>
      <c r="WPM387" s="1185"/>
      <c r="WPN387" s="1185"/>
      <c r="WPO387" s="1185"/>
      <c r="WPP387" s="1185"/>
      <c r="WPQ387" s="1185"/>
      <c r="WPR387" s="1185"/>
      <c r="WPS387" s="1185"/>
      <c r="WPT387" s="1185"/>
      <c r="WPU387" s="1185"/>
      <c r="WPV387" s="1185"/>
      <c r="WPW387" s="1185"/>
      <c r="WPX387" s="1185"/>
      <c r="WPY387" s="1185"/>
      <c r="WPZ387" s="1185"/>
      <c r="WQA387" s="1185"/>
      <c r="WQB387" s="1185"/>
      <c r="WQC387" s="1185"/>
      <c r="WQD387" s="1185"/>
      <c r="WQE387" s="1185"/>
      <c r="WQF387" s="1185"/>
      <c r="WQG387" s="1185"/>
      <c r="WQH387" s="1185"/>
      <c r="WQI387" s="1185"/>
      <c r="WQJ387" s="1185"/>
      <c r="WQK387" s="1185"/>
      <c r="WQL387" s="1185"/>
      <c r="WQM387" s="1185"/>
      <c r="WQN387" s="1185"/>
      <c r="WQO387" s="1185"/>
      <c r="WQP387" s="1185"/>
      <c r="WQQ387" s="1185"/>
      <c r="WQR387" s="1185"/>
      <c r="WQS387" s="1185"/>
      <c r="WQT387" s="1185"/>
      <c r="WQU387" s="1185"/>
      <c r="WQV387" s="1185"/>
      <c r="WQW387" s="1185"/>
      <c r="WQX387" s="1185"/>
      <c r="WQY387" s="1185"/>
      <c r="WQZ387" s="1185"/>
      <c r="WRA387" s="1185"/>
      <c r="WRB387" s="1185"/>
      <c r="WRC387" s="1185"/>
      <c r="WRD387" s="1185"/>
      <c r="WRE387" s="1185"/>
      <c r="WRF387" s="1185"/>
      <c r="WRG387" s="1185"/>
      <c r="WRH387" s="1185"/>
      <c r="WRI387" s="1185"/>
      <c r="WRJ387" s="1185"/>
      <c r="WRK387" s="1185"/>
      <c r="WRL387" s="1185"/>
      <c r="WRM387" s="1185"/>
      <c r="WRN387" s="1185"/>
      <c r="WRO387" s="1185"/>
      <c r="WRP387" s="1185"/>
      <c r="WRQ387" s="1185"/>
      <c r="WRR387" s="1185"/>
      <c r="WRS387" s="1185"/>
      <c r="WRT387" s="1185"/>
      <c r="WRU387" s="1185"/>
      <c r="WRV387" s="1185"/>
      <c r="WRW387" s="1185"/>
      <c r="WRX387" s="1185"/>
      <c r="WRY387" s="1185"/>
      <c r="WRZ387" s="1185"/>
      <c r="WSA387" s="1185"/>
      <c r="WSB387" s="1185"/>
      <c r="WSC387" s="1185"/>
      <c r="WSD387" s="1185"/>
      <c r="WSE387" s="1185"/>
      <c r="WSF387" s="1185"/>
      <c r="WSG387" s="1185"/>
      <c r="WSH387" s="1185"/>
      <c r="WSI387" s="1185"/>
      <c r="WSJ387" s="1185"/>
      <c r="WSK387" s="1185"/>
      <c r="WSL387" s="1185"/>
      <c r="WSM387" s="1185"/>
      <c r="WSN387" s="1185"/>
      <c r="WSO387" s="1185"/>
      <c r="WSP387" s="1185"/>
      <c r="WSQ387" s="1185"/>
      <c r="WSR387" s="1185"/>
      <c r="WSS387" s="1185"/>
      <c r="WST387" s="1185"/>
      <c r="WSU387" s="1185"/>
      <c r="WSV387" s="1185"/>
      <c r="WSW387" s="1185"/>
      <c r="WSX387" s="1185"/>
      <c r="WSY387" s="1185"/>
      <c r="WSZ387" s="1185"/>
      <c r="WTA387" s="1185"/>
      <c r="WTB387" s="1185"/>
      <c r="WTC387" s="1185"/>
      <c r="WTD387" s="1185"/>
      <c r="WTE387" s="1185"/>
      <c r="WTF387" s="1185"/>
      <c r="WTG387" s="1185"/>
      <c r="WTH387" s="1185"/>
      <c r="WTI387" s="1185"/>
      <c r="WTJ387" s="1185"/>
      <c r="WTK387" s="1185"/>
      <c r="WTL387" s="1185"/>
      <c r="WTM387" s="1185"/>
      <c r="WTN387" s="1185"/>
      <c r="WTO387" s="1185"/>
      <c r="WTP387" s="1185"/>
      <c r="WTQ387" s="1185"/>
      <c r="WTR387" s="1185"/>
      <c r="WTS387" s="1185"/>
      <c r="WTT387" s="1185"/>
      <c r="WTU387" s="1185"/>
      <c r="WTV387" s="1185"/>
      <c r="WTW387" s="1185"/>
      <c r="WTX387" s="1185"/>
      <c r="WTY387" s="1185"/>
      <c r="WTZ387" s="1185"/>
      <c r="WUA387" s="1185"/>
      <c r="WUB387" s="1185"/>
      <c r="WUC387" s="1185"/>
      <c r="WUD387" s="1185"/>
      <c r="WUE387" s="1185"/>
      <c r="WUF387" s="1185"/>
      <c r="WUG387" s="1185"/>
      <c r="WUH387" s="1185"/>
      <c r="WUI387" s="1185"/>
      <c r="WUJ387" s="1185"/>
      <c r="WUK387" s="1185"/>
      <c r="WUL387" s="1185"/>
      <c r="WUM387" s="1185"/>
      <c r="WUN387" s="1185"/>
      <c r="WUO387" s="1185"/>
      <c r="WUP387" s="1185"/>
      <c r="WUQ387" s="1185"/>
      <c r="WUR387" s="1185"/>
      <c r="WUS387" s="1185"/>
      <c r="WUT387" s="1185"/>
      <c r="WUU387" s="1185"/>
      <c r="WUV387" s="1185"/>
      <c r="WUW387" s="1185"/>
      <c r="WUX387" s="1185"/>
      <c r="WUY387" s="1185"/>
      <c r="WUZ387" s="1185"/>
      <c r="WVA387" s="1185"/>
      <c r="WVB387" s="1185"/>
      <c r="WVC387" s="1185"/>
      <c r="WVD387" s="1185"/>
      <c r="WVE387" s="1185"/>
      <c r="WVF387" s="1185"/>
      <c r="WVG387" s="1185"/>
      <c r="WVH387" s="1185"/>
      <c r="WVI387" s="1185"/>
      <c r="WVJ387" s="1185"/>
      <c r="WVK387" s="1185"/>
      <c r="WVL387" s="1185"/>
      <c r="WVM387" s="1185"/>
      <c r="WVN387" s="1185"/>
      <c r="WVO387" s="1185"/>
      <c r="WVP387" s="1185"/>
      <c r="WVQ387" s="1185"/>
      <c r="WVR387" s="1185"/>
      <c r="WVS387" s="1185"/>
      <c r="WVT387" s="1185"/>
      <c r="WVU387" s="1185"/>
      <c r="WVV387" s="1185"/>
      <c r="WVW387" s="1185"/>
      <c r="WVX387" s="1185"/>
      <c r="WVY387" s="1185"/>
      <c r="WVZ387" s="1185"/>
      <c r="WWA387" s="1185"/>
      <c r="WWB387" s="1185"/>
      <c r="WWC387" s="1185"/>
      <c r="WWD387" s="1185"/>
      <c r="WWE387" s="1185"/>
      <c r="WWF387" s="1185"/>
      <c r="WWG387" s="1185"/>
      <c r="WWH387" s="1185"/>
      <c r="WWI387" s="1185"/>
      <c r="WWJ387" s="1185"/>
      <c r="WWK387" s="1185"/>
      <c r="WWL387" s="1185"/>
      <c r="WWM387" s="1185"/>
      <c r="WWN387" s="1185"/>
      <c r="WWO387" s="1185"/>
      <c r="WWP387" s="1185"/>
      <c r="WWQ387" s="1185"/>
      <c r="WWR387" s="1185"/>
      <c r="WWS387" s="1185"/>
      <c r="WWT387" s="1185"/>
      <c r="WWU387" s="1185"/>
      <c r="WWV387" s="1185"/>
      <c r="WWW387" s="1185"/>
      <c r="WWX387" s="1185"/>
      <c r="WWY387" s="1185"/>
      <c r="WWZ387" s="1185"/>
      <c r="WXA387" s="1185"/>
      <c r="WXB387" s="1185"/>
      <c r="WXC387" s="1185"/>
      <c r="WXD387" s="1185"/>
      <c r="WXE387" s="1185"/>
      <c r="WXF387" s="1185"/>
      <c r="WXG387" s="1185"/>
      <c r="WXH387" s="1185"/>
      <c r="WXI387" s="1185"/>
      <c r="WXJ387" s="1185"/>
      <c r="WXK387" s="1185"/>
      <c r="WXL387" s="1185"/>
      <c r="WXM387" s="1185"/>
      <c r="WXN387" s="1185"/>
      <c r="WXO387" s="1185"/>
      <c r="WXP387" s="1185"/>
      <c r="WXQ387" s="1185"/>
      <c r="WXR387" s="1185"/>
      <c r="WXS387" s="1185"/>
      <c r="WXT387" s="1185"/>
      <c r="WXU387" s="1185"/>
      <c r="WXV387" s="1185"/>
      <c r="WXW387" s="1185"/>
      <c r="WXX387" s="1185"/>
      <c r="WXY387" s="1185"/>
      <c r="WXZ387" s="1185"/>
      <c r="WYA387" s="1185"/>
      <c r="WYB387" s="1185"/>
      <c r="WYC387" s="1185"/>
      <c r="WYD387" s="1185"/>
      <c r="WYE387" s="1185"/>
      <c r="WYF387" s="1185"/>
      <c r="WYG387" s="1185"/>
      <c r="WYH387" s="1185"/>
      <c r="WYI387" s="1185"/>
      <c r="WYJ387" s="1185"/>
      <c r="WYK387" s="1185"/>
      <c r="WYL387" s="1185"/>
      <c r="WYM387" s="1185"/>
      <c r="WYN387" s="1185"/>
      <c r="WYO387" s="1185"/>
      <c r="WYP387" s="1185"/>
      <c r="WYQ387" s="1185"/>
      <c r="WYR387" s="1185"/>
      <c r="WYS387" s="1185"/>
      <c r="WYT387" s="1185"/>
      <c r="WYU387" s="1185"/>
      <c r="WYV387" s="1185"/>
      <c r="WYW387" s="1185"/>
      <c r="WYX387" s="1185"/>
      <c r="WYY387" s="1185"/>
      <c r="WYZ387" s="1185"/>
      <c r="WZA387" s="1185"/>
      <c r="WZB387" s="1185"/>
      <c r="WZC387" s="1185"/>
      <c r="WZD387" s="1185"/>
      <c r="WZE387" s="1185"/>
      <c r="WZF387" s="1185"/>
      <c r="WZG387" s="1185"/>
      <c r="WZH387" s="1185"/>
      <c r="WZI387" s="1185"/>
      <c r="WZJ387" s="1185"/>
      <c r="WZK387" s="1185"/>
      <c r="WZL387" s="1185"/>
      <c r="WZM387" s="1185"/>
      <c r="WZN387" s="1185"/>
      <c r="WZO387" s="1185"/>
      <c r="WZP387" s="1185"/>
      <c r="WZQ387" s="1185"/>
      <c r="WZR387" s="1185"/>
      <c r="WZS387" s="1185"/>
      <c r="WZT387" s="1185"/>
      <c r="WZU387" s="1185"/>
      <c r="WZV387" s="1185"/>
      <c r="WZW387" s="1185"/>
      <c r="WZX387" s="1185"/>
      <c r="WZY387" s="1185"/>
      <c r="WZZ387" s="1185"/>
      <c r="XAA387" s="1185"/>
      <c r="XAB387" s="1185"/>
      <c r="XAC387" s="1185"/>
      <c r="XAD387" s="1185"/>
      <c r="XAE387" s="1185"/>
      <c r="XAF387" s="1185"/>
      <c r="XAG387" s="1185"/>
      <c r="XAH387" s="1185"/>
      <c r="XAI387" s="1185"/>
      <c r="XAJ387" s="1185"/>
      <c r="XAK387" s="1185"/>
      <c r="XAL387" s="1185"/>
      <c r="XAM387" s="1185"/>
      <c r="XAN387" s="1185"/>
      <c r="XAO387" s="1185"/>
      <c r="XAP387" s="1185"/>
      <c r="XAQ387" s="1185"/>
      <c r="XAR387" s="1185"/>
      <c r="XAS387" s="1185"/>
      <c r="XAT387" s="1185"/>
      <c r="XAU387" s="1185"/>
      <c r="XAV387" s="1185"/>
      <c r="XAW387" s="1185"/>
      <c r="XAX387" s="1185"/>
      <c r="XAY387" s="1185"/>
      <c r="XAZ387" s="1185"/>
      <c r="XBA387" s="1185"/>
      <c r="XBB387" s="1185"/>
      <c r="XBC387" s="1185"/>
      <c r="XBD387" s="1185"/>
      <c r="XBE387" s="1185"/>
      <c r="XBF387" s="1185"/>
      <c r="XBG387" s="1185"/>
      <c r="XBH387" s="1185"/>
      <c r="XBI387" s="1185"/>
      <c r="XBJ387" s="1185"/>
      <c r="XBK387" s="1185"/>
      <c r="XBL387" s="1185"/>
      <c r="XBM387" s="1185"/>
      <c r="XBN387" s="1185"/>
      <c r="XBO387" s="1185"/>
      <c r="XBP387" s="1185"/>
      <c r="XBQ387" s="1185"/>
      <c r="XBR387" s="1185"/>
      <c r="XBS387" s="1185"/>
      <c r="XBT387" s="1185"/>
      <c r="XBU387" s="1185"/>
      <c r="XBV387" s="1185"/>
      <c r="XBW387" s="1185"/>
      <c r="XBX387" s="1185"/>
      <c r="XBY387" s="1185"/>
      <c r="XBZ387" s="1185"/>
      <c r="XCA387" s="1185"/>
      <c r="XCB387" s="1185"/>
      <c r="XCC387" s="1185"/>
      <c r="XCD387" s="1185"/>
      <c r="XCE387" s="1185"/>
      <c r="XCF387" s="1185"/>
      <c r="XCG387" s="1185"/>
      <c r="XCH387" s="1185"/>
      <c r="XCI387" s="1185"/>
      <c r="XCJ387" s="1185"/>
      <c r="XCK387" s="1185"/>
      <c r="XCL387" s="1185"/>
      <c r="XCM387" s="1185"/>
    </row>
  </sheetData>
  <protectedRanges>
    <protectedRange sqref="E64 D29:E31 D40:E43 D24:E25 D27:E27 D15:E22" name="Rango1_3_2_1_1"/>
    <protectedRange sqref="F79:F82 F85" name="Rango1_1_1_1_1_1_3"/>
    <protectedRange sqref="F82" name="Rango1_1_1_1_1_1_1_2"/>
    <protectedRange sqref="F84" name="Rango1_1_1_1_1_3_2"/>
    <protectedRange sqref="F90" name="Rango1_1_1_1_1_1_2_2"/>
    <protectedRange sqref="F83" name="Rango1_1_1_1_1_1_3_1"/>
    <protectedRange sqref="F83" name="Rango1_1_1_1_1_1_1_2_1"/>
    <protectedRange sqref="F86:F89" name="Rango1_1_1_1_1_1_2_2_1"/>
    <protectedRange sqref="E45:E46 E62 E49:E52" name="Rango1_2_1_1_2"/>
    <protectedRange sqref="C22" name="Rango1_3_2_1_1_1"/>
  </protectedRanges>
  <mergeCells count="59">
    <mergeCell ref="B89:H89"/>
    <mergeCell ref="B90:H90"/>
    <mergeCell ref="B4:H6"/>
    <mergeCell ref="B81:H81"/>
    <mergeCell ref="B82:H82"/>
    <mergeCell ref="B83:H83"/>
    <mergeCell ref="B84:H84"/>
    <mergeCell ref="B85:H85"/>
    <mergeCell ref="B86:H86"/>
    <mergeCell ref="B73:G73"/>
    <mergeCell ref="B74:G74"/>
    <mergeCell ref="B79:H79"/>
    <mergeCell ref="B80:H80"/>
    <mergeCell ref="B61:H61"/>
    <mergeCell ref="F62:G62"/>
    <mergeCell ref="B63:H63"/>
    <mergeCell ref="F64:G70"/>
    <mergeCell ref="B71:G71"/>
    <mergeCell ref="B72:G72"/>
    <mergeCell ref="G53:G54"/>
    <mergeCell ref="H53:H54"/>
    <mergeCell ref="B56:H56"/>
    <mergeCell ref="B58:B59"/>
    <mergeCell ref="C58:C60"/>
    <mergeCell ref="D58:D60"/>
    <mergeCell ref="E58:E59"/>
    <mergeCell ref="F58:G60"/>
    <mergeCell ref="H58:H59"/>
    <mergeCell ref="B53:B54"/>
    <mergeCell ref="C53:C55"/>
    <mergeCell ref="D53:D55"/>
    <mergeCell ref="E53:E54"/>
    <mergeCell ref="H35:H36"/>
    <mergeCell ref="B38:H38"/>
    <mergeCell ref="B39:H39"/>
    <mergeCell ref="B44:H44"/>
    <mergeCell ref="B48:H48"/>
    <mergeCell ref="F53:F54"/>
    <mergeCell ref="B32:G32"/>
    <mergeCell ref="B33:G33"/>
    <mergeCell ref="B34:G34"/>
    <mergeCell ref="B35:B36"/>
    <mergeCell ref="C35:C37"/>
    <mergeCell ref="D35:D37"/>
    <mergeCell ref="E35:E36"/>
    <mergeCell ref="F35:F36"/>
    <mergeCell ref="G35:G36"/>
    <mergeCell ref="B7:H9"/>
    <mergeCell ref="J29:J31"/>
    <mergeCell ref="B10:B11"/>
    <mergeCell ref="C10:C12"/>
    <mergeCell ref="D10:D11"/>
    <mergeCell ref="E10:E11"/>
    <mergeCell ref="F10:F11"/>
    <mergeCell ref="G10:G11"/>
    <mergeCell ref="H10:H11"/>
    <mergeCell ref="B13:H13"/>
    <mergeCell ref="J15:J22"/>
    <mergeCell ref="J24:J25"/>
  </mergeCells>
  <conditionalFormatting sqref="B62:F62">
    <cfRule type="containsBlanks" dxfId="24" priority="6">
      <formula>LEN(TRIM(B62))=0</formula>
    </cfRule>
  </conditionalFormatting>
  <conditionalFormatting sqref="B10:H13 B29:H31 B32:B34 H32:H34 B58:F58 H58:H60 B59:E60 B61:H61 H62 B63:H63">
    <cfRule type="containsBlanks" dxfId="23" priority="12">
      <formula>LEN(TRIM(B10))=0</formula>
    </cfRule>
  </conditionalFormatting>
  <conditionalFormatting sqref="B15:H22">
    <cfRule type="containsBlanks" dxfId="22" priority="2">
      <formula>LEN(TRIM(B15))=0</formula>
    </cfRule>
  </conditionalFormatting>
  <conditionalFormatting sqref="B24:H25">
    <cfRule type="containsBlanks" dxfId="21" priority="4">
      <formula>LEN(TRIM(B24))=0</formula>
    </cfRule>
  </conditionalFormatting>
  <conditionalFormatting sqref="B27:H27">
    <cfRule type="containsBlanks" dxfId="20" priority="3">
      <formula>LEN(TRIM(B27))=0</formula>
    </cfRule>
  </conditionalFormatting>
  <conditionalFormatting sqref="B35:H57">
    <cfRule type="containsBlanks" dxfId="19" priority="7">
      <formula>LEN(TRIM(B35))=0</formula>
    </cfRule>
  </conditionalFormatting>
  <conditionalFormatting sqref="D64:E70 B64:B74">
    <cfRule type="containsBlanks" dxfId="18" priority="8">
      <formula>LEN(TRIM(B64))=0</formula>
    </cfRule>
  </conditionalFormatting>
  <conditionalFormatting sqref="F64">
    <cfRule type="containsBlanks" dxfId="17" priority="11">
      <formula>LEN(TRIM(F64))=0</formula>
    </cfRule>
  </conditionalFormatting>
  <conditionalFormatting sqref="H64:H74">
    <cfRule type="containsBlanks" dxfId="16" priority="9">
      <formula>LEN(TRIM(H64))=0</formula>
    </cfRule>
  </conditionalFormatting>
  <hyperlinks>
    <hyperlink ref="J66" location="'Ensayos de laboratorio'!A1" display="Se crea hoja para estimar valor" xr:uid="{E195FB70-29A1-4D37-A715-929B82F48E1F}"/>
    <hyperlink ref="J67" location="'Asesorías Especializadas'!A1" display="Se crea hoja para estimar valor" xr:uid="{DD323DF8-3580-45A3-B2D2-CF3A272002EC}"/>
    <hyperlink ref="J70" location="Análisis_Reajustes!A1" display="Se crea hoja para estimar valor" xr:uid="{A0CE1A07-B35A-436D-A627-4A5201AAFA85}"/>
    <hyperlink ref="J68" location="'PAPSO INTERVENTORÍA'!A1" display="Se crea hoja para estimar valor" xr:uid="{95250CD6-BD3A-4E7C-9D46-6DA04CF08774}"/>
    <hyperlink ref="J69" location="INTERV_POLIZAS!A1" display="Se crea hoja para estimar valor" xr:uid="{1DF15796-5BE3-4429-93D8-300F95621AE4}"/>
  </hyperlinks>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AA92E1-D003-458A-9C31-2D9B560C0DB0}">
  <sheetPr>
    <tabColor theme="4" tint="0.59999389629810485"/>
  </sheetPr>
  <dimension ref="B1:G23"/>
  <sheetViews>
    <sheetView topLeftCell="A6" workbookViewId="0">
      <selection activeCell="I27" sqref="I27"/>
    </sheetView>
  </sheetViews>
  <sheetFormatPr baseColWidth="10" defaultColWidth="11.453125" defaultRowHeight="12.5"/>
  <cols>
    <col min="1" max="1" width="4.08984375" style="828" customWidth="1"/>
    <col min="2" max="2" width="11.453125" style="828"/>
    <col min="3" max="3" width="50.08984375" style="828" customWidth="1"/>
    <col min="4" max="4" width="11.08984375" style="828" bestFit="1" customWidth="1"/>
    <col min="5" max="5" width="8.08984375" style="1297" customWidth="1"/>
    <col min="6" max="6" width="14.08984375" style="1298" customWidth="1"/>
    <col min="7" max="7" width="15.453125" style="1298" customWidth="1"/>
    <col min="8" max="16384" width="11.453125" style="828"/>
  </cols>
  <sheetData>
    <row r="1" spans="2:7" ht="12.75" customHeight="1"/>
    <row r="2" spans="2:7" ht="12.75" customHeight="1" thickBot="1"/>
    <row r="3" spans="2:7" ht="12.75" customHeight="1">
      <c r="B3" s="2153" t="str">
        <f>+'PPTO INTERVENTORIA'!B7</f>
        <v>INTERVENTORIA PARA EL MEJORAMIENTO Y ADECUACIÓN DE LAS VIAS URBANAS DEL MUNICIPIO DE SANTA FE DE ANTIOQUIA</v>
      </c>
      <c r="C3" s="2154"/>
      <c r="D3" s="2154"/>
      <c r="E3" s="2154"/>
      <c r="F3" s="2154"/>
      <c r="G3" s="2155"/>
    </row>
    <row r="4" spans="2:7" ht="13.5" customHeight="1">
      <c r="B4" s="2156"/>
      <c r="C4" s="2157"/>
      <c r="D4" s="2157"/>
      <c r="E4" s="2157"/>
      <c r="F4" s="2157"/>
      <c r="G4" s="2158"/>
    </row>
    <row r="5" spans="2:7" ht="12.75" customHeight="1">
      <c r="B5" s="2156"/>
      <c r="C5" s="2157"/>
      <c r="D5" s="2157"/>
      <c r="E5" s="2157"/>
      <c r="F5" s="2157"/>
      <c r="G5" s="2158"/>
    </row>
    <row r="6" spans="2:7" ht="12.75" customHeight="1">
      <c r="B6" s="2150" t="s">
        <v>1463</v>
      </c>
      <c r="C6" s="2151"/>
      <c r="D6" s="2151"/>
      <c r="E6" s="2151"/>
      <c r="F6" s="2151"/>
      <c r="G6" s="2152"/>
    </row>
    <row r="7" spans="2:7" ht="13.5" customHeight="1">
      <c r="B7" s="1300"/>
      <c r="C7" s="1301"/>
      <c r="D7" s="1301"/>
      <c r="E7" s="1301"/>
      <c r="F7" s="1301"/>
      <c r="G7" s="1302"/>
    </row>
    <row r="8" spans="2:7" ht="13">
      <c r="B8" s="1303" t="s">
        <v>320</v>
      </c>
      <c r="C8" s="1290" t="s">
        <v>1464</v>
      </c>
      <c r="D8" s="1290" t="s">
        <v>1465</v>
      </c>
      <c r="E8" s="1291" t="s">
        <v>322</v>
      </c>
      <c r="F8" s="1292" t="s">
        <v>1466</v>
      </c>
      <c r="G8" s="1304" t="s">
        <v>859</v>
      </c>
    </row>
    <row r="9" spans="2:7">
      <c r="B9" s="1305">
        <v>1</v>
      </c>
      <c r="C9" s="1205" t="s">
        <v>1467</v>
      </c>
      <c r="D9" s="1293">
        <f>+'PPTO INTERVENTORIA'!F15</f>
        <v>0.2</v>
      </c>
      <c r="E9" s="1204">
        <f>+'PPTO INTERVENTORIA'!G15</f>
        <v>2.5</v>
      </c>
      <c r="F9" s="1294">
        <v>1382326</v>
      </c>
      <c r="G9" s="1306">
        <f>ROUND((F9*E9*D9*B9),0)</f>
        <v>691163</v>
      </c>
    </row>
    <row r="10" spans="2:7">
      <c r="B10" s="535">
        <v>1</v>
      </c>
      <c r="C10" s="1205" t="s">
        <v>1468</v>
      </c>
      <c r="D10" s="1293">
        <f>+'PPTO INTERVENTORIA'!F16</f>
        <v>1</v>
      </c>
      <c r="E10" s="1204">
        <f>$E$9-1</f>
        <v>1.5</v>
      </c>
      <c r="F10" s="1294">
        <v>1382326</v>
      </c>
      <c r="G10" s="1306">
        <f>ROUND((F10*E10*D10*B10),0)</f>
        <v>2073489</v>
      </c>
    </row>
    <row r="11" spans="2:7">
      <c r="B11" s="535"/>
      <c r="C11" s="1295" t="s">
        <v>1469</v>
      </c>
      <c r="D11" s="1293">
        <v>0.25</v>
      </c>
      <c r="E11" s="1204">
        <f t="shared" ref="E11:E21" si="0">$E$9-1</f>
        <v>1.5</v>
      </c>
      <c r="F11" s="1294">
        <v>1382326</v>
      </c>
      <c r="G11" s="1306">
        <f>ROUND((F11*E11*D11*B11),0)</f>
        <v>0</v>
      </c>
    </row>
    <row r="12" spans="2:7">
      <c r="B12" s="535">
        <v>1</v>
      </c>
      <c r="C12" s="1205" t="s">
        <v>1470</v>
      </c>
      <c r="D12" s="1293">
        <f>+'PPTO INTERVENTORIA'!F18</f>
        <v>0.2</v>
      </c>
      <c r="E12" s="1204">
        <f t="shared" si="0"/>
        <v>1.5</v>
      </c>
      <c r="F12" s="1294">
        <v>1382326</v>
      </c>
      <c r="G12" s="1306">
        <f t="shared" ref="G12:G21" si="1">ROUND((F12*E12*D12*B12),0)</f>
        <v>414698</v>
      </c>
    </row>
    <row r="13" spans="2:7">
      <c r="B13" s="535">
        <v>1</v>
      </c>
      <c r="C13" s="1205" t="s">
        <v>1471</v>
      </c>
      <c r="D13" s="1293">
        <f>+'PPTO INTERVENTORIA'!F20</f>
        <v>0.4</v>
      </c>
      <c r="E13" s="1204">
        <f t="shared" si="0"/>
        <v>1.5</v>
      </c>
      <c r="F13" s="1294">
        <v>1382326</v>
      </c>
      <c r="G13" s="1306">
        <f t="shared" si="1"/>
        <v>829396</v>
      </c>
    </row>
    <row r="14" spans="2:7">
      <c r="B14" s="535">
        <v>1</v>
      </c>
      <c r="C14" s="1205" t="s">
        <v>1472</v>
      </c>
      <c r="D14" s="1293">
        <f>+'PPTO INTERVENTORIA'!F19</f>
        <v>0.3</v>
      </c>
      <c r="E14" s="1204">
        <f t="shared" si="0"/>
        <v>1.5</v>
      </c>
      <c r="F14" s="1294">
        <v>1382326</v>
      </c>
      <c r="G14" s="1306">
        <f>ROUND((F14*E14*D14*B14),0)</f>
        <v>622047</v>
      </c>
    </row>
    <row r="15" spans="2:7">
      <c r="B15" s="535">
        <v>1</v>
      </c>
      <c r="C15" s="1205" t="s">
        <v>1473</v>
      </c>
      <c r="D15" s="1293">
        <f>+'PPTO INTERVENTORIA'!F25</f>
        <v>1</v>
      </c>
      <c r="E15" s="1204">
        <f t="shared" si="0"/>
        <v>1.5</v>
      </c>
      <c r="F15" s="1294">
        <v>1382326</v>
      </c>
      <c r="G15" s="1306">
        <f t="shared" si="1"/>
        <v>2073489</v>
      </c>
    </row>
    <row r="16" spans="2:7">
      <c r="B16" s="535"/>
      <c r="C16" s="1205" t="s">
        <v>1474</v>
      </c>
      <c r="D16" s="1293">
        <v>0</v>
      </c>
      <c r="E16" s="1204">
        <f t="shared" si="0"/>
        <v>1.5</v>
      </c>
      <c r="F16" s="1294">
        <v>1382326</v>
      </c>
      <c r="G16" s="1306">
        <f>ROUND((F16*E16*D16*B16),0)</f>
        <v>0</v>
      </c>
    </row>
    <row r="17" spans="2:7">
      <c r="B17" s="535">
        <v>1</v>
      </c>
      <c r="C17" s="1205">
        <f>+'[2]FORMULARIO 1 - Pliego tipo'!C25</f>
        <v>0</v>
      </c>
      <c r="D17" s="1293">
        <f>+'[2]FORMULARIO 1 - Pliego tipo'!F25</f>
        <v>0</v>
      </c>
      <c r="E17" s="1204">
        <f t="shared" si="0"/>
        <v>1.5</v>
      </c>
      <c r="F17" s="1294">
        <v>1382326</v>
      </c>
      <c r="G17" s="1306">
        <f t="shared" si="1"/>
        <v>0</v>
      </c>
    </row>
    <row r="18" spans="2:7">
      <c r="B18" s="535"/>
      <c r="C18" s="1205" t="s">
        <v>1475</v>
      </c>
      <c r="D18" s="1293">
        <v>0</v>
      </c>
      <c r="E18" s="1204">
        <f t="shared" si="0"/>
        <v>1.5</v>
      </c>
      <c r="F18" s="1294">
        <v>1382326</v>
      </c>
      <c r="G18" s="1306">
        <f t="shared" si="1"/>
        <v>0</v>
      </c>
    </row>
    <row r="19" spans="2:7">
      <c r="B19" s="535"/>
      <c r="C19" s="1205" t="s">
        <v>1476</v>
      </c>
      <c r="D19" s="1293">
        <v>0</v>
      </c>
      <c r="E19" s="1204">
        <f t="shared" si="0"/>
        <v>1.5</v>
      </c>
      <c r="F19" s="1294">
        <v>1382326</v>
      </c>
      <c r="G19" s="1306">
        <f t="shared" si="1"/>
        <v>0</v>
      </c>
    </row>
    <row r="20" spans="2:7">
      <c r="B20" s="535"/>
      <c r="C20" s="1205" t="s">
        <v>1477</v>
      </c>
      <c r="D20" s="1293">
        <v>0</v>
      </c>
      <c r="E20" s="1204">
        <f t="shared" si="0"/>
        <v>1.5</v>
      </c>
      <c r="F20" s="1294">
        <v>1382326</v>
      </c>
      <c r="G20" s="1306">
        <f t="shared" si="1"/>
        <v>0</v>
      </c>
    </row>
    <row r="21" spans="2:7" ht="13" thickBot="1">
      <c r="B21" s="554"/>
      <c r="C21" s="1307" t="s">
        <v>1478</v>
      </c>
      <c r="D21" s="1308">
        <v>0</v>
      </c>
      <c r="E21" s="1309">
        <f t="shared" si="0"/>
        <v>1.5</v>
      </c>
      <c r="F21" s="1310">
        <v>1382326</v>
      </c>
      <c r="G21" s="1311">
        <f t="shared" si="1"/>
        <v>0</v>
      </c>
    </row>
    <row r="22" spans="2:7" ht="13" thickBot="1">
      <c r="B22" s="1296">
        <f>SUM(B9:B21)</f>
        <v>7</v>
      </c>
      <c r="F22" s="1297"/>
    </row>
    <row r="23" spans="2:7" ht="13.5" thickBot="1">
      <c r="D23" s="1312" t="s">
        <v>1479</v>
      </c>
      <c r="E23" s="1313"/>
      <c r="F23" s="1314"/>
      <c r="G23" s="1315">
        <f>SUM(G9:G18)</f>
        <v>6704282</v>
      </c>
    </row>
  </sheetData>
  <mergeCells count="2">
    <mergeCell ref="B6:G6"/>
    <mergeCell ref="B3:G5"/>
  </mergeCells>
  <conditionalFormatting sqref="B10:C10">
    <cfRule type="containsBlanks" dxfId="15" priority="3">
      <formula>LEN(TRIM(B10))=0</formula>
    </cfRule>
  </conditionalFormatting>
  <conditionalFormatting sqref="B12:D18">
    <cfRule type="containsBlanks" dxfId="14" priority="2">
      <formula>LEN(TRIM(B12))=0</formula>
    </cfRule>
  </conditionalFormatting>
  <conditionalFormatting sqref="B9:E9 D10:D11 E10:E21 B11">
    <cfRule type="containsBlanks" dxfId="13" priority="4">
      <formula>LEN(TRIM(B9))=0</formula>
    </cfRule>
  </conditionalFormatting>
  <conditionalFormatting sqref="B19:E21">
    <cfRule type="containsBlanks" dxfId="12" priority="1">
      <formula>LEN(TRIM(B19))=0</formula>
    </cfRule>
  </conditionalFormatting>
  <pageMargins left="0.7" right="0.7" top="0.75" bottom="0.75" header="0.3" footer="0.3"/>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0AFBBD-C740-4F10-883A-4667F6C31C61}">
  <sheetPr>
    <tabColor theme="4" tint="0.59999389629810485"/>
  </sheetPr>
  <dimension ref="A1:K98"/>
  <sheetViews>
    <sheetView view="pageBreakPreview" topLeftCell="A2" zoomScale="60" zoomScaleNormal="100" workbookViewId="0">
      <selection activeCell="D44" sqref="D44"/>
    </sheetView>
  </sheetViews>
  <sheetFormatPr baseColWidth="10" defaultColWidth="11.453125" defaultRowHeight="14.5"/>
  <cols>
    <col min="1" max="1" width="3.453125" style="1044" bestFit="1" customWidth="1"/>
    <col min="2" max="2" width="74.08984375" style="1044" customWidth="1"/>
    <col min="3" max="3" width="19.6328125" style="1044" customWidth="1"/>
    <col min="4" max="4" width="35.6328125" style="1045" customWidth="1"/>
    <col min="5" max="5" width="23.6328125" style="1045" customWidth="1"/>
    <col min="6" max="6" width="50.453125" style="1044" customWidth="1"/>
    <col min="7" max="7" width="27.6328125" style="1044" customWidth="1"/>
    <col min="8" max="8" width="25.08984375" style="1046" customWidth="1"/>
    <col min="9" max="9" width="18.08984375" style="1044" customWidth="1"/>
    <col min="10" max="10" width="20.08984375" style="1042" bestFit="1" customWidth="1"/>
    <col min="11" max="11" width="12.6328125" style="1042" customWidth="1"/>
    <col min="12" max="246" width="11.453125" style="1042"/>
    <col min="247" max="247" width="3.453125" style="1042" bestFit="1" customWidth="1"/>
    <col min="248" max="248" width="79.6328125" style="1042" customWidth="1"/>
    <col min="249" max="249" width="17.453125" style="1042" customWidth="1"/>
    <col min="250" max="250" width="15.6328125" style="1042" customWidth="1"/>
    <col min="251" max="251" width="19.453125" style="1042" customWidth="1"/>
    <col min="252" max="252" width="15" style="1042" customWidth="1"/>
    <col min="253" max="253" width="15.08984375" style="1042" customWidth="1"/>
    <col min="254" max="254" width="14.08984375" style="1042" customWidth="1"/>
    <col min="255" max="255" width="12.6328125" style="1042" customWidth="1"/>
    <col min="256" max="502" width="11.453125" style="1042"/>
    <col min="503" max="503" width="3.453125" style="1042" bestFit="1" customWidth="1"/>
    <col min="504" max="504" width="79.6328125" style="1042" customWidth="1"/>
    <col min="505" max="505" width="17.453125" style="1042" customWidth="1"/>
    <col min="506" max="506" width="15.6328125" style="1042" customWidth="1"/>
    <col min="507" max="507" width="19.453125" style="1042" customWidth="1"/>
    <col min="508" max="508" width="15" style="1042" customWidth="1"/>
    <col min="509" max="509" width="15.08984375" style="1042" customWidth="1"/>
    <col min="510" max="510" width="14.08984375" style="1042" customWidth="1"/>
    <col min="511" max="511" width="12.6328125" style="1042" customWidth="1"/>
    <col min="512" max="758" width="11.453125" style="1042"/>
    <col min="759" max="759" width="3.453125" style="1042" bestFit="1" customWidth="1"/>
    <col min="760" max="760" width="79.6328125" style="1042" customWidth="1"/>
    <col min="761" max="761" width="17.453125" style="1042" customWidth="1"/>
    <col min="762" max="762" width="15.6328125" style="1042" customWidth="1"/>
    <col min="763" max="763" width="19.453125" style="1042" customWidth="1"/>
    <col min="764" max="764" width="15" style="1042" customWidth="1"/>
    <col min="765" max="765" width="15.08984375" style="1042" customWidth="1"/>
    <col min="766" max="766" width="14.08984375" style="1042" customWidth="1"/>
    <col min="767" max="767" width="12.6328125" style="1042" customWidth="1"/>
    <col min="768" max="1014" width="11.453125" style="1042"/>
    <col min="1015" max="1015" width="3.453125" style="1042" bestFit="1" customWidth="1"/>
    <col min="1016" max="1016" width="79.6328125" style="1042" customWidth="1"/>
    <col min="1017" max="1017" width="17.453125" style="1042" customWidth="1"/>
    <col min="1018" max="1018" width="15.6328125" style="1042" customWidth="1"/>
    <col min="1019" max="1019" width="19.453125" style="1042" customWidth="1"/>
    <col min="1020" max="1020" width="15" style="1042" customWidth="1"/>
    <col min="1021" max="1021" width="15.08984375" style="1042" customWidth="1"/>
    <col min="1022" max="1022" width="14.08984375" style="1042" customWidth="1"/>
    <col min="1023" max="1023" width="12.6328125" style="1042" customWidth="1"/>
    <col min="1024" max="1270" width="11.453125" style="1042"/>
    <col min="1271" max="1271" width="3.453125" style="1042" bestFit="1" customWidth="1"/>
    <col min="1272" max="1272" width="79.6328125" style="1042" customWidth="1"/>
    <col min="1273" max="1273" width="17.453125" style="1042" customWidth="1"/>
    <col min="1274" max="1274" width="15.6328125" style="1042" customWidth="1"/>
    <col min="1275" max="1275" width="19.453125" style="1042" customWidth="1"/>
    <col min="1276" max="1276" width="15" style="1042" customWidth="1"/>
    <col min="1277" max="1277" width="15.08984375" style="1042" customWidth="1"/>
    <col min="1278" max="1278" width="14.08984375" style="1042" customWidth="1"/>
    <col min="1279" max="1279" width="12.6328125" style="1042" customWidth="1"/>
    <col min="1280" max="1526" width="11.453125" style="1042"/>
    <col min="1527" max="1527" width="3.453125" style="1042" bestFit="1" customWidth="1"/>
    <col min="1528" max="1528" width="79.6328125" style="1042" customWidth="1"/>
    <col min="1529" max="1529" width="17.453125" style="1042" customWidth="1"/>
    <col min="1530" max="1530" width="15.6328125" style="1042" customWidth="1"/>
    <col min="1531" max="1531" width="19.453125" style="1042" customWidth="1"/>
    <col min="1532" max="1532" width="15" style="1042" customWidth="1"/>
    <col min="1533" max="1533" width="15.08984375" style="1042" customWidth="1"/>
    <col min="1534" max="1534" width="14.08984375" style="1042" customWidth="1"/>
    <col min="1535" max="1535" width="12.6328125" style="1042" customWidth="1"/>
    <col min="1536" max="1782" width="11.453125" style="1042"/>
    <col min="1783" max="1783" width="3.453125" style="1042" bestFit="1" customWidth="1"/>
    <col min="1784" max="1784" width="79.6328125" style="1042" customWidth="1"/>
    <col min="1785" max="1785" width="17.453125" style="1042" customWidth="1"/>
    <col min="1786" max="1786" width="15.6328125" style="1042" customWidth="1"/>
    <col min="1787" max="1787" width="19.453125" style="1042" customWidth="1"/>
    <col min="1788" max="1788" width="15" style="1042" customWidth="1"/>
    <col min="1789" max="1789" width="15.08984375" style="1042" customWidth="1"/>
    <col min="1790" max="1790" width="14.08984375" style="1042" customWidth="1"/>
    <col min="1791" max="1791" width="12.6328125" style="1042" customWidth="1"/>
    <col min="1792" max="2038" width="11.453125" style="1042"/>
    <col min="2039" max="2039" width="3.453125" style="1042" bestFit="1" customWidth="1"/>
    <col min="2040" max="2040" width="79.6328125" style="1042" customWidth="1"/>
    <col min="2041" max="2041" width="17.453125" style="1042" customWidth="1"/>
    <col min="2042" max="2042" width="15.6328125" style="1042" customWidth="1"/>
    <col min="2043" max="2043" width="19.453125" style="1042" customWidth="1"/>
    <col min="2044" max="2044" width="15" style="1042" customWidth="1"/>
    <col min="2045" max="2045" width="15.08984375" style="1042" customWidth="1"/>
    <col min="2046" max="2046" width="14.08984375" style="1042" customWidth="1"/>
    <col min="2047" max="2047" width="12.6328125" style="1042" customWidth="1"/>
    <col min="2048" max="2294" width="11.453125" style="1042"/>
    <col min="2295" max="2295" width="3.453125" style="1042" bestFit="1" customWidth="1"/>
    <col min="2296" max="2296" width="79.6328125" style="1042" customWidth="1"/>
    <col min="2297" max="2297" width="17.453125" style="1042" customWidth="1"/>
    <col min="2298" max="2298" width="15.6328125" style="1042" customWidth="1"/>
    <col min="2299" max="2299" width="19.453125" style="1042" customWidth="1"/>
    <col min="2300" max="2300" width="15" style="1042" customWidth="1"/>
    <col min="2301" max="2301" width="15.08984375" style="1042" customWidth="1"/>
    <col min="2302" max="2302" width="14.08984375" style="1042" customWidth="1"/>
    <col min="2303" max="2303" width="12.6328125" style="1042" customWidth="1"/>
    <col min="2304" max="2550" width="11.453125" style="1042"/>
    <col min="2551" max="2551" width="3.453125" style="1042" bestFit="1" customWidth="1"/>
    <col min="2552" max="2552" width="79.6328125" style="1042" customWidth="1"/>
    <col min="2553" max="2553" width="17.453125" style="1042" customWidth="1"/>
    <col min="2554" max="2554" width="15.6328125" style="1042" customWidth="1"/>
    <col min="2555" max="2555" width="19.453125" style="1042" customWidth="1"/>
    <col min="2556" max="2556" width="15" style="1042" customWidth="1"/>
    <col min="2557" max="2557" width="15.08984375" style="1042" customWidth="1"/>
    <col min="2558" max="2558" width="14.08984375" style="1042" customWidth="1"/>
    <col min="2559" max="2559" width="12.6328125" style="1042" customWidth="1"/>
    <col min="2560" max="2806" width="11.453125" style="1042"/>
    <col min="2807" max="2807" width="3.453125" style="1042" bestFit="1" customWidth="1"/>
    <col min="2808" max="2808" width="79.6328125" style="1042" customWidth="1"/>
    <col min="2809" max="2809" width="17.453125" style="1042" customWidth="1"/>
    <col min="2810" max="2810" width="15.6328125" style="1042" customWidth="1"/>
    <col min="2811" max="2811" width="19.453125" style="1042" customWidth="1"/>
    <col min="2812" max="2812" width="15" style="1042" customWidth="1"/>
    <col min="2813" max="2813" width="15.08984375" style="1042" customWidth="1"/>
    <col min="2814" max="2814" width="14.08984375" style="1042" customWidth="1"/>
    <col min="2815" max="2815" width="12.6328125" style="1042" customWidth="1"/>
    <col min="2816" max="3062" width="11.453125" style="1042"/>
    <col min="3063" max="3063" width="3.453125" style="1042" bestFit="1" customWidth="1"/>
    <col min="3064" max="3064" width="79.6328125" style="1042" customWidth="1"/>
    <col min="3065" max="3065" width="17.453125" style="1042" customWidth="1"/>
    <col min="3066" max="3066" width="15.6328125" style="1042" customWidth="1"/>
    <col min="3067" max="3067" width="19.453125" style="1042" customWidth="1"/>
    <col min="3068" max="3068" width="15" style="1042" customWidth="1"/>
    <col min="3069" max="3069" width="15.08984375" style="1042" customWidth="1"/>
    <col min="3070" max="3070" width="14.08984375" style="1042" customWidth="1"/>
    <col min="3071" max="3071" width="12.6328125" style="1042" customWidth="1"/>
    <col min="3072" max="3318" width="11.453125" style="1042"/>
    <col min="3319" max="3319" width="3.453125" style="1042" bestFit="1" customWidth="1"/>
    <col min="3320" max="3320" width="79.6328125" style="1042" customWidth="1"/>
    <col min="3321" max="3321" width="17.453125" style="1042" customWidth="1"/>
    <col min="3322" max="3322" width="15.6328125" style="1042" customWidth="1"/>
    <col min="3323" max="3323" width="19.453125" style="1042" customWidth="1"/>
    <col min="3324" max="3324" width="15" style="1042" customWidth="1"/>
    <col min="3325" max="3325" width="15.08984375" style="1042" customWidth="1"/>
    <col min="3326" max="3326" width="14.08984375" style="1042" customWidth="1"/>
    <col min="3327" max="3327" width="12.6328125" style="1042" customWidth="1"/>
    <col min="3328" max="3574" width="11.453125" style="1042"/>
    <col min="3575" max="3575" width="3.453125" style="1042" bestFit="1" customWidth="1"/>
    <col min="3576" max="3576" width="79.6328125" style="1042" customWidth="1"/>
    <col min="3577" max="3577" width="17.453125" style="1042" customWidth="1"/>
    <col min="3578" max="3578" width="15.6328125" style="1042" customWidth="1"/>
    <col min="3579" max="3579" width="19.453125" style="1042" customWidth="1"/>
    <col min="3580" max="3580" width="15" style="1042" customWidth="1"/>
    <col min="3581" max="3581" width="15.08984375" style="1042" customWidth="1"/>
    <col min="3582" max="3582" width="14.08984375" style="1042" customWidth="1"/>
    <col min="3583" max="3583" width="12.6328125" style="1042" customWidth="1"/>
    <col min="3584" max="3830" width="11.453125" style="1042"/>
    <col min="3831" max="3831" width="3.453125" style="1042" bestFit="1" customWidth="1"/>
    <col min="3832" max="3832" width="79.6328125" style="1042" customWidth="1"/>
    <col min="3833" max="3833" width="17.453125" style="1042" customWidth="1"/>
    <col min="3834" max="3834" width="15.6328125" style="1042" customWidth="1"/>
    <col min="3835" max="3835" width="19.453125" style="1042" customWidth="1"/>
    <col min="3836" max="3836" width="15" style="1042" customWidth="1"/>
    <col min="3837" max="3837" width="15.08984375" style="1042" customWidth="1"/>
    <col min="3838" max="3838" width="14.08984375" style="1042" customWidth="1"/>
    <col min="3839" max="3839" width="12.6328125" style="1042" customWidth="1"/>
    <col min="3840" max="4086" width="11.453125" style="1042"/>
    <col min="4087" max="4087" width="3.453125" style="1042" bestFit="1" customWidth="1"/>
    <col min="4088" max="4088" width="79.6328125" style="1042" customWidth="1"/>
    <col min="4089" max="4089" width="17.453125" style="1042" customWidth="1"/>
    <col min="4090" max="4090" width="15.6328125" style="1042" customWidth="1"/>
    <col min="4091" max="4091" width="19.453125" style="1042" customWidth="1"/>
    <col min="4092" max="4092" width="15" style="1042" customWidth="1"/>
    <col min="4093" max="4093" width="15.08984375" style="1042" customWidth="1"/>
    <col min="4094" max="4094" width="14.08984375" style="1042" customWidth="1"/>
    <col min="4095" max="4095" width="12.6328125" style="1042" customWidth="1"/>
    <col min="4096" max="4342" width="11.453125" style="1042"/>
    <col min="4343" max="4343" width="3.453125" style="1042" bestFit="1" customWidth="1"/>
    <col min="4344" max="4344" width="79.6328125" style="1042" customWidth="1"/>
    <col min="4345" max="4345" width="17.453125" style="1042" customWidth="1"/>
    <col min="4346" max="4346" width="15.6328125" style="1042" customWidth="1"/>
    <col min="4347" max="4347" width="19.453125" style="1042" customWidth="1"/>
    <col min="4348" max="4348" width="15" style="1042" customWidth="1"/>
    <col min="4349" max="4349" width="15.08984375" style="1042" customWidth="1"/>
    <col min="4350" max="4350" width="14.08984375" style="1042" customWidth="1"/>
    <col min="4351" max="4351" width="12.6328125" style="1042" customWidth="1"/>
    <col min="4352" max="4598" width="11.453125" style="1042"/>
    <col min="4599" max="4599" width="3.453125" style="1042" bestFit="1" customWidth="1"/>
    <col min="4600" max="4600" width="79.6328125" style="1042" customWidth="1"/>
    <col min="4601" max="4601" width="17.453125" style="1042" customWidth="1"/>
    <col min="4602" max="4602" width="15.6328125" style="1042" customWidth="1"/>
    <col min="4603" max="4603" width="19.453125" style="1042" customWidth="1"/>
    <col min="4604" max="4604" width="15" style="1042" customWidth="1"/>
    <col min="4605" max="4605" width="15.08984375" style="1042" customWidth="1"/>
    <col min="4606" max="4606" width="14.08984375" style="1042" customWidth="1"/>
    <col min="4607" max="4607" width="12.6328125" style="1042" customWidth="1"/>
    <col min="4608" max="4854" width="11.453125" style="1042"/>
    <col min="4855" max="4855" width="3.453125" style="1042" bestFit="1" customWidth="1"/>
    <col min="4856" max="4856" width="79.6328125" style="1042" customWidth="1"/>
    <col min="4857" max="4857" width="17.453125" style="1042" customWidth="1"/>
    <col min="4858" max="4858" width="15.6328125" style="1042" customWidth="1"/>
    <col min="4859" max="4859" width="19.453125" style="1042" customWidth="1"/>
    <col min="4860" max="4860" width="15" style="1042" customWidth="1"/>
    <col min="4861" max="4861" width="15.08984375" style="1042" customWidth="1"/>
    <col min="4862" max="4862" width="14.08984375" style="1042" customWidth="1"/>
    <col min="4863" max="4863" width="12.6328125" style="1042" customWidth="1"/>
    <col min="4864" max="5110" width="11.453125" style="1042"/>
    <col min="5111" max="5111" width="3.453125" style="1042" bestFit="1" customWidth="1"/>
    <col min="5112" max="5112" width="79.6328125" style="1042" customWidth="1"/>
    <col min="5113" max="5113" width="17.453125" style="1042" customWidth="1"/>
    <col min="5114" max="5114" width="15.6328125" style="1042" customWidth="1"/>
    <col min="5115" max="5115" width="19.453125" style="1042" customWidth="1"/>
    <col min="5116" max="5116" width="15" style="1042" customWidth="1"/>
    <col min="5117" max="5117" width="15.08984375" style="1042" customWidth="1"/>
    <col min="5118" max="5118" width="14.08984375" style="1042" customWidth="1"/>
    <col min="5119" max="5119" width="12.6328125" style="1042" customWidth="1"/>
    <col min="5120" max="5366" width="11.453125" style="1042"/>
    <col min="5367" max="5367" width="3.453125" style="1042" bestFit="1" customWidth="1"/>
    <col min="5368" max="5368" width="79.6328125" style="1042" customWidth="1"/>
    <col min="5369" max="5369" width="17.453125" style="1042" customWidth="1"/>
    <col min="5370" max="5370" width="15.6328125" style="1042" customWidth="1"/>
    <col min="5371" max="5371" width="19.453125" style="1042" customWidth="1"/>
    <col min="5372" max="5372" width="15" style="1042" customWidth="1"/>
    <col min="5373" max="5373" width="15.08984375" style="1042" customWidth="1"/>
    <col min="5374" max="5374" width="14.08984375" style="1042" customWidth="1"/>
    <col min="5375" max="5375" width="12.6328125" style="1042" customWidth="1"/>
    <col min="5376" max="5622" width="11.453125" style="1042"/>
    <col min="5623" max="5623" width="3.453125" style="1042" bestFit="1" customWidth="1"/>
    <col min="5624" max="5624" width="79.6328125" style="1042" customWidth="1"/>
    <col min="5625" max="5625" width="17.453125" style="1042" customWidth="1"/>
    <col min="5626" max="5626" width="15.6328125" style="1042" customWidth="1"/>
    <col min="5627" max="5627" width="19.453125" style="1042" customWidth="1"/>
    <col min="5628" max="5628" width="15" style="1042" customWidth="1"/>
    <col min="5629" max="5629" width="15.08984375" style="1042" customWidth="1"/>
    <col min="5630" max="5630" width="14.08984375" style="1042" customWidth="1"/>
    <col min="5631" max="5631" width="12.6328125" style="1042" customWidth="1"/>
    <col min="5632" max="5878" width="11.453125" style="1042"/>
    <col min="5879" max="5879" width="3.453125" style="1042" bestFit="1" customWidth="1"/>
    <col min="5880" max="5880" width="79.6328125" style="1042" customWidth="1"/>
    <col min="5881" max="5881" width="17.453125" style="1042" customWidth="1"/>
    <col min="5882" max="5882" width="15.6328125" style="1042" customWidth="1"/>
    <col min="5883" max="5883" width="19.453125" style="1042" customWidth="1"/>
    <col min="5884" max="5884" width="15" style="1042" customWidth="1"/>
    <col min="5885" max="5885" width="15.08984375" style="1042" customWidth="1"/>
    <col min="5886" max="5886" width="14.08984375" style="1042" customWidth="1"/>
    <col min="5887" max="5887" width="12.6328125" style="1042" customWidth="1"/>
    <col min="5888" max="6134" width="11.453125" style="1042"/>
    <col min="6135" max="6135" width="3.453125" style="1042" bestFit="1" customWidth="1"/>
    <col min="6136" max="6136" width="79.6328125" style="1042" customWidth="1"/>
    <col min="6137" max="6137" width="17.453125" style="1042" customWidth="1"/>
    <col min="6138" max="6138" width="15.6328125" style="1042" customWidth="1"/>
    <col min="6139" max="6139" width="19.453125" style="1042" customWidth="1"/>
    <col min="6140" max="6140" width="15" style="1042" customWidth="1"/>
    <col min="6141" max="6141" width="15.08984375" style="1042" customWidth="1"/>
    <col min="6142" max="6142" width="14.08984375" style="1042" customWidth="1"/>
    <col min="6143" max="6143" width="12.6328125" style="1042" customWidth="1"/>
    <col min="6144" max="6390" width="11.453125" style="1042"/>
    <col min="6391" max="6391" width="3.453125" style="1042" bestFit="1" customWidth="1"/>
    <col min="6392" max="6392" width="79.6328125" style="1042" customWidth="1"/>
    <col min="6393" max="6393" width="17.453125" style="1042" customWidth="1"/>
    <col min="6394" max="6394" width="15.6328125" style="1042" customWidth="1"/>
    <col min="6395" max="6395" width="19.453125" style="1042" customWidth="1"/>
    <col min="6396" max="6396" width="15" style="1042" customWidth="1"/>
    <col min="6397" max="6397" width="15.08984375" style="1042" customWidth="1"/>
    <col min="6398" max="6398" width="14.08984375" style="1042" customWidth="1"/>
    <col min="6399" max="6399" width="12.6328125" style="1042" customWidth="1"/>
    <col min="6400" max="6646" width="11.453125" style="1042"/>
    <col min="6647" max="6647" width="3.453125" style="1042" bestFit="1" customWidth="1"/>
    <col min="6648" max="6648" width="79.6328125" style="1042" customWidth="1"/>
    <col min="6649" max="6649" width="17.453125" style="1042" customWidth="1"/>
    <col min="6650" max="6650" width="15.6328125" style="1042" customWidth="1"/>
    <col min="6651" max="6651" width="19.453125" style="1042" customWidth="1"/>
    <col min="6652" max="6652" width="15" style="1042" customWidth="1"/>
    <col min="6653" max="6653" width="15.08984375" style="1042" customWidth="1"/>
    <col min="6654" max="6654" width="14.08984375" style="1042" customWidth="1"/>
    <col min="6655" max="6655" width="12.6328125" style="1042" customWidth="1"/>
    <col min="6656" max="6902" width="11.453125" style="1042"/>
    <col min="6903" max="6903" width="3.453125" style="1042" bestFit="1" customWidth="1"/>
    <col min="6904" max="6904" width="79.6328125" style="1042" customWidth="1"/>
    <col min="6905" max="6905" width="17.453125" style="1042" customWidth="1"/>
    <col min="6906" max="6906" width="15.6328125" style="1042" customWidth="1"/>
    <col min="6907" max="6907" width="19.453125" style="1042" customWidth="1"/>
    <col min="6908" max="6908" width="15" style="1042" customWidth="1"/>
    <col min="6909" max="6909" width="15.08984375" style="1042" customWidth="1"/>
    <col min="6910" max="6910" width="14.08984375" style="1042" customWidth="1"/>
    <col min="6911" max="6911" width="12.6328125" style="1042" customWidth="1"/>
    <col min="6912" max="7158" width="11.453125" style="1042"/>
    <col min="7159" max="7159" width="3.453125" style="1042" bestFit="1" customWidth="1"/>
    <col min="7160" max="7160" width="79.6328125" style="1042" customWidth="1"/>
    <col min="7161" max="7161" width="17.453125" style="1042" customWidth="1"/>
    <col min="7162" max="7162" width="15.6328125" style="1042" customWidth="1"/>
    <col min="7163" max="7163" width="19.453125" style="1042" customWidth="1"/>
    <col min="7164" max="7164" width="15" style="1042" customWidth="1"/>
    <col min="7165" max="7165" width="15.08984375" style="1042" customWidth="1"/>
    <col min="7166" max="7166" width="14.08984375" style="1042" customWidth="1"/>
    <col min="7167" max="7167" width="12.6328125" style="1042" customWidth="1"/>
    <col min="7168" max="7414" width="11.453125" style="1042"/>
    <col min="7415" max="7415" width="3.453125" style="1042" bestFit="1" customWidth="1"/>
    <col min="7416" max="7416" width="79.6328125" style="1042" customWidth="1"/>
    <col min="7417" max="7417" width="17.453125" style="1042" customWidth="1"/>
    <col min="7418" max="7418" width="15.6328125" style="1042" customWidth="1"/>
    <col min="7419" max="7419" width="19.453125" style="1042" customWidth="1"/>
    <col min="7420" max="7420" width="15" style="1042" customWidth="1"/>
    <col min="7421" max="7421" width="15.08984375" style="1042" customWidth="1"/>
    <col min="7422" max="7422" width="14.08984375" style="1042" customWidth="1"/>
    <col min="7423" max="7423" width="12.6328125" style="1042" customWidth="1"/>
    <col min="7424" max="7670" width="11.453125" style="1042"/>
    <col min="7671" max="7671" width="3.453125" style="1042" bestFit="1" customWidth="1"/>
    <col min="7672" max="7672" width="79.6328125" style="1042" customWidth="1"/>
    <col min="7673" max="7673" width="17.453125" style="1042" customWidth="1"/>
    <col min="7674" max="7674" width="15.6328125" style="1042" customWidth="1"/>
    <col min="7675" max="7675" width="19.453125" style="1042" customWidth="1"/>
    <col min="7676" max="7676" width="15" style="1042" customWidth="1"/>
    <col min="7677" max="7677" width="15.08984375" style="1042" customWidth="1"/>
    <col min="7678" max="7678" width="14.08984375" style="1042" customWidth="1"/>
    <col min="7679" max="7679" width="12.6328125" style="1042" customWidth="1"/>
    <col min="7680" max="7926" width="11.453125" style="1042"/>
    <col min="7927" max="7927" width="3.453125" style="1042" bestFit="1" customWidth="1"/>
    <col min="7928" max="7928" width="79.6328125" style="1042" customWidth="1"/>
    <col min="7929" max="7929" width="17.453125" style="1042" customWidth="1"/>
    <col min="7930" max="7930" width="15.6328125" style="1042" customWidth="1"/>
    <col min="7931" max="7931" width="19.453125" style="1042" customWidth="1"/>
    <col min="7932" max="7932" width="15" style="1042" customWidth="1"/>
    <col min="7933" max="7933" width="15.08984375" style="1042" customWidth="1"/>
    <col min="7934" max="7934" width="14.08984375" style="1042" customWidth="1"/>
    <col min="7935" max="7935" width="12.6328125" style="1042" customWidth="1"/>
    <col min="7936" max="8182" width="11.453125" style="1042"/>
    <col min="8183" max="8183" width="3.453125" style="1042" bestFit="1" customWidth="1"/>
    <col min="8184" max="8184" width="79.6328125" style="1042" customWidth="1"/>
    <col min="8185" max="8185" width="17.453125" style="1042" customWidth="1"/>
    <col min="8186" max="8186" width="15.6328125" style="1042" customWidth="1"/>
    <col min="8187" max="8187" width="19.453125" style="1042" customWidth="1"/>
    <col min="8188" max="8188" width="15" style="1042" customWidth="1"/>
    <col min="8189" max="8189" width="15.08984375" style="1042" customWidth="1"/>
    <col min="8190" max="8190" width="14.08984375" style="1042" customWidth="1"/>
    <col min="8191" max="8191" width="12.6328125" style="1042" customWidth="1"/>
    <col min="8192" max="8438" width="11.453125" style="1042"/>
    <col min="8439" max="8439" width="3.453125" style="1042" bestFit="1" customWidth="1"/>
    <col min="8440" max="8440" width="79.6328125" style="1042" customWidth="1"/>
    <col min="8441" max="8441" width="17.453125" style="1042" customWidth="1"/>
    <col min="8442" max="8442" width="15.6328125" style="1042" customWidth="1"/>
    <col min="8443" max="8443" width="19.453125" style="1042" customWidth="1"/>
    <col min="8444" max="8444" width="15" style="1042" customWidth="1"/>
    <col min="8445" max="8445" width="15.08984375" style="1042" customWidth="1"/>
    <col min="8446" max="8446" width="14.08984375" style="1042" customWidth="1"/>
    <col min="8447" max="8447" width="12.6328125" style="1042" customWidth="1"/>
    <col min="8448" max="8694" width="11.453125" style="1042"/>
    <col min="8695" max="8695" width="3.453125" style="1042" bestFit="1" customWidth="1"/>
    <col min="8696" max="8696" width="79.6328125" style="1042" customWidth="1"/>
    <col min="8697" max="8697" width="17.453125" style="1042" customWidth="1"/>
    <col min="8698" max="8698" width="15.6328125" style="1042" customWidth="1"/>
    <col min="8699" max="8699" width="19.453125" style="1042" customWidth="1"/>
    <col min="8700" max="8700" width="15" style="1042" customWidth="1"/>
    <col min="8701" max="8701" width="15.08984375" style="1042" customWidth="1"/>
    <col min="8702" max="8702" width="14.08984375" style="1042" customWidth="1"/>
    <col min="8703" max="8703" width="12.6328125" style="1042" customWidth="1"/>
    <col min="8704" max="8950" width="11.453125" style="1042"/>
    <col min="8951" max="8951" width="3.453125" style="1042" bestFit="1" customWidth="1"/>
    <col min="8952" max="8952" width="79.6328125" style="1042" customWidth="1"/>
    <col min="8953" max="8953" width="17.453125" style="1042" customWidth="1"/>
    <col min="8954" max="8954" width="15.6328125" style="1042" customWidth="1"/>
    <col min="8955" max="8955" width="19.453125" style="1042" customWidth="1"/>
    <col min="8956" max="8956" width="15" style="1042" customWidth="1"/>
    <col min="8957" max="8957" width="15.08984375" style="1042" customWidth="1"/>
    <col min="8958" max="8958" width="14.08984375" style="1042" customWidth="1"/>
    <col min="8959" max="8959" width="12.6328125" style="1042" customWidth="1"/>
    <col min="8960" max="9206" width="11.453125" style="1042"/>
    <col min="9207" max="9207" width="3.453125" style="1042" bestFit="1" customWidth="1"/>
    <col min="9208" max="9208" width="79.6328125" style="1042" customWidth="1"/>
    <col min="9209" max="9209" width="17.453125" style="1042" customWidth="1"/>
    <col min="9210" max="9210" width="15.6328125" style="1042" customWidth="1"/>
    <col min="9211" max="9211" width="19.453125" style="1042" customWidth="1"/>
    <col min="9212" max="9212" width="15" style="1042" customWidth="1"/>
    <col min="9213" max="9213" width="15.08984375" style="1042" customWidth="1"/>
    <col min="9214" max="9214" width="14.08984375" style="1042" customWidth="1"/>
    <col min="9215" max="9215" width="12.6328125" style="1042" customWidth="1"/>
    <col min="9216" max="9462" width="11.453125" style="1042"/>
    <col min="9463" max="9463" width="3.453125" style="1042" bestFit="1" customWidth="1"/>
    <col min="9464" max="9464" width="79.6328125" style="1042" customWidth="1"/>
    <col min="9465" max="9465" width="17.453125" style="1042" customWidth="1"/>
    <col min="9466" max="9466" width="15.6328125" style="1042" customWidth="1"/>
    <col min="9467" max="9467" width="19.453125" style="1042" customWidth="1"/>
    <col min="9468" max="9468" width="15" style="1042" customWidth="1"/>
    <col min="9469" max="9469" width="15.08984375" style="1042" customWidth="1"/>
    <col min="9470" max="9470" width="14.08984375" style="1042" customWidth="1"/>
    <col min="9471" max="9471" width="12.6328125" style="1042" customWidth="1"/>
    <col min="9472" max="9718" width="11.453125" style="1042"/>
    <col min="9719" max="9719" width="3.453125" style="1042" bestFit="1" customWidth="1"/>
    <col min="9720" max="9720" width="79.6328125" style="1042" customWidth="1"/>
    <col min="9721" max="9721" width="17.453125" style="1042" customWidth="1"/>
    <col min="9722" max="9722" width="15.6328125" style="1042" customWidth="1"/>
    <col min="9723" max="9723" width="19.453125" style="1042" customWidth="1"/>
    <col min="9724" max="9724" width="15" style="1042" customWidth="1"/>
    <col min="9725" max="9725" width="15.08984375" style="1042" customWidth="1"/>
    <col min="9726" max="9726" width="14.08984375" style="1042" customWidth="1"/>
    <col min="9727" max="9727" width="12.6328125" style="1042" customWidth="1"/>
    <col min="9728" max="9974" width="11.453125" style="1042"/>
    <col min="9975" max="9975" width="3.453125" style="1042" bestFit="1" customWidth="1"/>
    <col min="9976" max="9976" width="79.6328125" style="1042" customWidth="1"/>
    <col min="9977" max="9977" width="17.453125" style="1042" customWidth="1"/>
    <col min="9978" max="9978" width="15.6328125" style="1042" customWidth="1"/>
    <col min="9979" max="9979" width="19.453125" style="1042" customWidth="1"/>
    <col min="9980" max="9980" width="15" style="1042" customWidth="1"/>
    <col min="9981" max="9981" width="15.08984375" style="1042" customWidth="1"/>
    <col min="9982" max="9982" width="14.08984375" style="1042" customWidth="1"/>
    <col min="9983" max="9983" width="12.6328125" style="1042" customWidth="1"/>
    <col min="9984" max="10230" width="11.453125" style="1042"/>
    <col min="10231" max="10231" width="3.453125" style="1042" bestFit="1" customWidth="1"/>
    <col min="10232" max="10232" width="79.6328125" style="1042" customWidth="1"/>
    <col min="10233" max="10233" width="17.453125" style="1042" customWidth="1"/>
    <col min="10234" max="10234" width="15.6328125" style="1042" customWidth="1"/>
    <col min="10235" max="10235" width="19.453125" style="1042" customWidth="1"/>
    <col min="10236" max="10236" width="15" style="1042" customWidth="1"/>
    <col min="10237" max="10237" width="15.08984375" style="1042" customWidth="1"/>
    <col min="10238" max="10238" width="14.08984375" style="1042" customWidth="1"/>
    <col min="10239" max="10239" width="12.6328125" style="1042" customWidth="1"/>
    <col min="10240" max="10486" width="11.453125" style="1042"/>
    <col min="10487" max="10487" width="3.453125" style="1042" bestFit="1" customWidth="1"/>
    <col min="10488" max="10488" width="79.6328125" style="1042" customWidth="1"/>
    <col min="10489" max="10489" width="17.453125" style="1042" customWidth="1"/>
    <col min="10490" max="10490" width="15.6328125" style="1042" customWidth="1"/>
    <col min="10491" max="10491" width="19.453125" style="1042" customWidth="1"/>
    <col min="10492" max="10492" width="15" style="1042" customWidth="1"/>
    <col min="10493" max="10493" width="15.08984375" style="1042" customWidth="1"/>
    <col min="10494" max="10494" width="14.08984375" style="1042" customWidth="1"/>
    <col min="10495" max="10495" width="12.6328125" style="1042" customWidth="1"/>
    <col min="10496" max="10742" width="11.453125" style="1042"/>
    <col min="10743" max="10743" width="3.453125" style="1042" bestFit="1" customWidth="1"/>
    <col min="10744" max="10744" width="79.6328125" style="1042" customWidth="1"/>
    <col min="10745" max="10745" width="17.453125" style="1042" customWidth="1"/>
    <col min="10746" max="10746" width="15.6328125" style="1042" customWidth="1"/>
    <col min="10747" max="10747" width="19.453125" style="1042" customWidth="1"/>
    <col min="10748" max="10748" width="15" style="1042" customWidth="1"/>
    <col min="10749" max="10749" width="15.08984375" style="1042" customWidth="1"/>
    <col min="10750" max="10750" width="14.08984375" style="1042" customWidth="1"/>
    <col min="10751" max="10751" width="12.6328125" style="1042" customWidth="1"/>
    <col min="10752" max="10998" width="11.453125" style="1042"/>
    <col min="10999" max="10999" width="3.453125" style="1042" bestFit="1" customWidth="1"/>
    <col min="11000" max="11000" width="79.6328125" style="1042" customWidth="1"/>
    <col min="11001" max="11001" width="17.453125" style="1042" customWidth="1"/>
    <col min="11002" max="11002" width="15.6328125" style="1042" customWidth="1"/>
    <col min="11003" max="11003" width="19.453125" style="1042" customWidth="1"/>
    <col min="11004" max="11004" width="15" style="1042" customWidth="1"/>
    <col min="11005" max="11005" width="15.08984375" style="1042" customWidth="1"/>
    <col min="11006" max="11006" width="14.08984375" style="1042" customWidth="1"/>
    <col min="11007" max="11007" width="12.6328125" style="1042" customWidth="1"/>
    <col min="11008" max="11254" width="11.453125" style="1042"/>
    <col min="11255" max="11255" width="3.453125" style="1042" bestFit="1" customWidth="1"/>
    <col min="11256" max="11256" width="79.6328125" style="1042" customWidth="1"/>
    <col min="11257" max="11257" width="17.453125" style="1042" customWidth="1"/>
    <col min="11258" max="11258" width="15.6328125" style="1042" customWidth="1"/>
    <col min="11259" max="11259" width="19.453125" style="1042" customWidth="1"/>
    <col min="11260" max="11260" width="15" style="1042" customWidth="1"/>
    <col min="11261" max="11261" width="15.08984375" style="1042" customWidth="1"/>
    <col min="11262" max="11262" width="14.08984375" style="1042" customWidth="1"/>
    <col min="11263" max="11263" width="12.6328125" style="1042" customWidth="1"/>
    <col min="11264" max="11510" width="11.453125" style="1042"/>
    <col min="11511" max="11511" width="3.453125" style="1042" bestFit="1" customWidth="1"/>
    <col min="11512" max="11512" width="79.6328125" style="1042" customWidth="1"/>
    <col min="11513" max="11513" width="17.453125" style="1042" customWidth="1"/>
    <col min="11514" max="11514" width="15.6328125" style="1042" customWidth="1"/>
    <col min="11515" max="11515" width="19.453125" style="1042" customWidth="1"/>
    <col min="11516" max="11516" width="15" style="1042" customWidth="1"/>
    <col min="11517" max="11517" width="15.08984375" style="1042" customWidth="1"/>
    <col min="11518" max="11518" width="14.08984375" style="1042" customWidth="1"/>
    <col min="11519" max="11519" width="12.6328125" style="1042" customWidth="1"/>
    <col min="11520" max="11766" width="11.453125" style="1042"/>
    <col min="11767" max="11767" width="3.453125" style="1042" bestFit="1" customWidth="1"/>
    <col min="11768" max="11768" width="79.6328125" style="1042" customWidth="1"/>
    <col min="11769" max="11769" width="17.453125" style="1042" customWidth="1"/>
    <col min="11770" max="11770" width="15.6328125" style="1042" customWidth="1"/>
    <col min="11771" max="11771" width="19.453125" style="1042" customWidth="1"/>
    <col min="11772" max="11772" width="15" style="1042" customWidth="1"/>
    <col min="11773" max="11773" width="15.08984375" style="1042" customWidth="1"/>
    <col min="11774" max="11774" width="14.08984375" style="1042" customWidth="1"/>
    <col min="11775" max="11775" width="12.6328125" style="1042" customWidth="1"/>
    <col min="11776" max="12022" width="11.453125" style="1042"/>
    <col min="12023" max="12023" width="3.453125" style="1042" bestFit="1" customWidth="1"/>
    <col min="12024" max="12024" width="79.6328125" style="1042" customWidth="1"/>
    <col min="12025" max="12025" width="17.453125" style="1042" customWidth="1"/>
    <col min="12026" max="12026" width="15.6328125" style="1042" customWidth="1"/>
    <col min="12027" max="12027" width="19.453125" style="1042" customWidth="1"/>
    <col min="12028" max="12028" width="15" style="1042" customWidth="1"/>
    <col min="12029" max="12029" width="15.08984375" style="1042" customWidth="1"/>
    <col min="12030" max="12030" width="14.08984375" style="1042" customWidth="1"/>
    <col min="12031" max="12031" width="12.6328125" style="1042" customWidth="1"/>
    <col min="12032" max="12278" width="11.453125" style="1042"/>
    <col min="12279" max="12279" width="3.453125" style="1042" bestFit="1" customWidth="1"/>
    <col min="12280" max="12280" width="79.6328125" style="1042" customWidth="1"/>
    <col min="12281" max="12281" width="17.453125" style="1042" customWidth="1"/>
    <col min="12282" max="12282" width="15.6328125" style="1042" customWidth="1"/>
    <col min="12283" max="12283" width="19.453125" style="1042" customWidth="1"/>
    <col min="12284" max="12284" width="15" style="1042" customWidth="1"/>
    <col min="12285" max="12285" width="15.08984375" style="1042" customWidth="1"/>
    <col min="12286" max="12286" width="14.08984375" style="1042" customWidth="1"/>
    <col min="12287" max="12287" width="12.6328125" style="1042" customWidth="1"/>
    <col min="12288" max="12534" width="11.453125" style="1042"/>
    <col min="12535" max="12535" width="3.453125" style="1042" bestFit="1" customWidth="1"/>
    <col min="12536" max="12536" width="79.6328125" style="1042" customWidth="1"/>
    <col min="12537" max="12537" width="17.453125" style="1042" customWidth="1"/>
    <col min="12538" max="12538" width="15.6328125" style="1042" customWidth="1"/>
    <col min="12539" max="12539" width="19.453125" style="1042" customWidth="1"/>
    <col min="12540" max="12540" width="15" style="1042" customWidth="1"/>
    <col min="12541" max="12541" width="15.08984375" style="1042" customWidth="1"/>
    <col min="12542" max="12542" width="14.08984375" style="1042" customWidth="1"/>
    <col min="12543" max="12543" width="12.6328125" style="1042" customWidth="1"/>
    <col min="12544" max="12790" width="11.453125" style="1042"/>
    <col min="12791" max="12791" width="3.453125" style="1042" bestFit="1" customWidth="1"/>
    <col min="12792" max="12792" width="79.6328125" style="1042" customWidth="1"/>
    <col min="12793" max="12793" width="17.453125" style="1042" customWidth="1"/>
    <col min="12794" max="12794" width="15.6328125" style="1042" customWidth="1"/>
    <col min="12795" max="12795" width="19.453125" style="1042" customWidth="1"/>
    <col min="12796" max="12796" width="15" style="1042" customWidth="1"/>
    <col min="12797" max="12797" width="15.08984375" style="1042" customWidth="1"/>
    <col min="12798" max="12798" width="14.08984375" style="1042" customWidth="1"/>
    <col min="12799" max="12799" width="12.6328125" style="1042" customWidth="1"/>
    <col min="12800" max="13046" width="11.453125" style="1042"/>
    <col min="13047" max="13047" width="3.453125" style="1042" bestFit="1" customWidth="1"/>
    <col min="13048" max="13048" width="79.6328125" style="1042" customWidth="1"/>
    <col min="13049" max="13049" width="17.453125" style="1042" customWidth="1"/>
    <col min="13050" max="13050" width="15.6328125" style="1042" customWidth="1"/>
    <col min="13051" max="13051" width="19.453125" style="1042" customWidth="1"/>
    <col min="13052" max="13052" width="15" style="1042" customWidth="1"/>
    <col min="13053" max="13053" width="15.08984375" style="1042" customWidth="1"/>
    <col min="13054" max="13054" width="14.08984375" style="1042" customWidth="1"/>
    <col min="13055" max="13055" width="12.6328125" style="1042" customWidth="1"/>
    <col min="13056" max="13302" width="11.453125" style="1042"/>
    <col min="13303" max="13303" width="3.453125" style="1042" bestFit="1" customWidth="1"/>
    <col min="13304" max="13304" width="79.6328125" style="1042" customWidth="1"/>
    <col min="13305" max="13305" width="17.453125" style="1042" customWidth="1"/>
    <col min="13306" max="13306" width="15.6328125" style="1042" customWidth="1"/>
    <col min="13307" max="13307" width="19.453125" style="1042" customWidth="1"/>
    <col min="13308" max="13308" width="15" style="1042" customWidth="1"/>
    <col min="13309" max="13309" width="15.08984375" style="1042" customWidth="1"/>
    <col min="13310" max="13310" width="14.08984375" style="1042" customWidth="1"/>
    <col min="13311" max="13311" width="12.6328125" style="1042" customWidth="1"/>
    <col min="13312" max="13558" width="11.453125" style="1042"/>
    <col min="13559" max="13559" width="3.453125" style="1042" bestFit="1" customWidth="1"/>
    <col min="13560" max="13560" width="79.6328125" style="1042" customWidth="1"/>
    <col min="13561" max="13561" width="17.453125" style="1042" customWidth="1"/>
    <col min="13562" max="13562" width="15.6328125" style="1042" customWidth="1"/>
    <col min="13563" max="13563" width="19.453125" style="1042" customWidth="1"/>
    <col min="13564" max="13564" width="15" style="1042" customWidth="1"/>
    <col min="13565" max="13565" width="15.08984375" style="1042" customWidth="1"/>
    <col min="13566" max="13566" width="14.08984375" style="1042" customWidth="1"/>
    <col min="13567" max="13567" width="12.6328125" style="1042" customWidth="1"/>
    <col min="13568" max="13814" width="11.453125" style="1042"/>
    <col min="13815" max="13815" width="3.453125" style="1042" bestFit="1" customWidth="1"/>
    <col min="13816" max="13816" width="79.6328125" style="1042" customWidth="1"/>
    <col min="13817" max="13817" width="17.453125" style="1042" customWidth="1"/>
    <col min="13818" max="13818" width="15.6328125" style="1042" customWidth="1"/>
    <col min="13819" max="13819" width="19.453125" style="1042" customWidth="1"/>
    <col min="13820" max="13820" width="15" style="1042" customWidth="1"/>
    <col min="13821" max="13821" width="15.08984375" style="1042" customWidth="1"/>
    <col min="13822" max="13822" width="14.08984375" style="1042" customWidth="1"/>
    <col min="13823" max="13823" width="12.6328125" style="1042" customWidth="1"/>
    <col min="13824" max="14070" width="11.453125" style="1042"/>
    <col min="14071" max="14071" width="3.453125" style="1042" bestFit="1" customWidth="1"/>
    <col min="14072" max="14072" width="79.6328125" style="1042" customWidth="1"/>
    <col min="14073" max="14073" width="17.453125" style="1042" customWidth="1"/>
    <col min="14074" max="14074" width="15.6328125" style="1042" customWidth="1"/>
    <col min="14075" max="14075" width="19.453125" style="1042" customWidth="1"/>
    <col min="14076" max="14076" width="15" style="1042" customWidth="1"/>
    <col min="14077" max="14077" width="15.08984375" style="1042" customWidth="1"/>
    <col min="14078" max="14078" width="14.08984375" style="1042" customWidth="1"/>
    <col min="14079" max="14079" width="12.6328125" style="1042" customWidth="1"/>
    <col min="14080" max="14326" width="11.453125" style="1042"/>
    <col min="14327" max="14327" width="3.453125" style="1042" bestFit="1" customWidth="1"/>
    <col min="14328" max="14328" width="79.6328125" style="1042" customWidth="1"/>
    <col min="14329" max="14329" width="17.453125" style="1042" customWidth="1"/>
    <col min="14330" max="14330" width="15.6328125" style="1042" customWidth="1"/>
    <col min="14331" max="14331" width="19.453125" style="1042" customWidth="1"/>
    <col min="14332" max="14332" width="15" style="1042" customWidth="1"/>
    <col min="14333" max="14333" width="15.08984375" style="1042" customWidth="1"/>
    <col min="14334" max="14334" width="14.08984375" style="1042" customWidth="1"/>
    <col min="14335" max="14335" width="12.6328125" style="1042" customWidth="1"/>
    <col min="14336" max="14582" width="11.453125" style="1042"/>
    <col min="14583" max="14583" width="3.453125" style="1042" bestFit="1" customWidth="1"/>
    <col min="14584" max="14584" width="79.6328125" style="1042" customWidth="1"/>
    <col min="14585" max="14585" width="17.453125" style="1042" customWidth="1"/>
    <col min="14586" max="14586" width="15.6328125" style="1042" customWidth="1"/>
    <col min="14587" max="14587" width="19.453125" style="1042" customWidth="1"/>
    <col min="14588" max="14588" width="15" style="1042" customWidth="1"/>
    <col min="14589" max="14589" width="15.08984375" style="1042" customWidth="1"/>
    <col min="14590" max="14590" width="14.08984375" style="1042" customWidth="1"/>
    <col min="14591" max="14591" width="12.6328125" style="1042" customWidth="1"/>
    <col min="14592" max="14838" width="11.453125" style="1042"/>
    <col min="14839" max="14839" width="3.453125" style="1042" bestFit="1" customWidth="1"/>
    <col min="14840" max="14840" width="79.6328125" style="1042" customWidth="1"/>
    <col min="14841" max="14841" width="17.453125" style="1042" customWidth="1"/>
    <col min="14842" max="14842" width="15.6328125" style="1042" customWidth="1"/>
    <col min="14843" max="14843" width="19.453125" style="1042" customWidth="1"/>
    <col min="14844" max="14844" width="15" style="1042" customWidth="1"/>
    <col min="14845" max="14845" width="15.08984375" style="1042" customWidth="1"/>
    <col min="14846" max="14846" width="14.08984375" style="1042" customWidth="1"/>
    <col min="14847" max="14847" width="12.6328125" style="1042" customWidth="1"/>
    <col min="14848" max="15094" width="11.453125" style="1042"/>
    <col min="15095" max="15095" width="3.453125" style="1042" bestFit="1" customWidth="1"/>
    <col min="15096" max="15096" width="79.6328125" style="1042" customWidth="1"/>
    <col min="15097" max="15097" width="17.453125" style="1042" customWidth="1"/>
    <col min="15098" max="15098" width="15.6328125" style="1042" customWidth="1"/>
    <col min="15099" max="15099" width="19.453125" style="1042" customWidth="1"/>
    <col min="15100" max="15100" width="15" style="1042" customWidth="1"/>
    <col min="15101" max="15101" width="15.08984375" style="1042" customWidth="1"/>
    <col min="15102" max="15102" width="14.08984375" style="1042" customWidth="1"/>
    <col min="15103" max="15103" width="12.6328125" style="1042" customWidth="1"/>
    <col min="15104" max="15350" width="11.453125" style="1042"/>
    <col min="15351" max="15351" width="3.453125" style="1042" bestFit="1" customWidth="1"/>
    <col min="15352" max="15352" width="79.6328125" style="1042" customWidth="1"/>
    <col min="15353" max="15353" width="17.453125" style="1042" customWidth="1"/>
    <col min="15354" max="15354" width="15.6328125" style="1042" customWidth="1"/>
    <col min="15355" max="15355" width="19.453125" style="1042" customWidth="1"/>
    <col min="15356" max="15356" width="15" style="1042" customWidth="1"/>
    <col min="15357" max="15357" width="15.08984375" style="1042" customWidth="1"/>
    <col min="15358" max="15358" width="14.08984375" style="1042" customWidth="1"/>
    <col min="15359" max="15359" width="12.6328125" style="1042" customWidth="1"/>
    <col min="15360" max="15606" width="11.453125" style="1042"/>
    <col min="15607" max="15607" width="3.453125" style="1042" bestFit="1" customWidth="1"/>
    <col min="15608" max="15608" width="79.6328125" style="1042" customWidth="1"/>
    <col min="15609" max="15609" width="17.453125" style="1042" customWidth="1"/>
    <col min="15610" max="15610" width="15.6328125" style="1042" customWidth="1"/>
    <col min="15611" max="15611" width="19.453125" style="1042" customWidth="1"/>
    <col min="15612" max="15612" width="15" style="1042" customWidth="1"/>
    <col min="15613" max="15613" width="15.08984375" style="1042" customWidth="1"/>
    <col min="15614" max="15614" width="14.08984375" style="1042" customWidth="1"/>
    <col min="15615" max="15615" width="12.6328125" style="1042" customWidth="1"/>
    <col min="15616" max="15862" width="11.453125" style="1042"/>
    <col min="15863" max="15863" width="3.453125" style="1042" bestFit="1" customWidth="1"/>
    <col min="15864" max="15864" width="79.6328125" style="1042" customWidth="1"/>
    <col min="15865" max="15865" width="17.453125" style="1042" customWidth="1"/>
    <col min="15866" max="15866" width="15.6328125" style="1042" customWidth="1"/>
    <col min="15867" max="15867" width="19.453125" style="1042" customWidth="1"/>
    <col min="15868" max="15868" width="15" style="1042" customWidth="1"/>
    <col min="15869" max="15869" width="15.08984375" style="1042" customWidth="1"/>
    <col min="15870" max="15870" width="14.08984375" style="1042" customWidth="1"/>
    <col min="15871" max="15871" width="12.6328125" style="1042" customWidth="1"/>
    <col min="15872" max="16118" width="11.453125" style="1042"/>
    <col min="16119" max="16119" width="3.453125" style="1042" bestFit="1" customWidth="1"/>
    <col min="16120" max="16120" width="79.6328125" style="1042" customWidth="1"/>
    <col min="16121" max="16121" width="17.453125" style="1042" customWidth="1"/>
    <col min="16122" max="16122" width="15.6328125" style="1042" customWidth="1"/>
    <col min="16123" max="16123" width="19.453125" style="1042" customWidth="1"/>
    <col min="16124" max="16124" width="15" style="1042" customWidth="1"/>
    <col min="16125" max="16125" width="15.08984375" style="1042" customWidth="1"/>
    <col min="16126" max="16126" width="14.08984375" style="1042" customWidth="1"/>
    <col min="16127" max="16127" width="12.6328125" style="1042" customWidth="1"/>
    <col min="16128" max="16384" width="11.453125" style="1042"/>
  </cols>
  <sheetData>
    <row r="1" spans="1:11" ht="15" customHeight="1">
      <c r="A1" s="1034"/>
      <c r="B1" s="1035"/>
      <c r="C1" s="1036" t="s">
        <v>815</v>
      </c>
      <c r="D1" s="1037"/>
      <c r="E1" s="1035"/>
      <c r="F1" s="527"/>
      <c r="G1" s="1038"/>
      <c r="H1" s="1039"/>
      <c r="I1" s="1040"/>
      <c r="J1" s="1041" t="s">
        <v>1480</v>
      </c>
    </row>
    <row r="2" spans="1:11" ht="10.25" customHeight="1"/>
    <row r="3" spans="1:11" ht="13.5" customHeight="1">
      <c r="A3" s="2157" t="str">
        <f>+'PPTO INTERVENTORIA'!B7</f>
        <v>INTERVENTORIA PARA EL MEJORAMIENTO Y ADECUACIÓN DE LAS VIAS URBANAS DEL MUNICIPIO DE SANTA FE DE ANTIOQUIA</v>
      </c>
      <c r="B3" s="2157"/>
      <c r="C3" s="2157"/>
      <c r="D3" s="2157"/>
      <c r="E3" s="1047"/>
      <c r="F3" s="1048"/>
      <c r="G3" s="1048"/>
      <c r="H3" s="1049"/>
      <c r="I3" s="1048"/>
    </row>
    <row r="4" spans="1:11" ht="15.75" customHeight="1">
      <c r="A4" s="2157"/>
      <c r="B4" s="2157"/>
      <c r="C4" s="2157"/>
      <c r="D4" s="2157"/>
      <c r="E4" s="1047"/>
      <c r="F4" s="1048"/>
      <c r="G4" s="1048"/>
      <c r="H4" s="1049"/>
      <c r="I4" s="1048"/>
    </row>
    <row r="5" spans="1:11" ht="49" customHeight="1">
      <c r="A5" s="2157"/>
      <c r="B5" s="2157"/>
      <c r="C5" s="2157"/>
      <c r="D5" s="2157"/>
      <c r="E5" s="1050"/>
      <c r="F5" s="2160" t="s">
        <v>1481</v>
      </c>
      <c r="G5" s="2161"/>
      <c r="H5" s="2162"/>
      <c r="I5" s="2162"/>
      <c r="J5" s="2162"/>
      <c r="K5" s="1046"/>
    </row>
    <row r="6" spans="1:11" ht="22.5" customHeight="1" thickBot="1">
      <c r="A6" s="2163" t="s">
        <v>1482</v>
      </c>
      <c r="B6" s="2164"/>
      <c r="C6" s="2164"/>
      <c r="D6" s="2165"/>
      <c r="E6" s="1051"/>
      <c r="K6" s="1046"/>
    </row>
    <row r="7" spans="1:11" ht="16.5" customHeight="1">
      <c r="A7" s="1052">
        <v>1</v>
      </c>
      <c r="B7" s="1053" t="s">
        <v>1483</v>
      </c>
      <c r="C7" s="1053"/>
      <c r="D7" s="1054">
        <v>1</v>
      </c>
      <c r="E7" s="1051"/>
      <c r="F7" s="1055" t="s">
        <v>1484</v>
      </c>
      <c r="G7" s="1046"/>
      <c r="I7" s="1056" t="s">
        <v>1485</v>
      </c>
      <c r="K7" s="1046"/>
    </row>
    <row r="8" spans="1:11" ht="16.5" customHeight="1">
      <c r="A8" s="1057"/>
      <c r="B8" s="1058" t="s">
        <v>1486</v>
      </c>
      <c r="C8" s="1058"/>
      <c r="D8" s="1059">
        <f>+D7</f>
        <v>1</v>
      </c>
      <c r="E8" s="1051"/>
      <c r="F8" s="2166">
        <v>159800000</v>
      </c>
      <c r="G8" s="1046"/>
      <c r="I8" s="1046"/>
      <c r="K8" s="1046"/>
    </row>
    <row r="9" spans="1:11" ht="18" customHeight="1">
      <c r="A9" s="1060"/>
      <c r="B9" s="1061"/>
      <c r="C9" s="1061"/>
      <c r="D9" s="1062"/>
      <c r="E9" s="1051"/>
      <c r="F9" s="2167"/>
      <c r="G9" s="1046"/>
      <c r="H9" s="1063" t="s">
        <v>1487</v>
      </c>
      <c r="I9" s="1064">
        <v>3</v>
      </c>
      <c r="J9" s="1065"/>
      <c r="K9" s="1046"/>
    </row>
    <row r="10" spans="1:11" ht="23.5" customHeight="1">
      <c r="A10" s="1066">
        <v>2</v>
      </c>
      <c r="B10" s="1067" t="s">
        <v>1488</v>
      </c>
      <c r="C10" s="1067"/>
      <c r="D10" s="1068"/>
      <c r="E10" s="1051"/>
      <c r="F10" s="1069" t="s">
        <v>1753</v>
      </c>
      <c r="G10" s="1070">
        <v>1423500</v>
      </c>
      <c r="I10" s="1071"/>
      <c r="J10" s="1065"/>
      <c r="K10" s="1046"/>
    </row>
    <row r="11" spans="1:11" ht="17.25" customHeight="1">
      <c r="A11" s="1066" t="s">
        <v>12</v>
      </c>
      <c r="B11" s="1067" t="s">
        <v>1489</v>
      </c>
      <c r="C11" s="1067"/>
      <c r="D11" s="1068"/>
      <c r="E11" s="1051"/>
      <c r="F11" s="1072"/>
      <c r="G11" s="1072"/>
      <c r="I11" s="1071"/>
      <c r="J11" s="1065"/>
      <c r="K11" s="1046"/>
    </row>
    <row r="12" spans="1:11" ht="20.25" customHeight="1">
      <c r="A12" s="1073"/>
      <c r="B12" s="1074" t="s">
        <v>1490</v>
      </c>
      <c r="C12" s="1074"/>
      <c r="D12" s="1075">
        <v>8.3299999999999999E-2</v>
      </c>
      <c r="E12" s="2168" t="s">
        <v>1491</v>
      </c>
      <c r="F12" s="1076" t="s">
        <v>1492</v>
      </c>
      <c r="G12" s="1077">
        <f ca="1">+'PPTO INTERVENTORIA'!H72</f>
        <v>33952785</v>
      </c>
      <c r="H12" s="1078"/>
      <c r="I12" s="1079"/>
      <c r="K12" s="1080"/>
    </row>
    <row r="13" spans="1:11" ht="20.25" customHeight="1">
      <c r="A13" s="1073"/>
      <c r="B13" s="1074" t="s">
        <v>1493</v>
      </c>
      <c r="C13" s="1074"/>
      <c r="D13" s="1075">
        <v>8.3299999999999999E-2</v>
      </c>
      <c r="E13" s="2168"/>
      <c r="F13" s="1081" t="s">
        <v>1494</v>
      </c>
      <c r="G13" s="1077">
        <f ca="1">+'PPTO INTERVENTORIA'!H73</f>
        <v>6451029.1500000004</v>
      </c>
      <c r="H13" s="1082"/>
      <c r="I13" s="1082"/>
      <c r="K13" s="1080"/>
    </row>
    <row r="14" spans="1:11" ht="20.25" customHeight="1">
      <c r="A14" s="1073"/>
      <c r="B14" s="1074" t="s">
        <v>1495</v>
      </c>
      <c r="C14" s="1074"/>
      <c r="D14" s="1075">
        <v>0.01</v>
      </c>
      <c r="E14" s="2168"/>
      <c r="F14" s="1081" t="s">
        <v>1496</v>
      </c>
      <c r="G14" s="1077">
        <f ca="1">+G12+G13</f>
        <v>40403814.149999999</v>
      </c>
      <c r="H14" s="1082"/>
      <c r="I14" s="1082"/>
      <c r="K14" s="1080"/>
    </row>
    <row r="15" spans="1:11" ht="20.25" customHeight="1">
      <c r="A15" s="1066" t="s">
        <v>1497</v>
      </c>
      <c r="B15" s="1067" t="s">
        <v>1498</v>
      </c>
      <c r="C15" s="1067"/>
      <c r="D15" s="1068"/>
      <c r="E15" s="2168"/>
      <c r="F15" s="1083"/>
      <c r="G15" s="1084"/>
      <c r="H15" s="1082"/>
      <c r="I15" s="1082"/>
      <c r="J15" s="1046"/>
      <c r="K15" s="1080"/>
    </row>
    <row r="16" spans="1:11" ht="20.25" customHeight="1">
      <c r="A16" s="1073"/>
      <c r="B16" s="1074" t="s">
        <v>1499</v>
      </c>
      <c r="C16" s="1074"/>
      <c r="D16" s="1085">
        <v>8.5000000000000006E-2</v>
      </c>
      <c r="E16" s="2168"/>
      <c r="F16" s="1046"/>
      <c r="I16" s="1046"/>
      <c r="J16" s="1046"/>
      <c r="K16" s="1080"/>
    </row>
    <row r="17" spans="1:11" ht="20.25" customHeight="1">
      <c r="A17" s="1073"/>
      <c r="B17" s="1074" t="s">
        <v>1500</v>
      </c>
      <c r="C17" s="1074"/>
      <c r="D17" s="1075">
        <v>0.12</v>
      </c>
      <c r="E17" s="2168"/>
      <c r="F17" s="1082"/>
      <c r="G17" s="1086"/>
      <c r="H17" s="1087"/>
      <c r="I17" s="1046"/>
      <c r="J17" s="1046"/>
      <c r="K17" s="1080"/>
    </row>
    <row r="18" spans="1:11" ht="20.25" customHeight="1">
      <c r="A18" s="1073"/>
      <c r="B18" s="1074" t="s">
        <v>1501</v>
      </c>
      <c r="C18" s="1074"/>
      <c r="D18" s="1075">
        <v>6.9599999999999995E-2</v>
      </c>
      <c r="E18" s="2168"/>
      <c r="F18" s="1082"/>
      <c r="G18" s="1086"/>
      <c r="H18" s="1088"/>
      <c r="I18" s="1046"/>
      <c r="J18" s="1046"/>
      <c r="K18" s="1080"/>
    </row>
    <row r="19" spans="1:11" ht="20.25" customHeight="1">
      <c r="A19" s="1066" t="s">
        <v>1502</v>
      </c>
      <c r="B19" s="1067" t="s">
        <v>1503</v>
      </c>
      <c r="C19" s="1067"/>
      <c r="D19" s="1068"/>
      <c r="E19" s="2168"/>
      <c r="F19" s="1082"/>
      <c r="G19" s="1086"/>
      <c r="H19" s="1088"/>
      <c r="I19" s="1046"/>
      <c r="J19" s="1046"/>
      <c r="K19" s="1080"/>
    </row>
    <row r="20" spans="1:11" ht="20.25" customHeight="1">
      <c r="A20" s="1073"/>
      <c r="B20" s="1074" t="s">
        <v>1504</v>
      </c>
      <c r="C20" s="1074"/>
      <c r="D20" s="1085">
        <v>0</v>
      </c>
      <c r="E20" s="2168"/>
      <c r="F20" s="2169"/>
      <c r="G20" s="1086"/>
      <c r="H20" s="1088"/>
      <c r="I20" s="1046"/>
      <c r="J20" s="1046"/>
      <c r="K20" s="1080"/>
    </row>
    <row r="21" spans="1:11" ht="20.25" customHeight="1">
      <c r="A21" s="1073"/>
      <c r="B21" s="1074" t="s">
        <v>1505</v>
      </c>
      <c r="C21" s="1074"/>
      <c r="D21" s="1085">
        <v>0</v>
      </c>
      <c r="E21" s="2168"/>
      <c r="F21" s="2169"/>
      <c r="G21" s="1086"/>
      <c r="H21" s="1088"/>
      <c r="I21" s="1046"/>
      <c r="J21" s="1046"/>
      <c r="K21" s="1080"/>
    </row>
    <row r="22" spans="1:11" ht="20.25" customHeight="1">
      <c r="A22" s="1073"/>
      <c r="B22" s="1074" t="s">
        <v>1506</v>
      </c>
      <c r="C22" s="1074"/>
      <c r="D22" s="1075">
        <v>0.04</v>
      </c>
      <c r="E22" s="2168"/>
      <c r="F22" s="1046"/>
      <c r="G22" s="1086"/>
      <c r="H22" s="1088"/>
      <c r="I22" s="1046"/>
      <c r="J22" s="1046"/>
      <c r="K22" s="1080"/>
    </row>
    <row r="23" spans="1:11" ht="20.25" customHeight="1">
      <c r="A23" s="1066" t="s">
        <v>1507</v>
      </c>
      <c r="B23" s="1067" t="s">
        <v>1508</v>
      </c>
      <c r="C23" s="1067"/>
      <c r="D23" s="1068"/>
      <c r="E23" s="1089"/>
      <c r="F23" s="1090"/>
      <c r="G23" s="1091"/>
      <c r="H23" s="1088"/>
      <c r="I23" s="1046"/>
      <c r="J23" s="1046"/>
      <c r="K23" s="1080"/>
    </row>
    <row r="24" spans="1:11" ht="20.25" customHeight="1">
      <c r="A24" s="1073"/>
      <c r="B24" s="1074" t="s">
        <v>1509</v>
      </c>
      <c r="C24" s="1074"/>
      <c r="D24" s="1075">
        <v>4.1700000000000001E-2</v>
      </c>
      <c r="E24" s="1089"/>
      <c r="F24" s="1090"/>
      <c r="G24" s="1091"/>
      <c r="H24" s="1088"/>
      <c r="I24" s="1046"/>
      <c r="J24" s="1046"/>
      <c r="K24" s="1080"/>
    </row>
    <row r="25" spans="1:11" ht="20.25" customHeight="1">
      <c r="A25" s="1066" t="s">
        <v>1510</v>
      </c>
      <c r="B25" s="1067" t="s">
        <v>1511</v>
      </c>
      <c r="C25" s="1067"/>
      <c r="D25" s="1068"/>
      <c r="E25" s="1089"/>
      <c r="F25" s="1090"/>
      <c r="G25" s="1091"/>
      <c r="H25" s="1088"/>
      <c r="I25" s="1046"/>
      <c r="J25" s="1046"/>
      <c r="K25" s="1080"/>
    </row>
    <row r="26" spans="1:11" ht="20.25" customHeight="1">
      <c r="A26" s="1073"/>
      <c r="B26" s="1074" t="s">
        <v>1368</v>
      </c>
      <c r="C26" s="1074"/>
      <c r="D26" s="1092">
        <v>7.4000000000000003E-3</v>
      </c>
      <c r="E26" s="1089"/>
      <c r="F26" s="1083"/>
      <c r="G26" s="1088"/>
      <c r="H26" s="1088"/>
      <c r="I26" s="1046"/>
      <c r="J26" s="1046"/>
      <c r="K26" s="1080"/>
    </row>
    <row r="27" spans="1:11" ht="20.25" customHeight="1">
      <c r="A27" s="1073"/>
      <c r="B27" s="1074" t="s">
        <v>1512</v>
      </c>
      <c r="C27" s="1074"/>
      <c r="D27" s="1092">
        <v>1.52E-2</v>
      </c>
      <c r="E27" s="1089"/>
      <c r="F27" s="1083"/>
      <c r="G27" s="1091"/>
      <c r="H27" s="1088"/>
      <c r="I27" s="1046"/>
      <c r="J27" s="1046"/>
      <c r="K27" s="1080"/>
    </row>
    <row r="28" spans="1:11" ht="20.25" customHeight="1">
      <c r="A28" s="1073"/>
      <c r="B28" s="1074" t="s">
        <v>1513</v>
      </c>
      <c r="C28" s="1074"/>
      <c r="D28" s="1092">
        <v>5.5999999999999999E-3</v>
      </c>
      <c r="E28" s="1089"/>
      <c r="F28" s="1083"/>
      <c r="G28" s="1091"/>
      <c r="H28" s="1088"/>
      <c r="I28" s="1046"/>
      <c r="J28" s="1046"/>
      <c r="K28" s="1080"/>
    </row>
    <row r="29" spans="1:11" ht="20.25" customHeight="1">
      <c r="A29" s="1057"/>
      <c r="B29" s="1058" t="s">
        <v>1514</v>
      </c>
      <c r="C29" s="1058"/>
      <c r="D29" s="1059">
        <f>SUM(D12:D28)</f>
        <v>0.56109999999999993</v>
      </c>
      <c r="E29" s="1089"/>
      <c r="F29" s="1090"/>
      <c r="G29" s="1091"/>
      <c r="H29" s="1088"/>
      <c r="I29" s="1046"/>
      <c r="J29" s="1046"/>
      <c r="K29" s="1080"/>
    </row>
    <row r="30" spans="1:11" ht="20.25" customHeight="1">
      <c r="A30" s="1060"/>
      <c r="B30" s="1093"/>
      <c r="C30" s="1093"/>
      <c r="D30" s="1094"/>
      <c r="E30" s="1089"/>
      <c r="F30" s="1083"/>
      <c r="G30" s="1091"/>
      <c r="H30" s="1088"/>
      <c r="I30" s="1046"/>
      <c r="J30" s="1046"/>
      <c r="K30" s="1080"/>
    </row>
    <row r="31" spans="1:11" ht="20.25" customHeight="1">
      <c r="A31" s="1066">
        <v>3</v>
      </c>
      <c r="B31" s="1067" t="s">
        <v>1515</v>
      </c>
      <c r="C31" s="1067"/>
      <c r="D31" s="1068"/>
      <c r="E31" s="1089"/>
      <c r="F31" s="1082" t="s">
        <v>1516</v>
      </c>
      <c r="G31" s="1095"/>
      <c r="H31" s="1096"/>
      <c r="I31" s="1097" t="s">
        <v>1517</v>
      </c>
      <c r="K31" s="1080"/>
    </row>
    <row r="32" spans="1:11" ht="74.25" customHeight="1">
      <c r="A32" s="1073"/>
      <c r="B32" s="1098" t="str">
        <f>+B50</f>
        <v>Costos oficina (arrendamiento,administración y servicios púlbicos, mantenimiento de oficinas, aseo, vigilancia, seguros de robo e incendio, alquiler (o depreciación)  y mantenimiento de vehículos de administración y gerencia,   asociaciones profesionales, documentación técnica, revistas, representación y promoción, preparación y edición de propuestas, gastos de viaje, gastos de representación)</v>
      </c>
      <c r="C32" s="1099"/>
      <c r="D32" s="1100">
        <f>IFERROR(H32/$F$8,0)</f>
        <v>1.0689612015018774E-2</v>
      </c>
      <c r="E32" s="1051"/>
      <c r="F32" s="1101">
        <f>IFERROR(D32*$F$8,0)</f>
        <v>1708200</v>
      </c>
      <c r="G32" s="1102"/>
      <c r="H32" s="1103">
        <f>+$F50*$G$10*$I$9</f>
        <v>1708200</v>
      </c>
      <c r="I32" s="1104">
        <f>IFERROR($H32/$I$9,0)</f>
        <v>569400</v>
      </c>
      <c r="J32" s="1103">
        <f>IFERROR($D32*$F$8,0)</f>
        <v>1708200</v>
      </c>
      <c r="K32" s="1046"/>
    </row>
    <row r="33" spans="1:11" ht="39" customHeight="1">
      <c r="A33" s="1073"/>
      <c r="B33" s="1098" t="str">
        <f>+B51</f>
        <v>Papelería de la oficina del consultor para uso del proyecto (cafetería y otros gastos funcionamiento</v>
      </c>
      <c r="C33" s="1099"/>
      <c r="D33" s="1100">
        <f>IFERROR(H33/$F$8,0)</f>
        <v>1.0689612015018777E-3</v>
      </c>
      <c r="E33" s="1051"/>
      <c r="F33" s="1101">
        <f>IFERROR(D33*$F$8,0)</f>
        <v>170820.00000000006</v>
      </c>
      <c r="G33" s="1102"/>
      <c r="H33" s="1103">
        <f>+$F51*$G$10*$I$9</f>
        <v>170820.00000000006</v>
      </c>
      <c r="I33" s="1104">
        <f>IFERROR($H33/$I$9,0)</f>
        <v>56940.000000000022</v>
      </c>
      <c r="J33" s="1103">
        <f>IFERROR($D33*$F$8,0)</f>
        <v>170820.00000000006</v>
      </c>
      <c r="K33" s="1046"/>
    </row>
    <row r="34" spans="1:11" ht="36.75" customHeight="1">
      <c r="A34" s="1073"/>
      <c r="B34" s="1098" t="str">
        <f>+B52</f>
        <v>Muebles y equipos de oficina, pago programas, sistematización  y actualización tecnológica, rack.</v>
      </c>
      <c r="C34" s="1099"/>
      <c r="D34" s="1100">
        <f>IFERROR(H34/$F$8,0)</f>
        <v>9.5349762202753437E-3</v>
      </c>
      <c r="E34" s="1051"/>
      <c r="F34" s="1101">
        <f>IFERROR(D34*$F$8,0)</f>
        <v>1523689.2</v>
      </c>
      <c r="G34" s="1105"/>
      <c r="H34" s="1103">
        <f>+$F52*$G$10*$I$9</f>
        <v>1523689.2</v>
      </c>
      <c r="I34" s="1104">
        <f>IFERROR($H34/$I$9,0)</f>
        <v>507896.39999999997</v>
      </c>
      <c r="J34" s="1103">
        <f>IFERROR($D34*$F$8,0)</f>
        <v>1523689.2</v>
      </c>
    </row>
    <row r="35" spans="1:11" ht="37.5" customHeight="1">
      <c r="A35" s="1073"/>
      <c r="B35" s="1098" t="str">
        <f>+B53</f>
        <v>Personal administrativo, técnico y no técnico, no facturable, entrenamiento de personal, capacitación y actualización técnica (cursos, seminarios, congresos).</v>
      </c>
      <c r="C35" s="1099"/>
      <c r="D35" s="1100">
        <f>IFERROR(H35/$F$8,0)</f>
        <v>8.639007634543179E-3</v>
      </c>
      <c r="E35" s="2159" t="s">
        <v>1518</v>
      </c>
      <c r="F35" s="1101">
        <f>IFERROR(D35*$F$8,0)</f>
        <v>1380513.42</v>
      </c>
      <c r="G35" s="1106"/>
      <c r="H35" s="1103">
        <f>IFERROR($F53*$G$10*$I$9,0)</f>
        <v>1380513.42</v>
      </c>
      <c r="I35" s="1104">
        <f>IFERROR($H35/$I$9,0)</f>
        <v>460171.13999999996</v>
      </c>
      <c r="J35" s="1103">
        <f>IFERROR($D35*$F$8,0)</f>
        <v>1380513.42</v>
      </c>
    </row>
    <row r="36" spans="1:11" ht="35.25" customHeight="1">
      <c r="A36" s="1073"/>
      <c r="B36" s="1098" t="str">
        <f>+B54</f>
        <v>Asesoría jurídica, contable, tributaria (revisoría fiscal) y médica</v>
      </c>
      <c r="C36" s="1099"/>
      <c r="D36" s="1100">
        <f>IFERROR(H36/$F$8,0)</f>
        <v>1.603441802252816E-3</v>
      </c>
      <c r="E36" s="2159"/>
      <c r="F36" s="1101">
        <f>IFERROR(D36*$F$8,0)</f>
        <v>256230</v>
      </c>
      <c r="G36" s="1107"/>
      <c r="H36" s="1103">
        <f>IFERROR($F54*$G$10*$I$9,0)</f>
        <v>256230</v>
      </c>
      <c r="I36" s="1104">
        <f>IFERROR($H36/$I$9,0)</f>
        <v>85410</v>
      </c>
      <c r="J36" s="1103">
        <f>IFERROR($D36*$F$8,0)</f>
        <v>256230</v>
      </c>
    </row>
    <row r="37" spans="1:11" ht="30.75" customHeight="1">
      <c r="A37" s="1057"/>
      <c r="B37" s="1108" t="s">
        <v>1519</v>
      </c>
      <c r="C37" s="1108"/>
      <c r="D37" s="1059">
        <f>SUM(D32:D36)</f>
        <v>3.1535998873591993E-2</v>
      </c>
      <c r="E37" s="2159"/>
    </row>
    <row r="38" spans="1:11" s="1110" customFormat="1" ht="30" customHeight="1">
      <c r="A38" s="1060"/>
      <c r="B38" s="1093"/>
      <c r="C38" s="1093"/>
      <c r="D38" s="1109"/>
      <c r="E38" s="2159"/>
    </row>
    <row r="39" spans="1:11" ht="39" customHeight="1">
      <c r="A39" s="1066">
        <v>4</v>
      </c>
      <c r="B39" s="1111" t="s">
        <v>1520</v>
      </c>
      <c r="C39" s="1111"/>
      <c r="D39" s="1112">
        <f ca="1">+'LEGALIZACION INTERV'!F17</f>
        <v>0.29138589552238808</v>
      </c>
      <c r="E39" s="2159"/>
    </row>
    <row r="40" spans="1:11" ht="28.5" customHeight="1">
      <c r="A40" s="1060"/>
      <c r="B40" s="1093"/>
      <c r="C40" s="1093"/>
      <c r="D40" s="1109"/>
      <c r="E40" s="1051"/>
      <c r="F40" s="1113"/>
      <c r="G40" s="1042"/>
      <c r="H40" s="1042"/>
      <c r="I40" s="1042"/>
    </row>
    <row r="41" spans="1:11" ht="64.5" customHeight="1">
      <c r="A41" s="1066">
        <v>5</v>
      </c>
      <c r="B41" s="1111" t="s">
        <v>1521</v>
      </c>
      <c r="C41" s="1111"/>
      <c r="D41" s="1112">
        <f ca="1">IF($I$9=0,0,(D8+D29+D37+D39)*0.1)</f>
        <v>0.18840218943959799</v>
      </c>
      <c r="E41" s="1051"/>
      <c r="F41" s="1088"/>
      <c r="G41" s="1042"/>
      <c r="H41" s="1042"/>
      <c r="I41" s="1042"/>
      <c r="K41" s="1114"/>
    </row>
    <row r="42" spans="1:11">
      <c r="A42" s="1060"/>
      <c r="B42" s="1093"/>
      <c r="C42" s="1093"/>
      <c r="D42" s="1109"/>
      <c r="E42" s="1115" t="s">
        <v>1522</v>
      </c>
      <c r="F42" s="1088"/>
      <c r="G42" s="1042"/>
      <c r="H42" s="1116"/>
      <c r="I42" s="1042"/>
      <c r="K42" s="1114"/>
    </row>
    <row r="43" spans="1:11">
      <c r="A43" s="1057"/>
      <c r="B43" s="1117" t="s">
        <v>1523</v>
      </c>
      <c r="C43" s="1117"/>
      <c r="D43" s="1118">
        <f ca="1">IF(I9=0,0,(D8+D29+D37+D39+D41))</f>
        <v>2.0724240838355779</v>
      </c>
      <c r="E43" s="1115"/>
      <c r="F43" s="1119"/>
      <c r="G43" s="1042"/>
      <c r="H43" s="1042"/>
      <c r="I43" s="1120"/>
      <c r="J43" s="1114"/>
      <c r="K43" s="1114"/>
    </row>
    <row r="44" spans="1:11" ht="75.5" thickBot="1">
      <c r="A44" s="1121"/>
      <c r="B44" s="1122" t="s">
        <v>1524</v>
      </c>
      <c r="C44" s="1122"/>
      <c r="D44" s="1123">
        <f ca="1">ROUND((D43),2)</f>
        <v>2.0699999999999998</v>
      </c>
      <c r="E44" s="1124"/>
      <c r="F44" s="1125" t="s">
        <v>1525</v>
      </c>
      <c r="G44" s="1042"/>
      <c r="H44" s="1042"/>
      <c r="I44" s="1042"/>
    </row>
    <row r="45" spans="1:11">
      <c r="A45" s="1126"/>
      <c r="B45" s="1127"/>
      <c r="C45" s="1127"/>
      <c r="D45" s="1128"/>
      <c r="E45" s="1129"/>
      <c r="H45" s="1044"/>
    </row>
    <row r="46" spans="1:11">
      <c r="A46" s="1133"/>
      <c r="C46" s="1134"/>
      <c r="F46" s="1042"/>
      <c r="G46" s="1042"/>
      <c r="H46" s="1042"/>
      <c r="I46" s="1042"/>
    </row>
    <row r="47" spans="1:11">
      <c r="B47" s="1135"/>
      <c r="C47" s="1135"/>
      <c r="D47" s="1136"/>
      <c r="E47" s="1136"/>
      <c r="F47" s="1137"/>
      <c r="G47" s="1137"/>
      <c r="H47" s="1137"/>
      <c r="I47" s="1137"/>
      <c r="J47" s="1138"/>
    </row>
    <row r="48" spans="1:11">
      <c r="B48" s="1139"/>
      <c r="C48" s="1139"/>
      <c r="D48" s="1140"/>
      <c r="E48" s="1140"/>
      <c r="G48" s="1042"/>
      <c r="H48" s="1042"/>
      <c r="I48" s="1042"/>
    </row>
    <row r="49" spans="1:11" ht="42">
      <c r="B49" s="1141" t="s">
        <v>228</v>
      </c>
      <c r="C49" s="1142" t="s">
        <v>1526</v>
      </c>
      <c r="D49" s="1142" t="s">
        <v>1527</v>
      </c>
      <c r="E49" s="1142" t="s">
        <v>1528</v>
      </c>
      <c r="F49" s="1143" t="s">
        <v>1529</v>
      </c>
      <c r="G49" s="1143" t="s">
        <v>1530</v>
      </c>
    </row>
    <row r="50" spans="1:11" ht="122.25" customHeight="1">
      <c r="B50" s="1144" t="s">
        <v>1531</v>
      </c>
      <c r="C50" s="1145" t="s">
        <v>1532</v>
      </c>
      <c r="D50" s="1146">
        <v>2</v>
      </c>
      <c r="E50" s="1147">
        <v>0.2</v>
      </c>
      <c r="F50" s="1148">
        <f t="shared" ref="F50:F54" si="0">+D50*E50</f>
        <v>0.4</v>
      </c>
      <c r="G50" s="1149" t="s">
        <v>1533</v>
      </c>
    </row>
    <row r="51" spans="1:11" ht="99" customHeight="1">
      <c r="B51" s="1144" t="s">
        <v>1534</v>
      </c>
      <c r="C51" s="1145" t="s">
        <v>1535</v>
      </c>
      <c r="D51" s="1146">
        <v>0.2</v>
      </c>
      <c r="E51" s="1147">
        <v>0.2</v>
      </c>
      <c r="F51" s="1148">
        <f t="shared" si="0"/>
        <v>4.0000000000000008E-2</v>
      </c>
      <c r="G51" s="1149" t="s">
        <v>1536</v>
      </c>
    </row>
    <row r="52" spans="1:11" ht="132.75" customHeight="1">
      <c r="B52" s="1144" t="s">
        <v>1537</v>
      </c>
      <c r="C52" s="1145" t="s">
        <v>1535</v>
      </c>
      <c r="D52" s="1146">
        <f>IFERROR(I83/$G$10/$G$61,0)</f>
        <v>1.7839704952581663</v>
      </c>
      <c r="E52" s="1147">
        <v>0.2</v>
      </c>
      <c r="F52" s="1148">
        <f t="shared" si="0"/>
        <v>0.35679409905163328</v>
      </c>
      <c r="G52" s="1150" t="s">
        <v>1538</v>
      </c>
    </row>
    <row r="53" spans="1:11" ht="132.75" customHeight="1">
      <c r="B53" s="1099" t="s">
        <v>1539</v>
      </c>
      <c r="C53" s="1151" t="s">
        <v>1535</v>
      </c>
      <c r="D53" s="1146">
        <f>IFERROR(I98/$G$10/$I$9,0)</f>
        <v>1.6163369863013699</v>
      </c>
      <c r="E53" s="1147">
        <v>0.2</v>
      </c>
      <c r="F53" s="1148">
        <f t="shared" si="0"/>
        <v>0.32326739726027398</v>
      </c>
      <c r="G53" s="1149" t="s">
        <v>1540</v>
      </c>
    </row>
    <row r="54" spans="1:11" ht="45" customHeight="1">
      <c r="B54" s="1152" t="s">
        <v>1541</v>
      </c>
      <c r="C54" s="1153" t="s">
        <v>1532</v>
      </c>
      <c r="D54" s="1154">
        <v>0.3</v>
      </c>
      <c r="E54" s="1155">
        <v>0.2</v>
      </c>
      <c r="F54" s="1148">
        <f t="shared" si="0"/>
        <v>0.06</v>
      </c>
      <c r="G54" s="1149" t="s">
        <v>1542</v>
      </c>
    </row>
    <row r="55" spans="1:11">
      <c r="B55" s="1144"/>
      <c r="C55" s="1144"/>
      <c r="D55" s="1154"/>
      <c r="E55" s="1154"/>
      <c r="F55" s="1148"/>
      <c r="G55" s="1148"/>
    </row>
    <row r="56" spans="1:11">
      <c r="A56" s="1133"/>
      <c r="B56" s="1144"/>
      <c r="C56" s="1144"/>
      <c r="D56" s="1154"/>
      <c r="E56" s="1154"/>
      <c r="F56" s="1148"/>
      <c r="G56" s="1148"/>
    </row>
    <row r="57" spans="1:11" ht="14.25" customHeight="1">
      <c r="A57" s="1133"/>
      <c r="B57" s="1156"/>
      <c r="C57" s="1156"/>
      <c r="D57" s="1156"/>
      <c r="E57" s="1156"/>
      <c r="F57" s="1157"/>
      <c r="G57" s="1156"/>
      <c r="H57" s="1158"/>
      <c r="I57" s="1130"/>
      <c r="K57" s="1046"/>
    </row>
    <row r="58" spans="1:11" ht="14.25" customHeight="1">
      <c r="A58" s="1133"/>
      <c r="B58" s="1135"/>
      <c r="C58" s="1135"/>
      <c r="D58" s="1136"/>
      <c r="E58" s="1136"/>
      <c r="F58" s="1157"/>
      <c r="G58" s="1135"/>
      <c r="H58" s="1159"/>
      <c r="I58" s="1130"/>
      <c r="K58" s="1046"/>
    </row>
    <row r="59" spans="1:11">
      <c r="A59" s="1133"/>
      <c r="B59" s="1156"/>
      <c r="C59" s="1156"/>
      <c r="D59" s="1136"/>
      <c r="E59" s="1136"/>
      <c r="F59" s="1157"/>
      <c r="G59" s="1160"/>
      <c r="H59" s="1160"/>
      <c r="I59" s="1130"/>
      <c r="K59" s="1046"/>
    </row>
    <row r="60" spans="1:11">
      <c r="A60" s="1133"/>
      <c r="B60" s="1156"/>
      <c r="C60" s="1156"/>
      <c r="D60" s="1158"/>
      <c r="E60" s="1158"/>
      <c r="F60" s="1161"/>
      <c r="G60" s="1162" t="s">
        <v>1543</v>
      </c>
      <c r="H60" s="1163"/>
      <c r="I60" s="1130"/>
      <c r="K60" s="1046"/>
    </row>
    <row r="61" spans="1:11">
      <c r="A61" s="1133"/>
      <c r="B61" s="1164" t="s">
        <v>1544</v>
      </c>
      <c r="C61" s="1164"/>
      <c r="D61" s="1164"/>
      <c r="E61" s="1164"/>
      <c r="F61" s="1164"/>
      <c r="G61" s="1165">
        <f>+I9</f>
        <v>3</v>
      </c>
      <c r="H61" s="1164" t="s">
        <v>478</v>
      </c>
      <c r="I61" s="1164"/>
      <c r="K61" s="1046"/>
    </row>
    <row r="62" spans="1:11" ht="14.25" customHeight="1">
      <c r="A62" s="1133"/>
      <c r="B62" s="1166" t="s">
        <v>1545</v>
      </c>
      <c r="C62" s="1167"/>
      <c r="D62" s="1168"/>
      <c r="E62" s="1168"/>
      <c r="F62" s="1168"/>
      <c r="G62" s="1168"/>
      <c r="H62" s="1168"/>
      <c r="I62" s="1168"/>
      <c r="K62" s="1046"/>
    </row>
    <row r="63" spans="1:11" ht="31.5" customHeight="1">
      <c r="A63" s="1133"/>
      <c r="B63" s="1169" t="s">
        <v>1546</v>
      </c>
      <c r="C63" s="1170" t="s">
        <v>319</v>
      </c>
      <c r="D63" s="1171" t="s">
        <v>320</v>
      </c>
      <c r="E63" s="1171" t="s">
        <v>1547</v>
      </c>
      <c r="F63" s="1171" t="s">
        <v>1548</v>
      </c>
      <c r="G63" s="1172" t="s">
        <v>1549</v>
      </c>
      <c r="H63" s="1171" t="s">
        <v>1550</v>
      </c>
      <c r="I63" s="1173" t="s">
        <v>1551</v>
      </c>
      <c r="K63" s="1046"/>
    </row>
    <row r="64" spans="1:11" ht="14.25" customHeight="1">
      <c r="A64" s="1133"/>
      <c r="B64" s="1174" t="s">
        <v>1552</v>
      </c>
      <c r="C64" s="1174"/>
      <c r="D64" s="1175">
        <v>4</v>
      </c>
      <c r="E64" s="1176">
        <v>1</v>
      </c>
      <c r="F64" s="1174">
        <v>75000</v>
      </c>
      <c r="G64" s="1174">
        <f>+F64*0.19</f>
        <v>14250</v>
      </c>
      <c r="H64" s="1177">
        <f>+$I$9</f>
        <v>3</v>
      </c>
      <c r="I64" s="1174">
        <f>+D64*(E64)*(F64)*H64</f>
        <v>900000</v>
      </c>
      <c r="K64" s="1046"/>
    </row>
    <row r="65" spans="1:11" ht="14.25" customHeight="1">
      <c r="A65" s="1133"/>
      <c r="B65" s="1174" t="s">
        <v>1553</v>
      </c>
      <c r="C65" s="1174"/>
      <c r="D65" s="1175">
        <f>+D64</f>
        <v>4</v>
      </c>
      <c r="E65" s="1176">
        <v>1</v>
      </c>
      <c r="F65" s="1174">
        <v>2710</v>
      </c>
      <c r="G65" s="1174">
        <f>+F65*0.19</f>
        <v>514.9</v>
      </c>
      <c r="H65" s="1177">
        <f>+$I$9</f>
        <v>3</v>
      </c>
      <c r="I65" s="1174">
        <f>+D65*(E65)*(F65)*H65</f>
        <v>32520</v>
      </c>
      <c r="K65" s="1046"/>
    </row>
    <row r="66" spans="1:11">
      <c r="A66" s="1133"/>
      <c r="B66" s="1174" t="s">
        <v>1554</v>
      </c>
      <c r="C66" s="1174"/>
      <c r="D66" s="1175">
        <v>1</v>
      </c>
      <c r="E66" s="1176">
        <v>1</v>
      </c>
      <c r="F66" s="1174">
        <v>40000</v>
      </c>
      <c r="G66" s="1174">
        <f t="shared" ref="G66:G82" si="1">+F66*0.19</f>
        <v>7600</v>
      </c>
      <c r="H66" s="1177">
        <f t="shared" ref="H66:H82" si="2">+$I$9</f>
        <v>3</v>
      </c>
      <c r="I66" s="1174">
        <f>+D66*(E66)*(F66)*H66</f>
        <v>120000</v>
      </c>
      <c r="K66" s="1046"/>
    </row>
    <row r="67" spans="1:11">
      <c r="A67" s="1133"/>
      <c r="B67" s="1174" t="s">
        <v>1555</v>
      </c>
      <c r="C67" s="1174"/>
      <c r="D67" s="1175">
        <v>1</v>
      </c>
      <c r="E67" s="1176">
        <v>1</v>
      </c>
      <c r="F67" s="1174">
        <v>4996</v>
      </c>
      <c r="G67" s="1174">
        <f t="shared" si="1"/>
        <v>949.24</v>
      </c>
      <c r="H67" s="1177">
        <f t="shared" si="2"/>
        <v>3</v>
      </c>
      <c r="I67" s="1174">
        <f t="shared" ref="I67:I82" si="3">+D67*(E67)*(F67)*H67</f>
        <v>14988</v>
      </c>
      <c r="K67" s="1046"/>
    </row>
    <row r="68" spans="1:11">
      <c r="A68" s="1133"/>
      <c r="B68" s="1174" t="s">
        <v>1556</v>
      </c>
      <c r="C68" s="1174"/>
      <c r="D68" s="1175">
        <v>2</v>
      </c>
      <c r="E68" s="1176">
        <v>1</v>
      </c>
      <c r="F68" s="1174">
        <v>101271</v>
      </c>
      <c r="G68" s="1174">
        <f t="shared" si="1"/>
        <v>19241.490000000002</v>
      </c>
      <c r="H68" s="1177">
        <f t="shared" si="2"/>
        <v>3</v>
      </c>
      <c r="I68" s="1174">
        <f t="shared" si="3"/>
        <v>607626</v>
      </c>
      <c r="K68" s="1046"/>
    </row>
    <row r="69" spans="1:11" ht="15.75" customHeight="1">
      <c r="B69" s="1174" t="s">
        <v>1557</v>
      </c>
      <c r="C69" s="1174"/>
      <c r="D69" s="1175">
        <v>2</v>
      </c>
      <c r="E69" s="1176">
        <v>1</v>
      </c>
      <c r="F69" s="1174">
        <v>22693</v>
      </c>
      <c r="G69" s="1174">
        <f t="shared" si="1"/>
        <v>4311.67</v>
      </c>
      <c r="H69" s="1177">
        <f t="shared" si="2"/>
        <v>3</v>
      </c>
      <c r="I69" s="1174">
        <f t="shared" si="3"/>
        <v>136158</v>
      </c>
      <c r="K69" s="1046"/>
    </row>
    <row r="70" spans="1:11">
      <c r="B70" s="1174" t="s">
        <v>1558</v>
      </c>
      <c r="C70" s="1174"/>
      <c r="D70" s="1175">
        <v>2</v>
      </c>
      <c r="E70" s="1176">
        <v>1</v>
      </c>
      <c r="F70" s="1174">
        <v>22354</v>
      </c>
      <c r="G70" s="1174">
        <f t="shared" si="1"/>
        <v>4247.26</v>
      </c>
      <c r="H70" s="1177">
        <f t="shared" si="2"/>
        <v>3</v>
      </c>
      <c r="I70" s="1174">
        <f t="shared" si="3"/>
        <v>134124</v>
      </c>
    </row>
    <row r="71" spans="1:11">
      <c r="B71" s="1174" t="s">
        <v>1559</v>
      </c>
      <c r="C71" s="1174"/>
      <c r="D71" s="1175">
        <v>1</v>
      </c>
      <c r="E71" s="1176">
        <v>1</v>
      </c>
      <c r="F71" s="1174">
        <v>26054</v>
      </c>
      <c r="G71" s="1174">
        <f t="shared" si="1"/>
        <v>4950.26</v>
      </c>
      <c r="H71" s="1177">
        <f t="shared" si="2"/>
        <v>3</v>
      </c>
      <c r="I71" s="1174">
        <f t="shared" si="3"/>
        <v>78162</v>
      </c>
    </row>
    <row r="72" spans="1:11">
      <c r="B72" s="1174" t="s">
        <v>1560</v>
      </c>
      <c r="C72" s="1174"/>
      <c r="D72" s="1175">
        <v>1</v>
      </c>
      <c r="E72" s="1176">
        <v>1</v>
      </c>
      <c r="F72" s="1174">
        <v>27491</v>
      </c>
      <c r="G72" s="1174">
        <f t="shared" si="1"/>
        <v>5223.29</v>
      </c>
      <c r="H72" s="1177">
        <f t="shared" si="2"/>
        <v>3</v>
      </c>
      <c r="I72" s="1174">
        <f t="shared" si="3"/>
        <v>82473</v>
      </c>
    </row>
    <row r="73" spans="1:11">
      <c r="B73" s="1174" t="s">
        <v>1561</v>
      </c>
      <c r="C73" s="1174"/>
      <c r="D73" s="1175">
        <v>1</v>
      </c>
      <c r="E73" s="1176">
        <v>1</v>
      </c>
      <c r="F73" s="1174">
        <v>41945</v>
      </c>
      <c r="G73" s="1174">
        <f t="shared" si="1"/>
        <v>7969.55</v>
      </c>
      <c r="H73" s="1177">
        <f t="shared" si="2"/>
        <v>3</v>
      </c>
      <c r="I73" s="1174">
        <f t="shared" si="3"/>
        <v>125835</v>
      </c>
    </row>
    <row r="74" spans="1:11">
      <c r="B74" s="1174" t="s">
        <v>1562</v>
      </c>
      <c r="C74" s="1174"/>
      <c r="D74" s="1175">
        <v>1</v>
      </c>
      <c r="E74" s="1176">
        <v>1</v>
      </c>
      <c r="F74" s="1174">
        <v>38104</v>
      </c>
      <c r="G74" s="1174">
        <f t="shared" si="1"/>
        <v>7239.76</v>
      </c>
      <c r="H74" s="1177">
        <f t="shared" si="2"/>
        <v>3</v>
      </c>
      <c r="I74" s="1174">
        <f t="shared" si="3"/>
        <v>114312</v>
      </c>
    </row>
    <row r="75" spans="1:11">
      <c r="B75" s="1174" t="s">
        <v>1563</v>
      </c>
      <c r="C75" s="1174"/>
      <c r="D75" s="1175">
        <f>+D64</f>
        <v>4</v>
      </c>
      <c r="E75" s="1176">
        <v>1</v>
      </c>
      <c r="F75" s="1174">
        <v>220155</v>
      </c>
      <c r="G75" s="1174">
        <f t="shared" si="1"/>
        <v>41829.449999999997</v>
      </c>
      <c r="H75" s="1177">
        <f t="shared" si="2"/>
        <v>3</v>
      </c>
      <c r="I75" s="1174">
        <f t="shared" si="3"/>
        <v>2641860</v>
      </c>
    </row>
    <row r="76" spans="1:11">
      <c r="B76" s="1174" t="s">
        <v>1564</v>
      </c>
      <c r="C76" s="1174"/>
      <c r="D76" s="1175">
        <v>2</v>
      </c>
      <c r="E76" s="1176">
        <v>1</v>
      </c>
      <c r="F76" s="1174">
        <v>97376</v>
      </c>
      <c r="G76" s="1174">
        <f t="shared" si="1"/>
        <v>18501.439999999999</v>
      </c>
      <c r="H76" s="1177">
        <f t="shared" si="2"/>
        <v>3</v>
      </c>
      <c r="I76" s="1174">
        <f t="shared" si="3"/>
        <v>584256</v>
      </c>
    </row>
    <row r="77" spans="1:11">
      <c r="B77" s="1174" t="s">
        <v>1565</v>
      </c>
      <c r="C77" s="1174"/>
      <c r="D77" s="1175">
        <v>1</v>
      </c>
      <c r="E77" s="1176">
        <v>1</v>
      </c>
      <c r="F77" s="1174">
        <v>16088</v>
      </c>
      <c r="G77" s="1174">
        <f t="shared" si="1"/>
        <v>3056.7200000000003</v>
      </c>
      <c r="H77" s="1177">
        <f t="shared" si="2"/>
        <v>3</v>
      </c>
      <c r="I77" s="1174">
        <f t="shared" si="3"/>
        <v>48264</v>
      </c>
    </row>
    <row r="78" spans="1:11">
      <c r="B78" s="1174" t="s">
        <v>1566</v>
      </c>
      <c r="C78" s="1174"/>
      <c r="D78" s="1175">
        <v>2</v>
      </c>
      <c r="E78" s="1176">
        <v>1</v>
      </c>
      <c r="F78" s="1174">
        <v>46605</v>
      </c>
      <c r="G78" s="1174">
        <f t="shared" si="1"/>
        <v>8854.9500000000007</v>
      </c>
      <c r="H78" s="1177">
        <f t="shared" si="2"/>
        <v>3</v>
      </c>
      <c r="I78" s="1174">
        <f t="shared" si="3"/>
        <v>279630</v>
      </c>
    </row>
    <row r="79" spans="1:11">
      <c r="B79" s="1174" t="s">
        <v>1567</v>
      </c>
      <c r="C79" s="1174"/>
      <c r="D79" s="1175">
        <f>+D64</f>
        <v>4</v>
      </c>
      <c r="E79" s="1176">
        <v>1</v>
      </c>
      <c r="F79" s="1174">
        <v>50805</v>
      </c>
      <c r="G79" s="1174">
        <f t="shared" si="1"/>
        <v>9652.9500000000007</v>
      </c>
      <c r="H79" s="1177">
        <f t="shared" si="2"/>
        <v>3</v>
      </c>
      <c r="I79" s="1174">
        <f t="shared" si="3"/>
        <v>609660</v>
      </c>
    </row>
    <row r="80" spans="1:11">
      <c r="B80" s="1174" t="s">
        <v>1568</v>
      </c>
      <c r="C80" s="1174"/>
      <c r="D80" s="1175">
        <v>1</v>
      </c>
      <c r="E80" s="1176">
        <v>1</v>
      </c>
      <c r="F80" s="1174">
        <v>63506</v>
      </c>
      <c r="G80" s="1174">
        <f t="shared" si="1"/>
        <v>12066.14</v>
      </c>
      <c r="H80" s="1177">
        <f t="shared" si="2"/>
        <v>3</v>
      </c>
      <c r="I80" s="1174">
        <f t="shared" si="3"/>
        <v>190518</v>
      </c>
    </row>
    <row r="81" spans="2:9">
      <c r="B81" s="1174" t="s">
        <v>1569</v>
      </c>
      <c r="C81" s="1174"/>
      <c r="D81" s="1175">
        <f>+D65</f>
        <v>4</v>
      </c>
      <c r="E81" s="1176">
        <v>1</v>
      </c>
      <c r="F81" s="1174">
        <v>66399</v>
      </c>
      <c r="G81" s="1174">
        <f t="shared" si="1"/>
        <v>12615.81</v>
      </c>
      <c r="H81" s="1177">
        <f t="shared" si="2"/>
        <v>3</v>
      </c>
      <c r="I81" s="1174">
        <f t="shared" si="3"/>
        <v>796788</v>
      </c>
    </row>
    <row r="82" spans="2:9">
      <c r="B82" s="1174" t="s">
        <v>1570</v>
      </c>
      <c r="C82" s="1174"/>
      <c r="D82" s="1175">
        <v>2</v>
      </c>
      <c r="E82" s="1176">
        <v>1</v>
      </c>
      <c r="F82" s="1174">
        <v>20212</v>
      </c>
      <c r="G82" s="1174">
        <f t="shared" si="1"/>
        <v>3840.28</v>
      </c>
      <c r="H82" s="1177">
        <f t="shared" si="2"/>
        <v>3</v>
      </c>
      <c r="I82" s="1174">
        <f t="shared" si="3"/>
        <v>121272</v>
      </c>
    </row>
    <row r="83" spans="2:9">
      <c r="B83" s="1178" t="s">
        <v>859</v>
      </c>
      <c r="C83" s="1178"/>
      <c r="D83" s="1178"/>
      <c r="E83" s="1178"/>
      <c r="F83" s="1178"/>
      <c r="G83" s="1178" t="s">
        <v>1571</v>
      </c>
      <c r="H83" s="1179"/>
      <c r="I83" s="1174">
        <f>SUM(I64:I82)</f>
        <v>7618446</v>
      </c>
    </row>
    <row r="86" spans="2:9" ht="18">
      <c r="B86" s="1180" t="s">
        <v>1572</v>
      </c>
      <c r="C86" s="1181"/>
      <c r="D86" s="1181"/>
      <c r="E86" s="1181"/>
      <c r="F86" s="1181"/>
      <c r="G86" s="1181"/>
      <c r="H86" s="1181"/>
      <c r="I86" s="1181"/>
    </row>
    <row r="87" spans="2:9" ht="26">
      <c r="B87" s="1169" t="s">
        <v>1573</v>
      </c>
      <c r="C87" s="1171" t="s">
        <v>1574</v>
      </c>
      <c r="D87" s="1171" t="s">
        <v>320</v>
      </c>
      <c r="E87" s="1171" t="s">
        <v>1547</v>
      </c>
      <c r="F87" s="1171" t="s">
        <v>1575</v>
      </c>
      <c r="G87" s="1171" t="s">
        <v>1576</v>
      </c>
      <c r="H87" s="1171" t="s">
        <v>1550</v>
      </c>
      <c r="I87" s="1182" t="s">
        <v>1551</v>
      </c>
    </row>
    <row r="88" spans="2:9">
      <c r="B88" s="1183" t="s">
        <v>1577</v>
      </c>
      <c r="C88" s="1177" t="s">
        <v>659</v>
      </c>
      <c r="D88" s="1175">
        <v>1</v>
      </c>
      <c r="E88" s="1176">
        <v>0.1</v>
      </c>
      <c r="F88" s="1184">
        <v>1482000</v>
      </c>
      <c r="G88" s="1177">
        <v>1.49</v>
      </c>
      <c r="H88" s="1177">
        <f>+$I$9</f>
        <v>3</v>
      </c>
      <c r="I88" s="1174">
        <f t="shared" ref="I88:I97" si="4">+IFERROR(D88*E88*F88*G88*H88,"")</f>
        <v>662454</v>
      </c>
    </row>
    <row r="89" spans="2:9">
      <c r="B89" s="1183" t="s">
        <v>1578</v>
      </c>
      <c r="C89" s="1177" t="s">
        <v>825</v>
      </c>
      <c r="D89" s="1175">
        <v>1</v>
      </c>
      <c r="E89" s="1176">
        <v>0.1</v>
      </c>
      <c r="F89" s="1184">
        <v>1423500</v>
      </c>
      <c r="G89" s="1177">
        <f>+G88</f>
        <v>1.49</v>
      </c>
      <c r="H89" s="1177">
        <f t="shared" ref="H89:H97" si="5">+$I$9</f>
        <v>3</v>
      </c>
      <c r="I89" s="1174">
        <f t="shared" si="4"/>
        <v>636304.5</v>
      </c>
    </row>
    <row r="90" spans="2:9">
      <c r="B90" s="1183" t="s">
        <v>1579</v>
      </c>
      <c r="C90" s="1177" t="s">
        <v>659</v>
      </c>
      <c r="D90" s="1175">
        <v>1</v>
      </c>
      <c r="E90" s="1176">
        <v>0.02</v>
      </c>
      <c r="F90" s="1184">
        <v>10032000</v>
      </c>
      <c r="G90" s="1177">
        <v>1.45</v>
      </c>
      <c r="H90" s="1177">
        <f t="shared" si="5"/>
        <v>3</v>
      </c>
      <c r="I90" s="1174">
        <f t="shared" si="4"/>
        <v>872784</v>
      </c>
    </row>
    <row r="91" spans="2:9">
      <c r="B91" s="1183" t="s">
        <v>1580</v>
      </c>
      <c r="C91" s="1177" t="s">
        <v>659</v>
      </c>
      <c r="D91" s="1175">
        <v>1</v>
      </c>
      <c r="E91" s="1176">
        <v>0.02</v>
      </c>
      <c r="F91" s="1184">
        <v>6142000</v>
      </c>
      <c r="G91" s="1177">
        <v>1.46</v>
      </c>
      <c r="H91" s="1177">
        <f t="shared" si="5"/>
        <v>3</v>
      </c>
      <c r="I91" s="1174">
        <f t="shared" si="4"/>
        <v>538039.19999999995</v>
      </c>
    </row>
    <row r="92" spans="2:9">
      <c r="B92" s="1183" t="s">
        <v>1581</v>
      </c>
      <c r="C92" s="1177" t="s">
        <v>659</v>
      </c>
      <c r="D92" s="1175">
        <v>1</v>
      </c>
      <c r="E92" s="1176">
        <v>0.02</v>
      </c>
      <c r="F92" s="1184">
        <v>6142000</v>
      </c>
      <c r="G92" s="1177">
        <v>1.46</v>
      </c>
      <c r="H92" s="1177">
        <f t="shared" si="5"/>
        <v>3</v>
      </c>
      <c r="I92" s="1174">
        <f t="shared" si="4"/>
        <v>538039.19999999995</v>
      </c>
    </row>
    <row r="93" spans="2:9">
      <c r="B93" s="1183" t="s">
        <v>1582</v>
      </c>
      <c r="C93" s="1177" t="s">
        <v>659</v>
      </c>
      <c r="D93" s="1175">
        <v>1</v>
      </c>
      <c r="E93" s="1176">
        <v>0.02</v>
      </c>
      <c r="F93" s="1184">
        <v>5300000</v>
      </c>
      <c r="G93" s="1177">
        <v>1.46</v>
      </c>
      <c r="H93" s="1177">
        <f t="shared" si="5"/>
        <v>3</v>
      </c>
      <c r="I93" s="1174">
        <f t="shared" si="4"/>
        <v>464280</v>
      </c>
    </row>
    <row r="94" spans="2:9">
      <c r="B94" s="1183" t="s">
        <v>1583</v>
      </c>
      <c r="C94" s="1177" t="s">
        <v>659</v>
      </c>
      <c r="D94" s="1175">
        <v>1</v>
      </c>
      <c r="E94" s="1176">
        <v>0.02</v>
      </c>
      <c r="F94" s="1184">
        <v>6142000</v>
      </c>
      <c r="G94" s="1177">
        <v>1.46</v>
      </c>
      <c r="H94" s="1177">
        <f t="shared" si="5"/>
        <v>3</v>
      </c>
      <c r="I94" s="1174">
        <f t="shared" si="4"/>
        <v>538039.19999999995</v>
      </c>
    </row>
    <row r="95" spans="2:9">
      <c r="B95" s="1183" t="s">
        <v>1470</v>
      </c>
      <c r="C95" s="1177" t="s">
        <v>659</v>
      </c>
      <c r="D95" s="1175">
        <v>1</v>
      </c>
      <c r="E95" s="1176">
        <v>0.05</v>
      </c>
      <c r="F95" s="1184">
        <v>5300000</v>
      </c>
      <c r="G95" s="1177">
        <v>1.46</v>
      </c>
      <c r="H95" s="1177">
        <f t="shared" si="5"/>
        <v>3</v>
      </c>
      <c r="I95" s="1174">
        <f t="shared" si="4"/>
        <v>1160700</v>
      </c>
    </row>
    <row r="96" spans="2:9">
      <c r="B96" s="1183" t="s">
        <v>1471</v>
      </c>
      <c r="C96" s="1177" t="s">
        <v>659</v>
      </c>
      <c r="D96" s="1175">
        <v>1</v>
      </c>
      <c r="E96" s="1176">
        <v>0.05</v>
      </c>
      <c r="F96" s="1184">
        <v>5300000</v>
      </c>
      <c r="G96" s="1177">
        <v>1.46</v>
      </c>
      <c r="H96" s="1177">
        <f t="shared" si="5"/>
        <v>3</v>
      </c>
      <c r="I96" s="1174">
        <f t="shared" si="4"/>
        <v>1160700</v>
      </c>
    </row>
    <row r="97" spans="2:9">
      <c r="B97" s="1183" t="s">
        <v>1584</v>
      </c>
      <c r="C97" s="1177" t="s">
        <v>659</v>
      </c>
      <c r="D97" s="1175">
        <v>1</v>
      </c>
      <c r="E97" s="1176">
        <v>0.05</v>
      </c>
      <c r="F97" s="1184">
        <v>1482000</v>
      </c>
      <c r="G97" s="1177">
        <v>1.49</v>
      </c>
      <c r="H97" s="1177">
        <f t="shared" si="5"/>
        <v>3</v>
      </c>
      <c r="I97" s="1174">
        <f t="shared" si="4"/>
        <v>331227</v>
      </c>
    </row>
    <row r="98" spans="2:9">
      <c r="B98" s="1178" t="s">
        <v>859</v>
      </c>
      <c r="C98" s="1178"/>
      <c r="D98" s="1178"/>
      <c r="E98" s="1178"/>
      <c r="F98" s="1178"/>
      <c r="G98" s="1178"/>
      <c r="H98" s="1179"/>
      <c r="I98" s="1174">
        <f>SUM(I88:I97)</f>
        <v>6902567.1000000006</v>
      </c>
    </row>
  </sheetData>
  <mergeCells count="7">
    <mergeCell ref="E35:E39"/>
    <mergeCell ref="F5:J5"/>
    <mergeCell ref="A6:D6"/>
    <mergeCell ref="A3:D5"/>
    <mergeCell ref="F8:F9"/>
    <mergeCell ref="E12:E22"/>
    <mergeCell ref="F20:F21"/>
  </mergeCells>
  <conditionalFormatting sqref="B50:F54">
    <cfRule type="containsBlanks" dxfId="11" priority="2">
      <formula>LEN(TRIM(B50))=0</formula>
    </cfRule>
  </conditionalFormatting>
  <conditionalFormatting sqref="D64:D82">
    <cfRule type="expression" dxfId="10" priority="6">
      <formula>+TEXT($B64="","")</formula>
    </cfRule>
  </conditionalFormatting>
  <conditionalFormatting sqref="D88:D97">
    <cfRule type="expression" dxfId="9" priority="4">
      <formula>+TEXT($B88="","")</formula>
    </cfRule>
  </conditionalFormatting>
  <conditionalFormatting sqref="F89:F97">
    <cfRule type="expression" dxfId="8" priority="1">
      <formula>+TEXT($C89="","")</formula>
    </cfRule>
  </conditionalFormatting>
  <conditionalFormatting sqref="I9">
    <cfRule type="containsBlanks" dxfId="7" priority="3">
      <formula>LEN(TRIM(I9))=0</formula>
    </cfRule>
  </conditionalFormatting>
  <conditionalFormatting sqref="I89:I97">
    <cfRule type="expression" dxfId="6" priority="5">
      <formula>+TEXT($C89="","")</formula>
    </cfRule>
  </conditionalFormatting>
  <dataValidations count="4">
    <dataValidation allowBlank="1" showInputMessage="1" showErrorMessage="1" promptTitle="% de Dedicación" prompt="% de dedicación de las personas necesarias para cada cargo" sqref="E63 E87" xr:uid="{0FCA0DE9-654B-421B-867C-31A1088DA420}"/>
    <dataValidation allowBlank="1" showInputMessage="1" showErrorMessage="1" promptTitle="F.P" prompt="Factor prestacional" sqref="G63 G87" xr:uid="{653F4DA2-3DB3-4199-8B44-8D4B8D659F56}"/>
    <dataValidation allowBlank="1" showInputMessage="1" showErrorMessage="1" promptTitle="Cantidad" prompt="Número de personas que se necesitan" sqref="D87" xr:uid="{9AA59B7A-BFE9-49F0-A2C1-0F9BB160B94E}"/>
    <dataValidation type="list" allowBlank="1" showInputMessage="1" showErrorMessage="1" sqref="C88:C97" xr:uid="{489C6B72-42F6-492C-92BB-5913D77AC28C}">
      <formula1>"I,II,III,IV,V"</formula1>
    </dataValidation>
  </dataValidations>
  <hyperlinks>
    <hyperlink ref="J1" r:id="rId1" xr:uid="{580DCF8F-EC1E-401F-A439-D8FBE7C08C65}"/>
  </hyperlinks>
  <pageMargins left="0.7" right="0.7" top="0.75" bottom="0.75" header="0.3" footer="0.3"/>
  <pageSetup scale="57" orientation="portrait" r:id="rId2"/>
  <colBreaks count="1" manualBreakCount="1">
    <brk id="5" max="55" man="1"/>
  </colBreaks>
  <legacyDrawing r:id="rId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15C929-603C-4DFD-8393-20DF5E902258}">
  <sheetPr>
    <tabColor theme="4" tint="0.59999389629810485"/>
  </sheetPr>
  <dimension ref="A1:N23"/>
  <sheetViews>
    <sheetView workbookViewId="0">
      <selection activeCell="C21" sqref="C21"/>
    </sheetView>
  </sheetViews>
  <sheetFormatPr baseColWidth="10" defaultColWidth="11.453125" defaultRowHeight="14.5"/>
  <cols>
    <col min="1" max="1" width="26.6328125" style="1252" customWidth="1"/>
    <col min="2" max="2" width="17.08984375" style="1252" customWidth="1"/>
    <col min="3" max="3" width="13" style="1252" bestFit="1" customWidth="1"/>
    <col min="4" max="4" width="16.453125" style="1252" customWidth="1"/>
    <col min="5" max="5" width="11.453125" style="1252"/>
    <col min="6" max="6" width="13.08984375" style="1252" bestFit="1" customWidth="1"/>
    <col min="7" max="7" width="11.453125" style="1252"/>
    <col min="8" max="8" width="20.6328125" style="1252" customWidth="1"/>
    <col min="9" max="9" width="9.08984375" style="1252" customWidth="1"/>
    <col min="10" max="10" width="59.453125" style="1252" customWidth="1"/>
    <col min="11" max="11" width="11.453125" style="1252"/>
    <col min="12" max="12" width="35.453125" style="1252" customWidth="1"/>
    <col min="13" max="13" width="23.453125" style="1252" customWidth="1"/>
    <col min="14" max="256" width="11.453125" style="1252"/>
    <col min="257" max="257" width="26.6328125" style="1252" customWidth="1"/>
    <col min="258" max="258" width="15.6328125" style="1252" customWidth="1"/>
    <col min="259" max="259" width="11.453125" style="1252"/>
    <col min="260" max="260" width="18.453125" style="1252" customWidth="1"/>
    <col min="261" max="263" width="11.453125" style="1252"/>
    <col min="264" max="264" width="12.453125" style="1252" bestFit="1" customWidth="1"/>
    <col min="265" max="265" width="11.453125" style="1252"/>
    <col min="266" max="266" width="18.453125" style="1252" customWidth="1"/>
    <col min="267" max="512" width="11.453125" style="1252"/>
    <col min="513" max="513" width="26.6328125" style="1252" customWidth="1"/>
    <col min="514" max="514" width="15.6328125" style="1252" customWidth="1"/>
    <col min="515" max="515" width="11.453125" style="1252"/>
    <col min="516" max="516" width="18.453125" style="1252" customWidth="1"/>
    <col min="517" max="519" width="11.453125" style="1252"/>
    <col min="520" max="520" width="12.453125" style="1252" bestFit="1" customWidth="1"/>
    <col min="521" max="521" width="11.453125" style="1252"/>
    <col min="522" max="522" width="18.453125" style="1252" customWidth="1"/>
    <col min="523" max="768" width="11.453125" style="1252"/>
    <col min="769" max="769" width="26.6328125" style="1252" customWidth="1"/>
    <col min="770" max="770" width="15.6328125" style="1252" customWidth="1"/>
    <col min="771" max="771" width="11.453125" style="1252"/>
    <col min="772" max="772" width="18.453125" style="1252" customWidth="1"/>
    <col min="773" max="775" width="11.453125" style="1252"/>
    <col min="776" max="776" width="12.453125" style="1252" bestFit="1" customWidth="1"/>
    <col min="777" max="777" width="11.453125" style="1252"/>
    <col min="778" max="778" width="18.453125" style="1252" customWidth="1"/>
    <col min="779" max="1024" width="11.453125" style="1252"/>
    <col min="1025" max="1025" width="26.6328125" style="1252" customWidth="1"/>
    <col min="1026" max="1026" width="15.6328125" style="1252" customWidth="1"/>
    <col min="1027" max="1027" width="11.453125" style="1252"/>
    <col min="1028" max="1028" width="18.453125" style="1252" customWidth="1"/>
    <col min="1029" max="1031" width="11.453125" style="1252"/>
    <col min="1032" max="1032" width="12.453125" style="1252" bestFit="1" customWidth="1"/>
    <col min="1033" max="1033" width="11.453125" style="1252"/>
    <col min="1034" max="1034" width="18.453125" style="1252" customWidth="1"/>
    <col min="1035" max="1280" width="11.453125" style="1252"/>
    <col min="1281" max="1281" width="26.6328125" style="1252" customWidth="1"/>
    <col min="1282" max="1282" width="15.6328125" style="1252" customWidth="1"/>
    <col min="1283" max="1283" width="11.453125" style="1252"/>
    <col min="1284" max="1284" width="18.453125" style="1252" customWidth="1"/>
    <col min="1285" max="1287" width="11.453125" style="1252"/>
    <col min="1288" max="1288" width="12.453125" style="1252" bestFit="1" customWidth="1"/>
    <col min="1289" max="1289" width="11.453125" style="1252"/>
    <col min="1290" max="1290" width="18.453125" style="1252" customWidth="1"/>
    <col min="1291" max="1536" width="11.453125" style="1252"/>
    <col min="1537" max="1537" width="26.6328125" style="1252" customWidth="1"/>
    <col min="1538" max="1538" width="15.6328125" style="1252" customWidth="1"/>
    <col min="1539" max="1539" width="11.453125" style="1252"/>
    <col min="1540" max="1540" width="18.453125" style="1252" customWidth="1"/>
    <col min="1541" max="1543" width="11.453125" style="1252"/>
    <col min="1544" max="1544" width="12.453125" style="1252" bestFit="1" customWidth="1"/>
    <col min="1545" max="1545" width="11.453125" style="1252"/>
    <col min="1546" max="1546" width="18.453125" style="1252" customWidth="1"/>
    <col min="1547" max="1792" width="11.453125" style="1252"/>
    <col min="1793" max="1793" width="26.6328125" style="1252" customWidth="1"/>
    <col min="1794" max="1794" width="15.6328125" style="1252" customWidth="1"/>
    <col min="1795" max="1795" width="11.453125" style="1252"/>
    <col min="1796" max="1796" width="18.453125" style="1252" customWidth="1"/>
    <col min="1797" max="1799" width="11.453125" style="1252"/>
    <col min="1800" max="1800" width="12.453125" style="1252" bestFit="1" customWidth="1"/>
    <col min="1801" max="1801" width="11.453125" style="1252"/>
    <col min="1802" max="1802" width="18.453125" style="1252" customWidth="1"/>
    <col min="1803" max="2048" width="11.453125" style="1252"/>
    <col min="2049" max="2049" width="26.6328125" style="1252" customWidth="1"/>
    <col min="2050" max="2050" width="15.6328125" style="1252" customWidth="1"/>
    <col min="2051" max="2051" width="11.453125" style="1252"/>
    <col min="2052" max="2052" width="18.453125" style="1252" customWidth="1"/>
    <col min="2053" max="2055" width="11.453125" style="1252"/>
    <col min="2056" max="2056" width="12.453125" style="1252" bestFit="1" customWidth="1"/>
    <col min="2057" max="2057" width="11.453125" style="1252"/>
    <col min="2058" max="2058" width="18.453125" style="1252" customWidth="1"/>
    <col min="2059" max="2304" width="11.453125" style="1252"/>
    <col min="2305" max="2305" width="26.6328125" style="1252" customWidth="1"/>
    <col min="2306" max="2306" width="15.6328125" style="1252" customWidth="1"/>
    <col min="2307" max="2307" width="11.453125" style="1252"/>
    <col min="2308" max="2308" width="18.453125" style="1252" customWidth="1"/>
    <col min="2309" max="2311" width="11.453125" style="1252"/>
    <col min="2312" max="2312" width="12.453125" style="1252" bestFit="1" customWidth="1"/>
    <col min="2313" max="2313" width="11.453125" style="1252"/>
    <col min="2314" max="2314" width="18.453125" style="1252" customWidth="1"/>
    <col min="2315" max="2560" width="11.453125" style="1252"/>
    <col min="2561" max="2561" width="26.6328125" style="1252" customWidth="1"/>
    <col min="2562" max="2562" width="15.6328125" style="1252" customWidth="1"/>
    <col min="2563" max="2563" width="11.453125" style="1252"/>
    <col min="2564" max="2564" width="18.453125" style="1252" customWidth="1"/>
    <col min="2565" max="2567" width="11.453125" style="1252"/>
    <col min="2568" max="2568" width="12.453125" style="1252" bestFit="1" customWidth="1"/>
    <col min="2569" max="2569" width="11.453125" style="1252"/>
    <col min="2570" max="2570" width="18.453125" style="1252" customWidth="1"/>
    <col min="2571" max="2816" width="11.453125" style="1252"/>
    <col min="2817" max="2817" width="26.6328125" style="1252" customWidth="1"/>
    <col min="2818" max="2818" width="15.6328125" style="1252" customWidth="1"/>
    <col min="2819" max="2819" width="11.453125" style="1252"/>
    <col min="2820" max="2820" width="18.453125" style="1252" customWidth="1"/>
    <col min="2821" max="2823" width="11.453125" style="1252"/>
    <col min="2824" max="2824" width="12.453125" style="1252" bestFit="1" customWidth="1"/>
    <col min="2825" max="2825" width="11.453125" style="1252"/>
    <col min="2826" max="2826" width="18.453125" style="1252" customWidth="1"/>
    <col min="2827" max="3072" width="11.453125" style="1252"/>
    <col min="3073" max="3073" width="26.6328125" style="1252" customWidth="1"/>
    <col min="3074" max="3074" width="15.6328125" style="1252" customWidth="1"/>
    <col min="3075" max="3075" width="11.453125" style="1252"/>
    <col min="3076" max="3076" width="18.453125" style="1252" customWidth="1"/>
    <col min="3077" max="3079" width="11.453125" style="1252"/>
    <col min="3080" max="3080" width="12.453125" style="1252" bestFit="1" customWidth="1"/>
    <col min="3081" max="3081" width="11.453125" style="1252"/>
    <col min="3082" max="3082" width="18.453125" style="1252" customWidth="1"/>
    <col min="3083" max="3328" width="11.453125" style="1252"/>
    <col min="3329" max="3329" width="26.6328125" style="1252" customWidth="1"/>
    <col min="3330" max="3330" width="15.6328125" style="1252" customWidth="1"/>
    <col min="3331" max="3331" width="11.453125" style="1252"/>
    <col min="3332" max="3332" width="18.453125" style="1252" customWidth="1"/>
    <col min="3333" max="3335" width="11.453125" style="1252"/>
    <col min="3336" max="3336" width="12.453125" style="1252" bestFit="1" customWidth="1"/>
    <col min="3337" max="3337" width="11.453125" style="1252"/>
    <col min="3338" max="3338" width="18.453125" style="1252" customWidth="1"/>
    <col min="3339" max="3584" width="11.453125" style="1252"/>
    <col min="3585" max="3585" width="26.6328125" style="1252" customWidth="1"/>
    <col min="3586" max="3586" width="15.6328125" style="1252" customWidth="1"/>
    <col min="3587" max="3587" width="11.453125" style="1252"/>
    <col min="3588" max="3588" width="18.453125" style="1252" customWidth="1"/>
    <col min="3589" max="3591" width="11.453125" style="1252"/>
    <col min="3592" max="3592" width="12.453125" style="1252" bestFit="1" customWidth="1"/>
    <col min="3593" max="3593" width="11.453125" style="1252"/>
    <col min="3594" max="3594" width="18.453125" style="1252" customWidth="1"/>
    <col min="3595" max="3840" width="11.453125" style="1252"/>
    <col min="3841" max="3841" width="26.6328125" style="1252" customWidth="1"/>
    <col min="3842" max="3842" width="15.6328125" style="1252" customWidth="1"/>
    <col min="3843" max="3843" width="11.453125" style="1252"/>
    <col min="3844" max="3844" width="18.453125" style="1252" customWidth="1"/>
    <col min="3845" max="3847" width="11.453125" style="1252"/>
    <col min="3848" max="3848" width="12.453125" style="1252" bestFit="1" customWidth="1"/>
    <col min="3849" max="3849" width="11.453125" style="1252"/>
    <col min="3850" max="3850" width="18.453125" style="1252" customWidth="1"/>
    <col min="3851" max="4096" width="11.453125" style="1252"/>
    <col min="4097" max="4097" width="26.6328125" style="1252" customWidth="1"/>
    <col min="4098" max="4098" width="15.6328125" style="1252" customWidth="1"/>
    <col min="4099" max="4099" width="11.453125" style="1252"/>
    <col min="4100" max="4100" width="18.453125" style="1252" customWidth="1"/>
    <col min="4101" max="4103" width="11.453125" style="1252"/>
    <col min="4104" max="4104" width="12.453125" style="1252" bestFit="1" customWidth="1"/>
    <col min="4105" max="4105" width="11.453125" style="1252"/>
    <col min="4106" max="4106" width="18.453125" style="1252" customWidth="1"/>
    <col min="4107" max="4352" width="11.453125" style="1252"/>
    <col min="4353" max="4353" width="26.6328125" style="1252" customWidth="1"/>
    <col min="4354" max="4354" width="15.6328125" style="1252" customWidth="1"/>
    <col min="4355" max="4355" width="11.453125" style="1252"/>
    <col min="4356" max="4356" width="18.453125" style="1252" customWidth="1"/>
    <col min="4357" max="4359" width="11.453125" style="1252"/>
    <col min="4360" max="4360" width="12.453125" style="1252" bestFit="1" customWidth="1"/>
    <col min="4361" max="4361" width="11.453125" style="1252"/>
    <col min="4362" max="4362" width="18.453125" style="1252" customWidth="1"/>
    <col min="4363" max="4608" width="11.453125" style="1252"/>
    <col min="4609" max="4609" width="26.6328125" style="1252" customWidth="1"/>
    <col min="4610" max="4610" width="15.6328125" style="1252" customWidth="1"/>
    <col min="4611" max="4611" width="11.453125" style="1252"/>
    <col min="4612" max="4612" width="18.453125" style="1252" customWidth="1"/>
    <col min="4613" max="4615" width="11.453125" style="1252"/>
    <col min="4616" max="4616" width="12.453125" style="1252" bestFit="1" customWidth="1"/>
    <col min="4617" max="4617" width="11.453125" style="1252"/>
    <col min="4618" max="4618" width="18.453125" style="1252" customWidth="1"/>
    <col min="4619" max="4864" width="11.453125" style="1252"/>
    <col min="4865" max="4865" width="26.6328125" style="1252" customWidth="1"/>
    <col min="4866" max="4866" width="15.6328125" style="1252" customWidth="1"/>
    <col min="4867" max="4867" width="11.453125" style="1252"/>
    <col min="4868" max="4868" width="18.453125" style="1252" customWidth="1"/>
    <col min="4869" max="4871" width="11.453125" style="1252"/>
    <col min="4872" max="4872" width="12.453125" style="1252" bestFit="1" customWidth="1"/>
    <col min="4873" max="4873" width="11.453125" style="1252"/>
    <col min="4874" max="4874" width="18.453125" style="1252" customWidth="1"/>
    <col min="4875" max="5120" width="11.453125" style="1252"/>
    <col min="5121" max="5121" width="26.6328125" style="1252" customWidth="1"/>
    <col min="5122" max="5122" width="15.6328125" style="1252" customWidth="1"/>
    <col min="5123" max="5123" width="11.453125" style="1252"/>
    <col min="5124" max="5124" width="18.453125" style="1252" customWidth="1"/>
    <col min="5125" max="5127" width="11.453125" style="1252"/>
    <col min="5128" max="5128" width="12.453125" style="1252" bestFit="1" customWidth="1"/>
    <col min="5129" max="5129" width="11.453125" style="1252"/>
    <col min="5130" max="5130" width="18.453125" style="1252" customWidth="1"/>
    <col min="5131" max="5376" width="11.453125" style="1252"/>
    <col min="5377" max="5377" width="26.6328125" style="1252" customWidth="1"/>
    <col min="5378" max="5378" width="15.6328125" style="1252" customWidth="1"/>
    <col min="5379" max="5379" width="11.453125" style="1252"/>
    <col min="5380" max="5380" width="18.453125" style="1252" customWidth="1"/>
    <col min="5381" max="5383" width="11.453125" style="1252"/>
    <col min="5384" max="5384" width="12.453125" style="1252" bestFit="1" customWidth="1"/>
    <col min="5385" max="5385" width="11.453125" style="1252"/>
    <col min="5386" max="5386" width="18.453125" style="1252" customWidth="1"/>
    <col min="5387" max="5632" width="11.453125" style="1252"/>
    <col min="5633" max="5633" width="26.6328125" style="1252" customWidth="1"/>
    <col min="5634" max="5634" width="15.6328125" style="1252" customWidth="1"/>
    <col min="5635" max="5635" width="11.453125" style="1252"/>
    <col min="5636" max="5636" width="18.453125" style="1252" customWidth="1"/>
    <col min="5637" max="5639" width="11.453125" style="1252"/>
    <col min="5640" max="5640" width="12.453125" style="1252" bestFit="1" customWidth="1"/>
    <col min="5641" max="5641" width="11.453125" style="1252"/>
    <col min="5642" max="5642" width="18.453125" style="1252" customWidth="1"/>
    <col min="5643" max="5888" width="11.453125" style="1252"/>
    <col min="5889" max="5889" width="26.6328125" style="1252" customWidth="1"/>
    <col min="5890" max="5890" width="15.6328125" style="1252" customWidth="1"/>
    <col min="5891" max="5891" width="11.453125" style="1252"/>
    <col min="5892" max="5892" width="18.453125" style="1252" customWidth="1"/>
    <col min="5893" max="5895" width="11.453125" style="1252"/>
    <col min="5896" max="5896" width="12.453125" style="1252" bestFit="1" customWidth="1"/>
    <col min="5897" max="5897" width="11.453125" style="1252"/>
    <col min="5898" max="5898" width="18.453125" style="1252" customWidth="1"/>
    <col min="5899" max="6144" width="11.453125" style="1252"/>
    <col min="6145" max="6145" width="26.6328125" style="1252" customWidth="1"/>
    <col min="6146" max="6146" width="15.6328125" style="1252" customWidth="1"/>
    <col min="6147" max="6147" width="11.453125" style="1252"/>
    <col min="6148" max="6148" width="18.453125" style="1252" customWidth="1"/>
    <col min="6149" max="6151" width="11.453125" style="1252"/>
    <col min="6152" max="6152" width="12.453125" style="1252" bestFit="1" customWidth="1"/>
    <col min="6153" max="6153" width="11.453125" style="1252"/>
    <col min="6154" max="6154" width="18.453125" style="1252" customWidth="1"/>
    <col min="6155" max="6400" width="11.453125" style="1252"/>
    <col min="6401" max="6401" width="26.6328125" style="1252" customWidth="1"/>
    <col min="6402" max="6402" width="15.6328125" style="1252" customWidth="1"/>
    <col min="6403" max="6403" width="11.453125" style="1252"/>
    <col min="6404" max="6404" width="18.453125" style="1252" customWidth="1"/>
    <col min="6405" max="6407" width="11.453125" style="1252"/>
    <col min="6408" max="6408" width="12.453125" style="1252" bestFit="1" customWidth="1"/>
    <col min="6409" max="6409" width="11.453125" style="1252"/>
    <col min="6410" max="6410" width="18.453125" style="1252" customWidth="1"/>
    <col min="6411" max="6656" width="11.453125" style="1252"/>
    <col min="6657" max="6657" width="26.6328125" style="1252" customWidth="1"/>
    <col min="6658" max="6658" width="15.6328125" style="1252" customWidth="1"/>
    <col min="6659" max="6659" width="11.453125" style="1252"/>
    <col min="6660" max="6660" width="18.453125" style="1252" customWidth="1"/>
    <col min="6661" max="6663" width="11.453125" style="1252"/>
    <col min="6664" max="6664" width="12.453125" style="1252" bestFit="1" customWidth="1"/>
    <col min="6665" max="6665" width="11.453125" style="1252"/>
    <col min="6666" max="6666" width="18.453125" style="1252" customWidth="1"/>
    <col min="6667" max="6912" width="11.453125" style="1252"/>
    <col min="6913" max="6913" width="26.6328125" style="1252" customWidth="1"/>
    <col min="6914" max="6914" width="15.6328125" style="1252" customWidth="1"/>
    <col min="6915" max="6915" width="11.453125" style="1252"/>
    <col min="6916" max="6916" width="18.453125" style="1252" customWidth="1"/>
    <col min="6917" max="6919" width="11.453125" style="1252"/>
    <col min="6920" max="6920" width="12.453125" style="1252" bestFit="1" customWidth="1"/>
    <col min="6921" max="6921" width="11.453125" style="1252"/>
    <col min="6922" max="6922" width="18.453125" style="1252" customWidth="1"/>
    <col min="6923" max="7168" width="11.453125" style="1252"/>
    <col min="7169" max="7169" width="26.6328125" style="1252" customWidth="1"/>
    <col min="7170" max="7170" width="15.6328125" style="1252" customWidth="1"/>
    <col min="7171" max="7171" width="11.453125" style="1252"/>
    <col min="7172" max="7172" width="18.453125" style="1252" customWidth="1"/>
    <col min="7173" max="7175" width="11.453125" style="1252"/>
    <col min="7176" max="7176" width="12.453125" style="1252" bestFit="1" customWidth="1"/>
    <col min="7177" max="7177" width="11.453125" style="1252"/>
    <col min="7178" max="7178" width="18.453125" style="1252" customWidth="1"/>
    <col min="7179" max="7424" width="11.453125" style="1252"/>
    <col min="7425" max="7425" width="26.6328125" style="1252" customWidth="1"/>
    <col min="7426" max="7426" width="15.6328125" style="1252" customWidth="1"/>
    <col min="7427" max="7427" width="11.453125" style="1252"/>
    <col min="7428" max="7428" width="18.453125" style="1252" customWidth="1"/>
    <col min="7429" max="7431" width="11.453125" style="1252"/>
    <col min="7432" max="7432" width="12.453125" style="1252" bestFit="1" customWidth="1"/>
    <col min="7433" max="7433" width="11.453125" style="1252"/>
    <col min="7434" max="7434" width="18.453125" style="1252" customWidth="1"/>
    <col min="7435" max="7680" width="11.453125" style="1252"/>
    <col min="7681" max="7681" width="26.6328125" style="1252" customWidth="1"/>
    <col min="7682" max="7682" width="15.6328125" style="1252" customWidth="1"/>
    <col min="7683" max="7683" width="11.453125" style="1252"/>
    <col min="7684" max="7684" width="18.453125" style="1252" customWidth="1"/>
    <col min="7685" max="7687" width="11.453125" style="1252"/>
    <col min="7688" max="7688" width="12.453125" style="1252" bestFit="1" customWidth="1"/>
    <col min="7689" max="7689" width="11.453125" style="1252"/>
    <col min="7690" max="7690" width="18.453125" style="1252" customWidth="1"/>
    <col min="7691" max="7936" width="11.453125" style="1252"/>
    <col min="7937" max="7937" width="26.6328125" style="1252" customWidth="1"/>
    <col min="7938" max="7938" width="15.6328125" style="1252" customWidth="1"/>
    <col min="7939" max="7939" width="11.453125" style="1252"/>
    <col min="7940" max="7940" width="18.453125" style="1252" customWidth="1"/>
    <col min="7941" max="7943" width="11.453125" style="1252"/>
    <col min="7944" max="7944" width="12.453125" style="1252" bestFit="1" customWidth="1"/>
    <col min="7945" max="7945" width="11.453125" style="1252"/>
    <col min="7946" max="7946" width="18.453125" style="1252" customWidth="1"/>
    <col min="7947" max="8192" width="11.453125" style="1252"/>
    <col min="8193" max="8193" width="26.6328125" style="1252" customWidth="1"/>
    <col min="8194" max="8194" width="15.6328125" style="1252" customWidth="1"/>
    <col min="8195" max="8195" width="11.453125" style="1252"/>
    <col min="8196" max="8196" width="18.453125" style="1252" customWidth="1"/>
    <col min="8197" max="8199" width="11.453125" style="1252"/>
    <col min="8200" max="8200" width="12.453125" style="1252" bestFit="1" customWidth="1"/>
    <col min="8201" max="8201" width="11.453125" style="1252"/>
    <col min="8202" max="8202" width="18.453125" style="1252" customWidth="1"/>
    <col min="8203" max="8448" width="11.453125" style="1252"/>
    <col min="8449" max="8449" width="26.6328125" style="1252" customWidth="1"/>
    <col min="8450" max="8450" width="15.6328125" style="1252" customWidth="1"/>
    <col min="8451" max="8451" width="11.453125" style="1252"/>
    <col min="8452" max="8452" width="18.453125" style="1252" customWidth="1"/>
    <col min="8453" max="8455" width="11.453125" style="1252"/>
    <col min="8456" max="8456" width="12.453125" style="1252" bestFit="1" customWidth="1"/>
    <col min="8457" max="8457" width="11.453125" style="1252"/>
    <col min="8458" max="8458" width="18.453125" style="1252" customWidth="1"/>
    <col min="8459" max="8704" width="11.453125" style="1252"/>
    <col min="8705" max="8705" width="26.6328125" style="1252" customWidth="1"/>
    <col min="8706" max="8706" width="15.6328125" style="1252" customWidth="1"/>
    <col min="8707" max="8707" width="11.453125" style="1252"/>
    <col min="8708" max="8708" width="18.453125" style="1252" customWidth="1"/>
    <col min="8709" max="8711" width="11.453125" style="1252"/>
    <col min="8712" max="8712" width="12.453125" style="1252" bestFit="1" customWidth="1"/>
    <col min="8713" max="8713" width="11.453125" style="1252"/>
    <col min="8714" max="8714" width="18.453125" style="1252" customWidth="1"/>
    <col min="8715" max="8960" width="11.453125" style="1252"/>
    <col min="8961" max="8961" width="26.6328125" style="1252" customWidth="1"/>
    <col min="8962" max="8962" width="15.6328125" style="1252" customWidth="1"/>
    <col min="8963" max="8963" width="11.453125" style="1252"/>
    <col min="8964" max="8964" width="18.453125" style="1252" customWidth="1"/>
    <col min="8965" max="8967" width="11.453125" style="1252"/>
    <col min="8968" max="8968" width="12.453125" style="1252" bestFit="1" customWidth="1"/>
    <col min="8969" max="8969" width="11.453125" style="1252"/>
    <col min="8970" max="8970" width="18.453125" style="1252" customWidth="1"/>
    <col min="8971" max="9216" width="11.453125" style="1252"/>
    <col min="9217" max="9217" width="26.6328125" style="1252" customWidth="1"/>
    <col min="9218" max="9218" width="15.6328125" style="1252" customWidth="1"/>
    <col min="9219" max="9219" width="11.453125" style="1252"/>
    <col min="9220" max="9220" width="18.453125" style="1252" customWidth="1"/>
    <col min="9221" max="9223" width="11.453125" style="1252"/>
    <col min="9224" max="9224" width="12.453125" style="1252" bestFit="1" customWidth="1"/>
    <col min="9225" max="9225" width="11.453125" style="1252"/>
    <col min="9226" max="9226" width="18.453125" style="1252" customWidth="1"/>
    <col min="9227" max="9472" width="11.453125" style="1252"/>
    <col min="9473" max="9473" width="26.6328125" style="1252" customWidth="1"/>
    <col min="9474" max="9474" width="15.6328125" style="1252" customWidth="1"/>
    <col min="9475" max="9475" width="11.453125" style="1252"/>
    <col min="9476" max="9476" width="18.453125" style="1252" customWidth="1"/>
    <col min="9477" max="9479" width="11.453125" style="1252"/>
    <col min="9480" max="9480" width="12.453125" style="1252" bestFit="1" customWidth="1"/>
    <col min="9481" max="9481" width="11.453125" style="1252"/>
    <col min="9482" max="9482" width="18.453125" style="1252" customWidth="1"/>
    <col min="9483" max="9728" width="11.453125" style="1252"/>
    <col min="9729" max="9729" width="26.6328125" style="1252" customWidth="1"/>
    <col min="9730" max="9730" width="15.6328125" style="1252" customWidth="1"/>
    <col min="9731" max="9731" width="11.453125" style="1252"/>
    <col min="9732" max="9732" width="18.453125" style="1252" customWidth="1"/>
    <col min="9733" max="9735" width="11.453125" style="1252"/>
    <col min="9736" max="9736" width="12.453125" style="1252" bestFit="1" customWidth="1"/>
    <col min="9737" max="9737" width="11.453125" style="1252"/>
    <col min="9738" max="9738" width="18.453125" style="1252" customWidth="1"/>
    <col min="9739" max="9984" width="11.453125" style="1252"/>
    <col min="9985" max="9985" width="26.6328125" style="1252" customWidth="1"/>
    <col min="9986" max="9986" width="15.6328125" style="1252" customWidth="1"/>
    <col min="9987" max="9987" width="11.453125" style="1252"/>
    <col min="9988" max="9988" width="18.453125" style="1252" customWidth="1"/>
    <col min="9989" max="9991" width="11.453125" style="1252"/>
    <col min="9992" max="9992" width="12.453125" style="1252" bestFit="1" customWidth="1"/>
    <col min="9993" max="9993" width="11.453125" style="1252"/>
    <col min="9994" max="9994" width="18.453125" style="1252" customWidth="1"/>
    <col min="9995" max="10240" width="11.453125" style="1252"/>
    <col min="10241" max="10241" width="26.6328125" style="1252" customWidth="1"/>
    <col min="10242" max="10242" width="15.6328125" style="1252" customWidth="1"/>
    <col min="10243" max="10243" width="11.453125" style="1252"/>
    <col min="10244" max="10244" width="18.453125" style="1252" customWidth="1"/>
    <col min="10245" max="10247" width="11.453125" style="1252"/>
    <col min="10248" max="10248" width="12.453125" style="1252" bestFit="1" customWidth="1"/>
    <col min="10249" max="10249" width="11.453125" style="1252"/>
    <col min="10250" max="10250" width="18.453125" style="1252" customWidth="1"/>
    <col min="10251" max="10496" width="11.453125" style="1252"/>
    <col min="10497" max="10497" width="26.6328125" style="1252" customWidth="1"/>
    <col min="10498" max="10498" width="15.6328125" style="1252" customWidth="1"/>
    <col min="10499" max="10499" width="11.453125" style="1252"/>
    <col min="10500" max="10500" width="18.453125" style="1252" customWidth="1"/>
    <col min="10501" max="10503" width="11.453125" style="1252"/>
    <col min="10504" max="10504" width="12.453125" style="1252" bestFit="1" customWidth="1"/>
    <col min="10505" max="10505" width="11.453125" style="1252"/>
    <col min="10506" max="10506" width="18.453125" style="1252" customWidth="1"/>
    <col min="10507" max="10752" width="11.453125" style="1252"/>
    <col min="10753" max="10753" width="26.6328125" style="1252" customWidth="1"/>
    <col min="10754" max="10754" width="15.6328125" style="1252" customWidth="1"/>
    <col min="10755" max="10755" width="11.453125" style="1252"/>
    <col min="10756" max="10756" width="18.453125" style="1252" customWidth="1"/>
    <col min="10757" max="10759" width="11.453125" style="1252"/>
    <col min="10760" max="10760" width="12.453125" style="1252" bestFit="1" customWidth="1"/>
    <col min="10761" max="10761" width="11.453125" style="1252"/>
    <col min="10762" max="10762" width="18.453125" style="1252" customWidth="1"/>
    <col min="10763" max="11008" width="11.453125" style="1252"/>
    <col min="11009" max="11009" width="26.6328125" style="1252" customWidth="1"/>
    <col min="11010" max="11010" width="15.6328125" style="1252" customWidth="1"/>
    <col min="11011" max="11011" width="11.453125" style="1252"/>
    <col min="11012" max="11012" width="18.453125" style="1252" customWidth="1"/>
    <col min="11013" max="11015" width="11.453125" style="1252"/>
    <col min="11016" max="11016" width="12.453125" style="1252" bestFit="1" customWidth="1"/>
    <col min="11017" max="11017" width="11.453125" style="1252"/>
    <col min="11018" max="11018" width="18.453125" style="1252" customWidth="1"/>
    <col min="11019" max="11264" width="11.453125" style="1252"/>
    <col min="11265" max="11265" width="26.6328125" style="1252" customWidth="1"/>
    <col min="11266" max="11266" width="15.6328125" style="1252" customWidth="1"/>
    <col min="11267" max="11267" width="11.453125" style="1252"/>
    <col min="11268" max="11268" width="18.453125" style="1252" customWidth="1"/>
    <col min="11269" max="11271" width="11.453125" style="1252"/>
    <col min="11272" max="11272" width="12.453125" style="1252" bestFit="1" customWidth="1"/>
    <col min="11273" max="11273" width="11.453125" style="1252"/>
    <col min="11274" max="11274" width="18.453125" style="1252" customWidth="1"/>
    <col min="11275" max="11520" width="11.453125" style="1252"/>
    <col min="11521" max="11521" width="26.6328125" style="1252" customWidth="1"/>
    <col min="11522" max="11522" width="15.6328125" style="1252" customWidth="1"/>
    <col min="11523" max="11523" width="11.453125" style="1252"/>
    <col min="11524" max="11524" width="18.453125" style="1252" customWidth="1"/>
    <col min="11525" max="11527" width="11.453125" style="1252"/>
    <col min="11528" max="11528" width="12.453125" style="1252" bestFit="1" customWidth="1"/>
    <col min="11529" max="11529" width="11.453125" style="1252"/>
    <col min="11530" max="11530" width="18.453125" style="1252" customWidth="1"/>
    <col min="11531" max="11776" width="11.453125" style="1252"/>
    <col min="11777" max="11777" width="26.6328125" style="1252" customWidth="1"/>
    <col min="11778" max="11778" width="15.6328125" style="1252" customWidth="1"/>
    <col min="11779" max="11779" width="11.453125" style="1252"/>
    <col min="11780" max="11780" width="18.453125" style="1252" customWidth="1"/>
    <col min="11781" max="11783" width="11.453125" style="1252"/>
    <col min="11784" max="11784" width="12.453125" style="1252" bestFit="1" customWidth="1"/>
    <col min="11785" max="11785" width="11.453125" style="1252"/>
    <col min="11786" max="11786" width="18.453125" style="1252" customWidth="1"/>
    <col min="11787" max="12032" width="11.453125" style="1252"/>
    <col min="12033" max="12033" width="26.6328125" style="1252" customWidth="1"/>
    <col min="12034" max="12034" width="15.6328125" style="1252" customWidth="1"/>
    <col min="12035" max="12035" width="11.453125" style="1252"/>
    <col min="12036" max="12036" width="18.453125" style="1252" customWidth="1"/>
    <col min="12037" max="12039" width="11.453125" style="1252"/>
    <col min="12040" max="12040" width="12.453125" style="1252" bestFit="1" customWidth="1"/>
    <col min="12041" max="12041" width="11.453125" style="1252"/>
    <col min="12042" max="12042" width="18.453125" style="1252" customWidth="1"/>
    <col min="12043" max="12288" width="11.453125" style="1252"/>
    <col min="12289" max="12289" width="26.6328125" style="1252" customWidth="1"/>
    <col min="12290" max="12290" width="15.6328125" style="1252" customWidth="1"/>
    <col min="12291" max="12291" width="11.453125" style="1252"/>
    <col min="12292" max="12292" width="18.453125" style="1252" customWidth="1"/>
    <col min="12293" max="12295" width="11.453125" style="1252"/>
    <col min="12296" max="12296" width="12.453125" style="1252" bestFit="1" customWidth="1"/>
    <col min="12297" max="12297" width="11.453125" style="1252"/>
    <col min="12298" max="12298" width="18.453125" style="1252" customWidth="1"/>
    <col min="12299" max="12544" width="11.453125" style="1252"/>
    <col min="12545" max="12545" width="26.6328125" style="1252" customWidth="1"/>
    <col min="12546" max="12546" width="15.6328125" style="1252" customWidth="1"/>
    <col min="12547" max="12547" width="11.453125" style="1252"/>
    <col min="12548" max="12548" width="18.453125" style="1252" customWidth="1"/>
    <col min="12549" max="12551" width="11.453125" style="1252"/>
    <col min="12552" max="12552" width="12.453125" style="1252" bestFit="1" customWidth="1"/>
    <col min="12553" max="12553" width="11.453125" style="1252"/>
    <col min="12554" max="12554" width="18.453125" style="1252" customWidth="1"/>
    <col min="12555" max="12800" width="11.453125" style="1252"/>
    <col min="12801" max="12801" width="26.6328125" style="1252" customWidth="1"/>
    <col min="12802" max="12802" width="15.6328125" style="1252" customWidth="1"/>
    <col min="12803" max="12803" width="11.453125" style="1252"/>
    <col min="12804" max="12804" width="18.453125" style="1252" customWidth="1"/>
    <col min="12805" max="12807" width="11.453125" style="1252"/>
    <col min="12808" max="12808" width="12.453125" style="1252" bestFit="1" customWidth="1"/>
    <col min="12809" max="12809" width="11.453125" style="1252"/>
    <col min="12810" max="12810" width="18.453125" style="1252" customWidth="1"/>
    <col min="12811" max="13056" width="11.453125" style="1252"/>
    <col min="13057" max="13057" width="26.6328125" style="1252" customWidth="1"/>
    <col min="13058" max="13058" width="15.6328125" style="1252" customWidth="1"/>
    <col min="13059" max="13059" width="11.453125" style="1252"/>
    <col min="13060" max="13060" width="18.453125" style="1252" customWidth="1"/>
    <col min="13061" max="13063" width="11.453125" style="1252"/>
    <col min="13064" max="13064" width="12.453125" style="1252" bestFit="1" customWidth="1"/>
    <col min="13065" max="13065" width="11.453125" style="1252"/>
    <col min="13066" max="13066" width="18.453125" style="1252" customWidth="1"/>
    <col min="13067" max="13312" width="11.453125" style="1252"/>
    <col min="13313" max="13313" width="26.6328125" style="1252" customWidth="1"/>
    <col min="13314" max="13314" width="15.6328125" style="1252" customWidth="1"/>
    <col min="13315" max="13315" width="11.453125" style="1252"/>
    <col min="13316" max="13316" width="18.453125" style="1252" customWidth="1"/>
    <col min="13317" max="13319" width="11.453125" style="1252"/>
    <col min="13320" max="13320" width="12.453125" style="1252" bestFit="1" customWidth="1"/>
    <col min="13321" max="13321" width="11.453125" style="1252"/>
    <col min="13322" max="13322" width="18.453125" style="1252" customWidth="1"/>
    <col min="13323" max="13568" width="11.453125" style="1252"/>
    <col min="13569" max="13569" width="26.6328125" style="1252" customWidth="1"/>
    <col min="13570" max="13570" width="15.6328125" style="1252" customWidth="1"/>
    <col min="13571" max="13571" width="11.453125" style="1252"/>
    <col min="13572" max="13572" width="18.453125" style="1252" customWidth="1"/>
    <col min="13573" max="13575" width="11.453125" style="1252"/>
    <col min="13576" max="13576" width="12.453125" style="1252" bestFit="1" customWidth="1"/>
    <col min="13577" max="13577" width="11.453125" style="1252"/>
    <col min="13578" max="13578" width="18.453125" style="1252" customWidth="1"/>
    <col min="13579" max="13824" width="11.453125" style="1252"/>
    <col min="13825" max="13825" width="26.6328125" style="1252" customWidth="1"/>
    <col min="13826" max="13826" width="15.6328125" style="1252" customWidth="1"/>
    <col min="13827" max="13827" width="11.453125" style="1252"/>
    <col min="13828" max="13828" width="18.453125" style="1252" customWidth="1"/>
    <col min="13829" max="13831" width="11.453125" style="1252"/>
    <col min="13832" max="13832" width="12.453125" style="1252" bestFit="1" customWidth="1"/>
    <col min="13833" max="13833" width="11.453125" style="1252"/>
    <col min="13834" max="13834" width="18.453125" style="1252" customWidth="1"/>
    <col min="13835" max="14080" width="11.453125" style="1252"/>
    <col min="14081" max="14081" width="26.6328125" style="1252" customWidth="1"/>
    <col min="14082" max="14082" width="15.6328125" style="1252" customWidth="1"/>
    <col min="14083" max="14083" width="11.453125" style="1252"/>
    <col min="14084" max="14084" width="18.453125" style="1252" customWidth="1"/>
    <col min="14085" max="14087" width="11.453125" style="1252"/>
    <col min="14088" max="14088" width="12.453125" style="1252" bestFit="1" customWidth="1"/>
    <col min="14089" max="14089" width="11.453125" style="1252"/>
    <col min="14090" max="14090" width="18.453125" style="1252" customWidth="1"/>
    <col min="14091" max="14336" width="11.453125" style="1252"/>
    <col min="14337" max="14337" width="26.6328125" style="1252" customWidth="1"/>
    <col min="14338" max="14338" width="15.6328125" style="1252" customWidth="1"/>
    <col min="14339" max="14339" width="11.453125" style="1252"/>
    <col min="14340" max="14340" width="18.453125" style="1252" customWidth="1"/>
    <col min="14341" max="14343" width="11.453125" style="1252"/>
    <col min="14344" max="14344" width="12.453125" style="1252" bestFit="1" customWidth="1"/>
    <col min="14345" max="14345" width="11.453125" style="1252"/>
    <col min="14346" max="14346" width="18.453125" style="1252" customWidth="1"/>
    <col min="14347" max="14592" width="11.453125" style="1252"/>
    <col min="14593" max="14593" width="26.6328125" style="1252" customWidth="1"/>
    <col min="14594" max="14594" width="15.6328125" style="1252" customWidth="1"/>
    <col min="14595" max="14595" width="11.453125" style="1252"/>
    <col min="14596" max="14596" width="18.453125" style="1252" customWidth="1"/>
    <col min="14597" max="14599" width="11.453125" style="1252"/>
    <col min="14600" max="14600" width="12.453125" style="1252" bestFit="1" customWidth="1"/>
    <col min="14601" max="14601" width="11.453125" style="1252"/>
    <col min="14602" max="14602" width="18.453125" style="1252" customWidth="1"/>
    <col min="14603" max="14848" width="11.453125" style="1252"/>
    <col min="14849" max="14849" width="26.6328125" style="1252" customWidth="1"/>
    <col min="14850" max="14850" width="15.6328125" style="1252" customWidth="1"/>
    <col min="14851" max="14851" width="11.453125" style="1252"/>
    <col min="14852" max="14852" width="18.453125" style="1252" customWidth="1"/>
    <col min="14853" max="14855" width="11.453125" style="1252"/>
    <col min="14856" max="14856" width="12.453125" style="1252" bestFit="1" customWidth="1"/>
    <col min="14857" max="14857" width="11.453125" style="1252"/>
    <col min="14858" max="14858" width="18.453125" style="1252" customWidth="1"/>
    <col min="14859" max="15104" width="11.453125" style="1252"/>
    <col min="15105" max="15105" width="26.6328125" style="1252" customWidth="1"/>
    <col min="15106" max="15106" width="15.6328125" style="1252" customWidth="1"/>
    <col min="15107" max="15107" width="11.453125" style="1252"/>
    <col min="15108" max="15108" width="18.453125" style="1252" customWidth="1"/>
    <col min="15109" max="15111" width="11.453125" style="1252"/>
    <col min="15112" max="15112" width="12.453125" style="1252" bestFit="1" customWidth="1"/>
    <col min="15113" max="15113" width="11.453125" style="1252"/>
    <col min="15114" max="15114" width="18.453125" style="1252" customWidth="1"/>
    <col min="15115" max="15360" width="11.453125" style="1252"/>
    <col min="15361" max="15361" width="26.6328125" style="1252" customWidth="1"/>
    <col min="15362" max="15362" width="15.6328125" style="1252" customWidth="1"/>
    <col min="15363" max="15363" width="11.453125" style="1252"/>
    <col min="15364" max="15364" width="18.453125" style="1252" customWidth="1"/>
    <col min="15365" max="15367" width="11.453125" style="1252"/>
    <col min="15368" max="15368" width="12.453125" style="1252" bestFit="1" customWidth="1"/>
    <col min="15369" max="15369" width="11.453125" style="1252"/>
    <col min="15370" max="15370" width="18.453125" style="1252" customWidth="1"/>
    <col min="15371" max="15616" width="11.453125" style="1252"/>
    <col min="15617" max="15617" width="26.6328125" style="1252" customWidth="1"/>
    <col min="15618" max="15618" width="15.6328125" style="1252" customWidth="1"/>
    <col min="15619" max="15619" width="11.453125" style="1252"/>
    <col min="15620" max="15620" width="18.453125" style="1252" customWidth="1"/>
    <col min="15621" max="15623" width="11.453125" style="1252"/>
    <col min="15624" max="15624" width="12.453125" style="1252" bestFit="1" customWidth="1"/>
    <col min="15625" max="15625" width="11.453125" style="1252"/>
    <col min="15626" max="15626" width="18.453125" style="1252" customWidth="1"/>
    <col min="15627" max="15872" width="11.453125" style="1252"/>
    <col min="15873" max="15873" width="26.6328125" style="1252" customWidth="1"/>
    <col min="15874" max="15874" width="15.6328125" style="1252" customWidth="1"/>
    <col min="15875" max="15875" width="11.453125" style="1252"/>
    <col min="15876" max="15876" width="18.453125" style="1252" customWidth="1"/>
    <col min="15877" max="15879" width="11.453125" style="1252"/>
    <col min="15880" max="15880" width="12.453125" style="1252" bestFit="1" customWidth="1"/>
    <col min="15881" max="15881" width="11.453125" style="1252"/>
    <col min="15882" max="15882" width="18.453125" style="1252" customWidth="1"/>
    <col min="15883" max="16128" width="11.453125" style="1252"/>
    <col min="16129" max="16129" width="26.6328125" style="1252" customWidth="1"/>
    <col min="16130" max="16130" width="15.6328125" style="1252" customWidth="1"/>
    <col min="16131" max="16131" width="11.453125" style="1252"/>
    <col min="16132" max="16132" width="18.453125" style="1252" customWidth="1"/>
    <col min="16133" max="16135" width="11.453125" style="1252"/>
    <col min="16136" max="16136" width="12.453125" style="1252" bestFit="1" customWidth="1"/>
    <col min="16137" max="16137" width="11.453125" style="1252"/>
    <col min="16138" max="16138" width="18.453125" style="1252" customWidth="1"/>
    <col min="16139" max="16384" width="11.453125" style="1252"/>
  </cols>
  <sheetData>
    <row r="1" spans="1:13">
      <c r="A1" s="2170" t="str">
        <f>+'PPTO INTERVENTORIA'!B7</f>
        <v>INTERVENTORIA PARA EL MEJORAMIENTO Y ADECUACIÓN DE LAS VIAS URBANAS DEL MUNICIPIO DE SANTA FE DE ANTIOQUIA</v>
      </c>
      <c r="B1" s="2171"/>
      <c r="C1" s="2171"/>
      <c r="D1" s="2171"/>
      <c r="E1" s="2171"/>
      <c r="F1" s="2171"/>
      <c r="G1" s="2171"/>
      <c r="H1" s="2172"/>
    </row>
    <row r="2" spans="1:13">
      <c r="A2" s="2173"/>
      <c r="B2" s="2174"/>
      <c r="C2" s="2174"/>
      <c r="D2" s="2174"/>
      <c r="E2" s="2174"/>
      <c r="F2" s="2174"/>
      <c r="G2" s="2174"/>
      <c r="H2" s="2175"/>
    </row>
    <row r="3" spans="1:13">
      <c r="A3" s="2176" t="s">
        <v>1585</v>
      </c>
      <c r="B3" s="2177"/>
      <c r="C3" s="2177"/>
      <c r="D3" s="2177"/>
      <c r="E3" s="2177"/>
      <c r="F3" s="2177"/>
      <c r="G3" s="2177"/>
      <c r="H3" s="2178"/>
      <c r="I3" s="1251"/>
      <c r="J3" s="1251"/>
    </row>
    <row r="4" spans="1:13">
      <c r="A4" s="1316"/>
      <c r="B4" s="1253"/>
      <c r="C4" s="1251"/>
      <c r="D4" s="1253"/>
      <c r="E4" s="1251"/>
      <c r="F4" s="1251"/>
      <c r="G4" s="1251"/>
      <c r="H4" s="1317"/>
      <c r="I4" s="1254"/>
      <c r="J4" s="1255"/>
    </row>
    <row r="5" spans="1:13">
      <c r="A5" s="1318" t="s">
        <v>1586</v>
      </c>
      <c r="B5" s="1256">
        <v>159889264</v>
      </c>
      <c r="C5" s="1251"/>
      <c r="D5" s="1251"/>
      <c r="E5" s="1251"/>
      <c r="F5" s="1251"/>
      <c r="G5" s="1251"/>
      <c r="H5" s="1317"/>
      <c r="I5" s="1251"/>
      <c r="J5" s="1251"/>
    </row>
    <row r="6" spans="1:13" ht="28">
      <c r="A6" s="1318" t="s">
        <v>1587</v>
      </c>
      <c r="B6" s="1257">
        <f>+'PPTO INTERVENTORIA'!G15</f>
        <v>2.5</v>
      </c>
      <c r="C6" s="1251"/>
      <c r="D6" s="1251"/>
      <c r="E6" s="1251"/>
      <c r="F6" s="1251"/>
      <c r="G6" s="1251"/>
      <c r="H6" s="1317"/>
      <c r="I6" s="1251"/>
      <c r="J6" s="1251"/>
    </row>
    <row r="7" spans="1:13">
      <c r="A7" s="1319"/>
      <c r="H7" s="1320"/>
    </row>
    <row r="8" spans="1:13">
      <c r="A8" s="2179" t="s">
        <v>1588</v>
      </c>
      <c r="B8" s="2180" t="s">
        <v>1589</v>
      </c>
      <c r="C8" s="2180"/>
      <c r="D8" s="2180"/>
      <c r="E8" s="2180" t="s">
        <v>1590</v>
      </c>
      <c r="F8" s="2180"/>
      <c r="G8" s="2180" t="s">
        <v>1591</v>
      </c>
      <c r="H8" s="2181"/>
      <c r="I8" s="1251"/>
      <c r="J8" s="1251"/>
    </row>
    <row r="9" spans="1:13" ht="28">
      <c r="A9" s="2179"/>
      <c r="B9" s="1258" t="s">
        <v>1592</v>
      </c>
      <c r="C9" s="1258" t="s">
        <v>1593</v>
      </c>
      <c r="D9" s="1258" t="s">
        <v>506</v>
      </c>
      <c r="E9" s="1258" t="s">
        <v>1594</v>
      </c>
      <c r="F9" s="1258" t="s">
        <v>1595</v>
      </c>
      <c r="G9" s="1258" t="s">
        <v>1596</v>
      </c>
      <c r="H9" s="1321" t="s">
        <v>1597</v>
      </c>
      <c r="I9" s="1251"/>
      <c r="J9" s="1251"/>
    </row>
    <row r="10" spans="1:13">
      <c r="A10" s="1322" t="s">
        <v>489</v>
      </c>
      <c r="B10" s="1259">
        <v>0.2</v>
      </c>
      <c r="C10" s="1260" t="s">
        <v>1598</v>
      </c>
      <c r="D10" s="1261">
        <f>+$B$5*B10</f>
        <v>31977852.800000001</v>
      </c>
      <c r="E10" s="1260" t="s">
        <v>1599</v>
      </c>
      <c r="F10" s="1262">
        <f>+IF(B5&lt;&gt;0,$B$6+6,"")</f>
        <v>8.5</v>
      </c>
      <c r="G10" s="1263">
        <v>3.0000000000000001E-3</v>
      </c>
      <c r="H10" s="1323">
        <f>ROUND(IF($B$5=0,"",D10*F10*G10/12),0)</f>
        <v>67953</v>
      </c>
      <c r="I10" s="1264" t="s">
        <v>1600</v>
      </c>
      <c r="J10" s="845"/>
    </row>
    <row r="11" spans="1:13" ht="28">
      <c r="A11" s="1322" t="s">
        <v>1601</v>
      </c>
      <c r="B11" s="1265">
        <f>ROUNDUP(IF(M20&gt;30%,30%,IF(M20&lt;5%,5%,M20)),2)</f>
        <v>0.3</v>
      </c>
      <c r="C11" s="1260" t="s">
        <v>1598</v>
      </c>
      <c r="D11" s="1261">
        <f>+$B$5*B11</f>
        <v>47966779.199999996</v>
      </c>
      <c r="E11" s="1260" t="s">
        <v>1602</v>
      </c>
      <c r="F11" s="1262">
        <f>+IF(B6&lt;&gt;0,$B$6+36,"")</f>
        <v>38.5</v>
      </c>
      <c r="G11" s="1266">
        <v>2.5000000000000001E-3</v>
      </c>
      <c r="H11" s="1323">
        <f>ROUND(IF($B$5=0,"",D11*F11*G11/12),0)</f>
        <v>384734</v>
      </c>
      <c r="I11" s="1264" t="s">
        <v>1603</v>
      </c>
      <c r="J11" s="845"/>
    </row>
    <row r="12" spans="1:13">
      <c r="A12" s="1322" t="s">
        <v>1604</v>
      </c>
      <c r="B12" s="1259">
        <v>0.2</v>
      </c>
      <c r="C12" s="1260" t="s">
        <v>1598</v>
      </c>
      <c r="D12" s="1261">
        <f>+$B$5*B12</f>
        <v>31977852.800000001</v>
      </c>
      <c r="E12" s="1260" t="s">
        <v>1605</v>
      </c>
      <c r="F12" s="1262">
        <f>+IF(B5&lt;&gt;0,60,"")</f>
        <v>60</v>
      </c>
      <c r="G12" s="1266">
        <v>3.0000000000000001E-3</v>
      </c>
      <c r="H12" s="1323">
        <f>ROUND(IF($B$5=0,"",D12*F12*G12/12),0)</f>
        <v>479668</v>
      </c>
      <c r="I12" s="1264" t="s">
        <v>1606</v>
      </c>
      <c r="J12" s="845"/>
    </row>
    <row r="13" spans="1:13" ht="28">
      <c r="A13" s="1322"/>
      <c r="B13" s="1267" t="s">
        <v>1607</v>
      </c>
      <c r="C13" s="1268" t="s">
        <v>1608</v>
      </c>
      <c r="D13" s="1269" t="s">
        <v>483</v>
      </c>
      <c r="E13" s="2182" t="s">
        <v>1609</v>
      </c>
      <c r="F13" s="2183"/>
      <c r="G13" s="2184" t="s">
        <v>486</v>
      </c>
      <c r="H13" s="2185"/>
      <c r="J13" s="845"/>
    </row>
    <row r="14" spans="1:13" ht="28">
      <c r="A14" s="1318" t="s">
        <v>1610</v>
      </c>
      <c r="B14" s="1270">
        <f>IF(B5=0,"",IF(J16&lt;1500,200,IF(I26&lt;2500,300,IF(I26&lt;5000,400,IF(I26&lt;10000,500,IF(I26&gt;10000,0.05))))))</f>
        <v>200</v>
      </c>
      <c r="C14" s="1271">
        <v>1423500</v>
      </c>
      <c r="D14" s="837">
        <f>IFERROR(IF(B14&lt;200,B14*C3,C14*B14),0)</f>
        <v>284700000</v>
      </c>
      <c r="E14" s="2186">
        <f>+B6</f>
        <v>2.5</v>
      </c>
      <c r="F14" s="2187"/>
      <c r="G14" s="1266">
        <v>3.0000000000000001E-3</v>
      </c>
      <c r="H14" s="1324">
        <f>G14*(E14/12)*D14</f>
        <v>177937.5</v>
      </c>
      <c r="I14" s="1264" t="s">
        <v>1611</v>
      </c>
      <c r="J14" s="1251"/>
    </row>
    <row r="15" spans="1:13">
      <c r="A15" s="1319"/>
      <c r="B15" s="1325"/>
      <c r="C15" s="1326"/>
      <c r="D15" s="1327"/>
      <c r="E15" s="1326"/>
      <c r="F15" s="1328"/>
      <c r="G15" s="1329"/>
      <c r="H15" s="1330"/>
      <c r="I15" s="1251"/>
      <c r="J15" s="1251"/>
    </row>
    <row r="16" spans="1:13" ht="20.5" thickBot="1">
      <c r="A16" s="2188" t="s">
        <v>1612</v>
      </c>
      <c r="B16" s="2189"/>
      <c r="C16" s="2189"/>
      <c r="D16" s="2189"/>
      <c r="E16" s="2189"/>
      <c r="F16" s="2189"/>
      <c r="G16" s="2189"/>
      <c r="H16" s="1331">
        <f>ROUND(SUM(H10:H15),0)</f>
        <v>1110293</v>
      </c>
      <c r="J16" s="850">
        <f>ROUND(B5/C14,0)</f>
        <v>112</v>
      </c>
      <c r="L16" s="1272" t="s">
        <v>505</v>
      </c>
      <c r="M16" s="1272" t="s">
        <v>506</v>
      </c>
    </row>
    <row r="17" spans="1:14" ht="15.5">
      <c r="L17" s="1273" t="s">
        <v>510</v>
      </c>
      <c r="M17" s="1274">
        <f>'[2]FORMULARIO 1 - Pliego tipo'!H36*(1+'[2]INTERV FM'!D34)</f>
        <v>175023500</v>
      </c>
    </row>
    <row r="18" spans="1:14" ht="23.5" thickBot="1">
      <c r="F18" s="2190" t="s">
        <v>1613</v>
      </c>
      <c r="G18" s="2190"/>
      <c r="H18" s="1275"/>
      <c r="J18" s="855" t="s">
        <v>509</v>
      </c>
      <c r="L18" s="1276" t="s">
        <v>512</v>
      </c>
      <c r="M18" s="1274">
        <f>+SUM(M17)</f>
        <v>175023500</v>
      </c>
    </row>
    <row r="19" spans="1:14" ht="34.5">
      <c r="H19" s="1277"/>
      <c r="J19" s="855" t="s">
        <v>511</v>
      </c>
      <c r="L19" s="1278" t="s">
        <v>1614</v>
      </c>
      <c r="M19" s="1274">
        <f>+M18</f>
        <v>175023500</v>
      </c>
      <c r="N19" s="856" t="s">
        <v>1615</v>
      </c>
    </row>
    <row r="20" spans="1:14" ht="23">
      <c r="H20" s="1279"/>
      <c r="I20" s="1253"/>
      <c r="J20" s="855" t="s">
        <v>513</v>
      </c>
      <c r="K20" s="1253"/>
      <c r="L20" s="1278" t="s">
        <v>516</v>
      </c>
      <c r="M20" s="1280">
        <f>IF(B5&lt;&gt;0,M19/B5,0)</f>
        <v>1.0946544853693241</v>
      </c>
    </row>
    <row r="21" spans="1:14" ht="23">
      <c r="J21" s="855" t="s">
        <v>515</v>
      </c>
    </row>
    <row r="22" spans="1:14" ht="34.5">
      <c r="A22" s="1281"/>
      <c r="B22" s="1251"/>
      <c r="C22" s="1251"/>
      <c r="D22" s="1251"/>
      <c r="E22" s="1251"/>
      <c r="F22" s="1251"/>
      <c r="G22" s="1251"/>
      <c r="H22" s="1251"/>
      <c r="I22" s="1251"/>
      <c r="J22" s="855" t="s">
        <v>517</v>
      </c>
      <c r="K22" s="1251"/>
      <c r="L22" s="1251"/>
    </row>
    <row r="23" spans="1:14" ht="23">
      <c r="J23" s="855" t="s">
        <v>519</v>
      </c>
    </row>
  </sheetData>
  <mergeCells count="11">
    <mergeCell ref="E13:F13"/>
    <mergeCell ref="G13:H13"/>
    <mergeCell ref="E14:F14"/>
    <mergeCell ref="A16:G16"/>
    <mergeCell ref="F18:G18"/>
    <mergeCell ref="A1:H2"/>
    <mergeCell ref="A3:H3"/>
    <mergeCell ref="A8:A9"/>
    <mergeCell ref="B8:D8"/>
    <mergeCell ref="E8:F8"/>
    <mergeCell ref="G8:H8"/>
  </mergeCells>
  <conditionalFormatting sqref="B11">
    <cfRule type="cellIs" dxfId="5" priority="1" operator="notEqual">
      <formula>0</formula>
    </cfRule>
  </conditionalFormatting>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994E6F-5E42-414E-A7D4-4A02B86E28E2}">
  <sheetPr>
    <tabColor theme="4" tint="0.59999389629810485"/>
  </sheetPr>
  <dimension ref="A1:I21"/>
  <sheetViews>
    <sheetView workbookViewId="0">
      <selection activeCell="E8" sqref="E8"/>
    </sheetView>
  </sheetViews>
  <sheetFormatPr baseColWidth="10" defaultColWidth="11.453125" defaultRowHeight="14.5"/>
  <cols>
    <col min="1" max="1" width="64.81640625" style="1282" customWidth="1"/>
    <col min="2" max="2" width="21.6328125" style="1282" customWidth="1"/>
    <col min="3" max="3" width="18" style="1282" customWidth="1"/>
    <col min="4" max="4" width="16" style="1282" customWidth="1"/>
    <col min="5" max="5" width="20.08984375" style="1282" customWidth="1"/>
    <col min="6" max="6" width="21.81640625" style="1282" customWidth="1"/>
    <col min="7" max="16384" width="11.453125" style="1282"/>
  </cols>
  <sheetData>
    <row r="1" spans="1:9" ht="16.5" customHeight="1">
      <c r="A1" s="2191" t="str">
        <f>+'PPTO INTERVENTORIA'!B7</f>
        <v>INTERVENTORIA PARA EL MEJORAMIENTO Y ADECUACIÓN DE LAS VIAS URBANAS DEL MUNICIPIO DE SANTA FE DE ANTIOQUIA</v>
      </c>
      <c r="B1" s="2192"/>
      <c r="C1" s="2192"/>
      <c r="D1" s="2192"/>
      <c r="E1" s="2192"/>
      <c r="F1" s="2193"/>
    </row>
    <row r="2" spans="1:9" ht="8.5" customHeight="1">
      <c r="A2" s="2194"/>
      <c r="B2" s="2195"/>
      <c r="C2" s="2195"/>
      <c r="D2" s="2195"/>
      <c r="E2" s="2195"/>
      <c r="F2" s="2196"/>
    </row>
    <row r="3" spans="1:9" ht="16">
      <c r="A3" s="2197" t="s">
        <v>1616</v>
      </c>
      <c r="B3" s="2198"/>
      <c r="C3" s="2198"/>
      <c r="D3" s="2198"/>
      <c r="E3" s="2198"/>
      <c r="F3" s="2199"/>
    </row>
    <row r="4" spans="1:9" ht="16">
      <c r="A4" s="2200"/>
      <c r="B4" s="2201"/>
      <c r="C4" s="2201"/>
      <c r="D4" s="2201"/>
      <c r="E4" s="2201"/>
      <c r="F4" s="2202"/>
    </row>
    <row r="5" spans="1:9">
      <c r="A5" s="1332" t="s">
        <v>1617</v>
      </c>
      <c r="B5" s="1283">
        <f ca="1">+'PPTO INTERVENTORIA'!H72</f>
        <v>33952785</v>
      </c>
      <c r="C5" s="1333"/>
      <c r="D5" s="1334"/>
      <c r="E5" s="1299"/>
      <c r="F5" s="1335"/>
    </row>
    <row r="6" spans="1:9">
      <c r="A6" s="1336"/>
      <c r="C6" s="1337"/>
      <c r="D6" s="1338"/>
      <c r="E6" s="1339"/>
      <c r="F6" s="1340"/>
    </row>
    <row r="7" spans="1:9" s="828" customFormat="1" ht="13.5">
      <c r="A7" s="1336"/>
      <c r="C7" s="1337"/>
      <c r="D7" s="1338"/>
      <c r="E7" s="1339"/>
      <c r="F7" s="1340"/>
    </row>
    <row r="8" spans="1:9" ht="15.5">
      <c r="A8" s="1341" t="s">
        <v>1618</v>
      </c>
      <c r="B8" s="1006">
        <v>0.04</v>
      </c>
      <c r="C8" s="1284"/>
      <c r="D8" s="1284"/>
      <c r="E8" s="1285">
        <f ca="1">ROUND(IFERROR($B$5*B8,0),0)</f>
        <v>1358111</v>
      </c>
      <c r="F8" s="1342">
        <f ca="1">IFERROR(E8/'PPTO INTERVENTORIA'!$H$32,0)</f>
        <v>0.1013515671641791</v>
      </c>
      <c r="G8" s="2203" t="s">
        <v>1619</v>
      </c>
      <c r="H8" s="2203"/>
      <c r="I8" s="2203"/>
    </row>
    <row r="9" spans="1:9" ht="15.5">
      <c r="A9" s="1341" t="s">
        <v>1620</v>
      </c>
      <c r="B9" s="1006">
        <v>0.02</v>
      </c>
      <c r="C9" s="1284"/>
      <c r="D9" s="1284"/>
      <c r="E9" s="1285">
        <f t="shared" ref="E9:E12" ca="1" si="0">ROUND(IFERROR($B$5*B9,0),0)</f>
        <v>679056</v>
      </c>
      <c r="F9" s="1342">
        <f ca="1">IFERROR(E9/'PPTO INTERVENTORIA'!$H$32,0)</f>
        <v>5.0675820895522389E-2</v>
      </c>
      <c r="G9" s="2203"/>
      <c r="H9" s="2203"/>
      <c r="I9" s="2203"/>
    </row>
    <row r="10" spans="1:9" ht="15.5">
      <c r="A10" s="1341" t="s">
        <v>523</v>
      </c>
      <c r="B10" s="1006">
        <v>0.02</v>
      </c>
      <c r="C10" s="1284"/>
      <c r="D10" s="1284"/>
      <c r="E10" s="1285">
        <f t="shared" ca="1" si="0"/>
        <v>679056</v>
      </c>
      <c r="F10" s="1342">
        <f ca="1">IFERROR(E10/'PPTO INTERVENTORIA'!$H$32,0)</f>
        <v>5.0675820895522389E-2</v>
      </c>
      <c r="G10" s="2203"/>
      <c r="H10" s="2203"/>
      <c r="I10" s="2203"/>
    </row>
    <row r="11" spans="1:9" ht="15.5">
      <c r="A11" s="1341" t="s">
        <v>1621</v>
      </c>
      <c r="B11" s="1006">
        <v>0.01</v>
      </c>
      <c r="C11" s="1284"/>
      <c r="D11" s="1284"/>
      <c r="E11" s="1285">
        <f t="shared" ca="1" si="0"/>
        <v>339528</v>
      </c>
      <c r="F11" s="1342">
        <f ca="1">IFERROR(E11/'PPTO INTERVENTORIA'!$H$32,0)</f>
        <v>2.5337910447761194E-2</v>
      </c>
      <c r="G11" s="2203"/>
      <c r="H11" s="2203"/>
      <c r="I11" s="2203"/>
    </row>
    <row r="12" spans="1:9" ht="15.5">
      <c r="A12" s="1341" t="s">
        <v>525</v>
      </c>
      <c r="B12" s="1006">
        <v>2.5000000000000001E-2</v>
      </c>
      <c r="C12" s="1284"/>
      <c r="D12" s="1284"/>
      <c r="E12" s="1285">
        <f t="shared" ca="1" si="0"/>
        <v>848820</v>
      </c>
      <c r="F12" s="1342">
        <f ca="1">IFERROR(E12/'PPTO INTERVENTORIA'!$H$32,0)</f>
        <v>6.3344776119402979E-2</v>
      </c>
      <c r="G12" s="2203"/>
      <c r="H12" s="2203"/>
      <c r="I12" s="2203"/>
    </row>
    <row r="13" spans="1:9" ht="15.5">
      <c r="A13" s="1341"/>
      <c r="B13" s="1006"/>
      <c r="C13" s="1284"/>
      <c r="D13" s="1284"/>
      <c r="E13" s="1285"/>
      <c r="F13" s="1342"/>
      <c r="G13" s="2203"/>
      <c r="H13" s="2203"/>
      <c r="I13" s="2203"/>
    </row>
    <row r="14" spans="1:9" ht="24.75" customHeight="1">
      <c r="A14" s="1011"/>
      <c r="B14" s="1006"/>
      <c r="C14" s="1284"/>
      <c r="D14" s="1284"/>
      <c r="E14" s="1285"/>
      <c r="F14" s="1342"/>
      <c r="G14" s="2203"/>
      <c r="H14" s="2203"/>
      <c r="I14" s="2203"/>
    </row>
    <row r="15" spans="1:9" ht="28.25" customHeight="1">
      <c r="A15" s="2204" t="s">
        <v>527</v>
      </c>
      <c r="B15" s="2205"/>
      <c r="C15" s="2205"/>
      <c r="D15" s="2206"/>
      <c r="E15" s="1285">
        <f ca="1">+SUM(E8:E14)</f>
        <v>3904571</v>
      </c>
      <c r="F15" s="1342">
        <f ca="1">+SUM(F8:F14)</f>
        <v>0.29138589552238808</v>
      </c>
      <c r="G15" s="1286"/>
      <c r="H15" s="1286"/>
      <c r="I15" s="1286"/>
    </row>
    <row r="16" spans="1:9">
      <c r="A16" s="1343"/>
      <c r="F16" s="1344"/>
      <c r="G16" s="1286"/>
      <c r="H16" s="1286"/>
      <c r="I16" s="1286"/>
    </row>
    <row r="17" spans="1:9" ht="30.5" customHeight="1" thickBot="1">
      <c r="A17" s="1345"/>
      <c r="B17" s="1346"/>
      <c r="C17" s="1346"/>
      <c r="D17" s="2190" t="s">
        <v>1622</v>
      </c>
      <c r="E17" s="2190"/>
      <c r="F17" s="1347">
        <f ca="1">+F15</f>
        <v>0.29138589552238808</v>
      </c>
      <c r="G17" s="1286"/>
      <c r="H17" s="1286"/>
      <c r="I17" s="1286"/>
    </row>
    <row r="18" spans="1:9">
      <c r="H18" s="1286"/>
      <c r="I18" s="1286"/>
    </row>
    <row r="19" spans="1:9">
      <c r="H19" s="1286"/>
      <c r="I19" s="1286"/>
    </row>
    <row r="20" spans="1:9">
      <c r="H20" s="1286"/>
      <c r="I20" s="1286"/>
    </row>
    <row r="21" spans="1:9" ht="13.25" customHeight="1"/>
  </sheetData>
  <mergeCells count="6">
    <mergeCell ref="D17:E17"/>
    <mergeCell ref="A1:F2"/>
    <mergeCell ref="A3:F3"/>
    <mergeCell ref="A4:F4"/>
    <mergeCell ref="G8:I14"/>
    <mergeCell ref="A15:D15"/>
  </mergeCells>
  <conditionalFormatting sqref="E4">
    <cfRule type="cellIs" dxfId="4" priority="1" stopIfTrue="1" operator="equal">
      <formula>0</formula>
    </cfRule>
  </conditionalFormatting>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394A93-7679-4063-8A34-4D475DC016C3}">
  <sheetPr>
    <tabColor theme="4" tint="0.59999389629810485"/>
  </sheetPr>
  <dimension ref="A1:H46"/>
  <sheetViews>
    <sheetView workbookViewId="0">
      <selection activeCell="B2" sqref="B2"/>
    </sheetView>
  </sheetViews>
  <sheetFormatPr baseColWidth="10" defaultColWidth="11.453125" defaultRowHeight="14.5"/>
  <cols>
    <col min="1" max="1" width="52.6328125" style="587" customWidth="1"/>
    <col min="2" max="2" width="11.6328125" style="587" customWidth="1"/>
    <col min="3" max="3" width="19" style="587" bestFit="1" customWidth="1"/>
    <col min="4" max="4" width="14.6328125" style="587" customWidth="1"/>
    <col min="5" max="5" width="18.453125" style="587" customWidth="1"/>
    <col min="6" max="6" width="14.6328125" style="587" customWidth="1"/>
    <col min="7" max="7" width="14.08984375" style="587" customWidth="1"/>
    <col min="8" max="8" width="45" style="587" customWidth="1"/>
    <col min="9" max="16384" width="11.453125" style="587"/>
  </cols>
  <sheetData>
    <row r="1" spans="1:8">
      <c r="A1" s="587" t="s">
        <v>767</v>
      </c>
      <c r="B1" s="589">
        <v>5</v>
      </c>
      <c r="C1" s="587" t="s">
        <v>768</v>
      </c>
      <c r="F1" s="588" t="s">
        <v>1623</v>
      </c>
      <c r="G1" s="589"/>
    </row>
    <row r="2" spans="1:8">
      <c r="A2" s="587" t="s">
        <v>769</v>
      </c>
      <c r="B2" s="590">
        <f>ROUND(B1*95/19,0)</f>
        <v>25</v>
      </c>
      <c r="C2" s="587" t="s">
        <v>768</v>
      </c>
    </row>
    <row r="3" spans="1:8" ht="14.5" customHeight="1">
      <c r="A3" s="587" t="s">
        <v>770</v>
      </c>
      <c r="B3" s="591"/>
      <c r="C3" s="587" t="s">
        <v>771</v>
      </c>
      <c r="H3" s="2207" t="s">
        <v>772</v>
      </c>
    </row>
    <row r="4" spans="1:8">
      <c r="A4" s="587" t="s">
        <v>773</v>
      </c>
      <c r="B4" s="591">
        <v>45</v>
      </c>
      <c r="C4" s="587" t="s">
        <v>774</v>
      </c>
      <c r="H4" s="2207"/>
    </row>
    <row r="5" spans="1:8">
      <c r="H5" s="2207"/>
    </row>
    <row r="6" spans="1:8" ht="31">
      <c r="A6" s="592" t="s">
        <v>775</v>
      </c>
      <c r="B6" s="593" t="s">
        <v>319</v>
      </c>
      <c r="C6" s="594" t="s">
        <v>776</v>
      </c>
      <c r="D6" s="595" t="s">
        <v>321</v>
      </c>
      <c r="E6" s="595" t="s">
        <v>323</v>
      </c>
      <c r="H6" s="2207"/>
    </row>
    <row r="7" spans="1:8" ht="30" hidden="1" customHeight="1">
      <c r="A7" s="592" t="s">
        <v>1624</v>
      </c>
      <c r="B7" s="593" t="s">
        <v>319</v>
      </c>
      <c r="C7" s="594"/>
      <c r="D7" s="595">
        <f>10500*1.19</f>
        <v>12495</v>
      </c>
      <c r="E7" s="599">
        <f>+C7*D7</f>
        <v>0</v>
      </c>
      <c r="F7" s="2054" t="s">
        <v>777</v>
      </c>
      <c r="G7" s="2055"/>
      <c r="H7" s="2207"/>
    </row>
    <row r="8" spans="1:8" ht="30" hidden="1" customHeight="1">
      <c r="A8" s="592" t="s">
        <v>748</v>
      </c>
      <c r="B8" s="596" t="s">
        <v>642</v>
      </c>
      <c r="C8" s="597"/>
      <c r="D8" s="598">
        <v>79373</v>
      </c>
      <c r="E8" s="599">
        <f>+C8*D8</f>
        <v>0</v>
      </c>
      <c r="F8" s="2054"/>
      <c r="G8" s="2055"/>
      <c r="H8" s="2207"/>
    </row>
    <row r="9" spans="1:8" ht="47.5" hidden="1" customHeight="1">
      <c r="A9" s="592" t="s">
        <v>778</v>
      </c>
      <c r="B9" s="596" t="s">
        <v>642</v>
      </c>
      <c r="C9" s="597"/>
      <c r="D9" s="601">
        <v>82503</v>
      </c>
      <c r="E9" s="599">
        <f t="shared" ref="E9:E44" si="0">+C9*D9</f>
        <v>0</v>
      </c>
      <c r="F9" s="2054"/>
      <c r="G9" s="2055"/>
      <c r="H9" s="2207"/>
    </row>
    <row r="10" spans="1:8" ht="47.5" hidden="1" customHeight="1">
      <c r="A10" s="592" t="s">
        <v>779</v>
      </c>
      <c r="B10" s="596" t="s">
        <v>319</v>
      </c>
      <c r="C10" s="597"/>
      <c r="D10" s="601">
        <v>68901</v>
      </c>
      <c r="E10" s="599">
        <f t="shared" si="0"/>
        <v>0</v>
      </c>
      <c r="F10" s="2054"/>
      <c r="G10" s="2055"/>
      <c r="H10" s="2207"/>
    </row>
    <row r="11" spans="1:8" ht="47.5" hidden="1" customHeight="1">
      <c r="A11" s="592" t="s">
        <v>751</v>
      </c>
      <c r="B11" s="596" t="s">
        <v>642</v>
      </c>
      <c r="C11" s="597"/>
      <c r="D11" s="601">
        <v>88354</v>
      </c>
      <c r="E11" s="599">
        <f t="shared" si="0"/>
        <v>0</v>
      </c>
      <c r="F11" s="2054"/>
      <c r="G11" s="2055"/>
      <c r="H11" s="2207"/>
    </row>
    <row r="12" spans="1:8" ht="47.5" hidden="1" customHeight="1">
      <c r="A12" s="592" t="s">
        <v>780</v>
      </c>
      <c r="B12" s="596" t="s">
        <v>642</v>
      </c>
      <c r="C12" s="597"/>
      <c r="D12" s="601">
        <v>89964</v>
      </c>
      <c r="E12" s="599">
        <f t="shared" si="0"/>
        <v>0</v>
      </c>
      <c r="F12" s="2054"/>
      <c r="G12" s="2055"/>
    </row>
    <row r="13" spans="1:8" ht="46.5" hidden="1">
      <c r="A13" s="592" t="s">
        <v>750</v>
      </c>
      <c r="B13" s="596" t="s">
        <v>642</v>
      </c>
      <c r="C13" s="597"/>
      <c r="D13" s="601">
        <v>161762</v>
      </c>
      <c r="E13" s="599">
        <f t="shared" si="0"/>
        <v>0</v>
      </c>
      <c r="F13" s="2054"/>
      <c r="G13" s="2055"/>
    </row>
    <row r="14" spans="1:8" ht="46.5" hidden="1">
      <c r="A14" s="592" t="s">
        <v>781</v>
      </c>
      <c r="B14" s="596" t="s">
        <v>642</v>
      </c>
      <c r="C14" s="597"/>
      <c r="D14" s="601">
        <v>105202</v>
      </c>
      <c r="E14" s="599">
        <f t="shared" si="0"/>
        <v>0</v>
      </c>
      <c r="F14" s="2054"/>
      <c r="G14" s="2055"/>
    </row>
    <row r="15" spans="1:8" ht="46.5" hidden="1">
      <c r="A15" s="592" t="s">
        <v>782</v>
      </c>
      <c r="B15" s="596" t="s">
        <v>642</v>
      </c>
      <c r="C15" s="597"/>
      <c r="D15" s="601">
        <v>190042</v>
      </c>
      <c r="E15" s="599">
        <f t="shared" si="0"/>
        <v>0</v>
      </c>
      <c r="F15" s="2054"/>
      <c r="G15" s="2055"/>
    </row>
    <row r="16" spans="1:8" ht="48" hidden="1" customHeight="1">
      <c r="A16" s="592" t="s">
        <v>783</v>
      </c>
      <c r="B16" s="596" t="s">
        <v>642</v>
      </c>
      <c r="C16" s="597"/>
      <c r="D16" s="601">
        <v>118776</v>
      </c>
      <c r="E16" s="599">
        <f t="shared" si="0"/>
        <v>0</v>
      </c>
      <c r="F16" s="2054"/>
      <c r="G16" s="2055"/>
    </row>
    <row r="17" spans="1:8" ht="65.5" hidden="1" customHeight="1">
      <c r="A17" s="592" t="s">
        <v>784</v>
      </c>
      <c r="B17" s="596" t="s">
        <v>642</v>
      </c>
      <c r="C17" s="597"/>
      <c r="D17" s="601">
        <v>121797</v>
      </c>
      <c r="E17" s="599">
        <f t="shared" si="0"/>
        <v>0</v>
      </c>
      <c r="F17" s="2054"/>
      <c r="G17" s="2055"/>
    </row>
    <row r="18" spans="1:8" ht="55" hidden="1" customHeight="1">
      <c r="A18" s="592" t="s">
        <v>752</v>
      </c>
      <c r="B18" s="596" t="s">
        <v>642</v>
      </c>
      <c r="C18" s="597"/>
      <c r="D18" s="601">
        <v>196350</v>
      </c>
      <c r="E18" s="599">
        <f t="shared" si="0"/>
        <v>0</v>
      </c>
      <c r="F18" s="2054"/>
      <c r="G18" s="2055"/>
      <c r="H18" s="605" t="s">
        <v>785</v>
      </c>
    </row>
    <row r="19" spans="1:8" ht="31">
      <c r="A19" s="592" t="s">
        <v>257</v>
      </c>
      <c r="B19" s="602" t="s">
        <v>642</v>
      </c>
      <c r="C19" s="603">
        <v>30</v>
      </c>
      <c r="D19" s="604">
        <v>49028</v>
      </c>
      <c r="E19" s="599">
        <f t="shared" si="0"/>
        <v>1470840</v>
      </c>
      <c r="F19" s="2054"/>
      <c r="G19" s="2055"/>
    </row>
    <row r="20" spans="1:8" ht="31">
      <c r="A20" s="592" t="s">
        <v>259</v>
      </c>
      <c r="B20" s="602" t="s">
        <v>642</v>
      </c>
      <c r="C20" s="606">
        <v>40</v>
      </c>
      <c r="D20" s="604">
        <v>182022</v>
      </c>
      <c r="E20" s="599">
        <f t="shared" si="0"/>
        <v>7280880</v>
      </c>
      <c r="F20" s="2054"/>
      <c r="G20" s="2055"/>
    </row>
    <row r="21" spans="1:8" ht="46.5" hidden="1">
      <c r="A21" s="592" t="s">
        <v>786</v>
      </c>
      <c r="B21" s="602" t="s">
        <v>642</v>
      </c>
      <c r="C21" s="606"/>
      <c r="D21" s="604">
        <v>828145</v>
      </c>
      <c r="E21" s="599">
        <f t="shared" si="0"/>
        <v>0</v>
      </c>
      <c r="F21" s="2054"/>
      <c r="G21" s="2055"/>
    </row>
    <row r="22" spans="1:8" ht="46.5" hidden="1">
      <c r="A22" s="592" t="s">
        <v>753</v>
      </c>
      <c r="B22" s="602" t="s">
        <v>642</v>
      </c>
      <c r="C22" s="606"/>
      <c r="D22" s="604">
        <v>481391</v>
      </c>
      <c r="E22" s="599">
        <f t="shared" si="0"/>
        <v>0</v>
      </c>
      <c r="F22" s="605" t="s">
        <v>787</v>
      </c>
    </row>
    <row r="23" spans="1:8" ht="46.5" hidden="1">
      <c r="A23" s="592" t="s">
        <v>260</v>
      </c>
      <c r="B23" s="602" t="s">
        <v>642</v>
      </c>
      <c r="C23" s="602"/>
      <c r="D23" s="604">
        <v>993257</v>
      </c>
      <c r="E23" s="599">
        <f t="shared" si="0"/>
        <v>0</v>
      </c>
      <c r="F23" s="605" t="s">
        <v>789</v>
      </c>
    </row>
    <row r="24" spans="1:8" ht="35" hidden="1" customHeight="1">
      <c r="A24" s="592" t="s">
        <v>788</v>
      </c>
      <c r="B24" s="602" t="s">
        <v>319</v>
      </c>
      <c r="C24" s="602"/>
      <c r="D24" s="604">
        <v>220507</v>
      </c>
      <c r="E24" s="599">
        <f t="shared" si="0"/>
        <v>0</v>
      </c>
      <c r="F24" s="605" t="s">
        <v>790</v>
      </c>
    </row>
    <row r="25" spans="1:8" ht="35.25" customHeight="1">
      <c r="A25" s="592" t="s">
        <v>261</v>
      </c>
      <c r="B25" s="596" t="s">
        <v>642</v>
      </c>
      <c r="C25" s="596">
        <v>9</v>
      </c>
      <c r="D25" s="601">
        <v>98532</v>
      </c>
      <c r="E25" s="599">
        <f t="shared" si="0"/>
        <v>886788</v>
      </c>
      <c r="F25" s="605" t="s">
        <v>790</v>
      </c>
    </row>
    <row r="26" spans="1:8" ht="35.25" hidden="1" customHeight="1">
      <c r="A26" s="592" t="s">
        <v>791</v>
      </c>
      <c r="B26" s="596" t="s">
        <v>642</v>
      </c>
      <c r="C26" s="596">
        <v>0</v>
      </c>
      <c r="D26" s="601">
        <v>76874</v>
      </c>
      <c r="E26" s="599">
        <f t="shared" si="0"/>
        <v>0</v>
      </c>
      <c r="F26" s="605" t="s">
        <v>793</v>
      </c>
    </row>
    <row r="27" spans="1:8" ht="35.25" hidden="1" customHeight="1">
      <c r="A27" s="592" t="s">
        <v>792</v>
      </c>
      <c r="B27" s="596" t="s">
        <v>642</v>
      </c>
      <c r="C27" s="596">
        <v>0</v>
      </c>
      <c r="D27" s="601">
        <v>4073192</v>
      </c>
      <c r="E27" s="599">
        <f t="shared" si="0"/>
        <v>0</v>
      </c>
      <c r="F27" s="605"/>
    </row>
    <row r="28" spans="1:8" ht="50.5" hidden="1" customHeight="1">
      <c r="A28" s="592" t="s">
        <v>754</v>
      </c>
      <c r="B28" s="602" t="s">
        <v>642</v>
      </c>
      <c r="C28" s="602"/>
      <c r="D28" s="604">
        <v>119833</v>
      </c>
      <c r="E28" s="599">
        <f t="shared" si="0"/>
        <v>0</v>
      </c>
      <c r="F28" s="605"/>
    </row>
    <row r="29" spans="1:8" ht="56.5" hidden="1" customHeight="1">
      <c r="A29" s="592" t="s">
        <v>794</v>
      </c>
      <c r="B29" s="602" t="s">
        <v>642</v>
      </c>
      <c r="C29" s="602"/>
      <c r="D29" s="604">
        <v>176001</v>
      </c>
      <c r="E29" s="599">
        <f t="shared" si="0"/>
        <v>0</v>
      </c>
      <c r="F29" s="605" t="s">
        <v>795</v>
      </c>
    </row>
    <row r="30" spans="1:8" ht="48" customHeight="1">
      <c r="A30" s="592" t="s">
        <v>262</v>
      </c>
      <c r="B30" s="596" t="s">
        <v>642</v>
      </c>
      <c r="C30" s="1287">
        <v>60</v>
      </c>
      <c r="D30" s="601">
        <v>7854</v>
      </c>
      <c r="E30" s="599">
        <f t="shared" si="0"/>
        <v>471240</v>
      </c>
      <c r="F30" s="605" t="s">
        <v>797</v>
      </c>
    </row>
    <row r="31" spans="1:8" ht="48" hidden="1" customHeight="1">
      <c r="A31" s="592" t="s">
        <v>796</v>
      </c>
      <c r="B31" s="596" t="s">
        <v>642</v>
      </c>
      <c r="C31" s="1287">
        <f>+$B$3/8</f>
        <v>0</v>
      </c>
      <c r="D31" s="601">
        <v>34034</v>
      </c>
      <c r="E31" s="599">
        <f t="shared" si="0"/>
        <v>0</v>
      </c>
      <c r="F31" s="605" t="s">
        <v>799</v>
      </c>
    </row>
    <row r="32" spans="1:8" ht="50" hidden="1" customHeight="1">
      <c r="A32" s="592" t="s">
        <v>798</v>
      </c>
      <c r="B32" s="596" t="s">
        <v>642</v>
      </c>
      <c r="C32" s="607"/>
      <c r="D32" s="601">
        <v>214847</v>
      </c>
      <c r="E32" s="599">
        <f t="shared" si="0"/>
        <v>0</v>
      </c>
    </row>
    <row r="33" spans="1:5" ht="26.25" hidden="1" customHeight="1">
      <c r="A33" s="592" t="s">
        <v>800</v>
      </c>
      <c r="B33" s="596" t="s">
        <v>642</v>
      </c>
      <c r="C33" s="607"/>
      <c r="D33" s="601">
        <v>207119</v>
      </c>
      <c r="E33" s="599">
        <f t="shared" si="0"/>
        <v>0</v>
      </c>
    </row>
    <row r="34" spans="1:5" ht="26.25" hidden="1" customHeight="1">
      <c r="A34" s="592" t="s">
        <v>801</v>
      </c>
      <c r="B34" s="596" t="s">
        <v>642</v>
      </c>
      <c r="C34" s="607"/>
      <c r="D34" s="601">
        <v>79184</v>
      </c>
      <c r="E34" s="599">
        <f t="shared" si="0"/>
        <v>0</v>
      </c>
    </row>
    <row r="35" spans="1:5" ht="26.25" hidden="1" customHeight="1">
      <c r="A35" s="592" t="s">
        <v>802</v>
      </c>
      <c r="B35" s="596" t="s">
        <v>642</v>
      </c>
      <c r="C35" s="607"/>
      <c r="D35" s="601">
        <v>28322</v>
      </c>
      <c r="E35" s="599">
        <f t="shared" si="0"/>
        <v>0</v>
      </c>
    </row>
    <row r="36" spans="1:5" ht="38" hidden="1" customHeight="1">
      <c r="A36" s="592" t="s">
        <v>803</v>
      </c>
      <c r="B36" s="596" t="s">
        <v>642</v>
      </c>
      <c r="C36" s="607"/>
      <c r="D36" s="601">
        <v>8925</v>
      </c>
      <c r="E36" s="599">
        <f t="shared" si="0"/>
        <v>0</v>
      </c>
    </row>
    <row r="37" spans="1:5" ht="31" hidden="1">
      <c r="A37" s="592" t="s">
        <v>804</v>
      </c>
      <c r="B37" s="596" t="s">
        <v>642</v>
      </c>
      <c r="C37" s="607"/>
      <c r="D37" s="601">
        <v>107100</v>
      </c>
      <c r="E37" s="599">
        <f t="shared" si="0"/>
        <v>0</v>
      </c>
    </row>
    <row r="38" spans="1:5" ht="31" hidden="1">
      <c r="A38" s="592" t="s">
        <v>805</v>
      </c>
      <c r="B38" s="596" t="s">
        <v>642</v>
      </c>
      <c r="C38" s="607"/>
      <c r="D38" s="601">
        <v>133054</v>
      </c>
      <c r="E38" s="599">
        <f t="shared" si="0"/>
        <v>0</v>
      </c>
    </row>
    <row r="39" spans="1:5" ht="31" hidden="1">
      <c r="A39" s="608" t="s">
        <v>806</v>
      </c>
      <c r="B39" s="596" t="s">
        <v>319</v>
      </c>
      <c r="C39" s="607"/>
      <c r="D39" s="601">
        <v>157794</v>
      </c>
      <c r="E39" s="599">
        <f t="shared" si="0"/>
        <v>0</v>
      </c>
    </row>
    <row r="40" spans="1:5" ht="46.5" hidden="1">
      <c r="A40" s="608" t="s">
        <v>808</v>
      </c>
      <c r="B40" s="596" t="s">
        <v>10</v>
      </c>
      <c r="C40" s="607"/>
      <c r="D40" s="601">
        <v>395080</v>
      </c>
      <c r="E40" s="599">
        <f t="shared" si="0"/>
        <v>0</v>
      </c>
    </row>
    <row r="41" spans="1:5" ht="15.5" hidden="1">
      <c r="A41" s="608" t="s">
        <v>809</v>
      </c>
      <c r="B41" s="596" t="s">
        <v>319</v>
      </c>
      <c r="C41" s="607"/>
      <c r="D41" s="601">
        <v>586194</v>
      </c>
      <c r="E41" s="599">
        <f t="shared" si="0"/>
        <v>0</v>
      </c>
    </row>
    <row r="42" spans="1:5" ht="15.5" hidden="1">
      <c r="A42" s="608" t="s">
        <v>810</v>
      </c>
      <c r="B42" s="596" t="s">
        <v>319</v>
      </c>
      <c r="C42" s="607"/>
      <c r="D42" s="601">
        <v>584647</v>
      </c>
      <c r="E42" s="599">
        <f t="shared" si="0"/>
        <v>0</v>
      </c>
    </row>
    <row r="43" spans="1:5" ht="15.5" hidden="1">
      <c r="A43" s="608" t="s">
        <v>811</v>
      </c>
      <c r="B43" s="596" t="s">
        <v>319</v>
      </c>
      <c r="C43" s="607"/>
      <c r="D43" s="601">
        <v>293633</v>
      </c>
      <c r="E43" s="599">
        <f t="shared" si="0"/>
        <v>0</v>
      </c>
    </row>
    <row r="44" spans="1:5" ht="31" hidden="1">
      <c r="A44" s="608" t="s">
        <v>812</v>
      </c>
      <c r="B44" s="596" t="s">
        <v>319</v>
      </c>
      <c r="C44" s="607"/>
      <c r="D44" s="601">
        <v>163400</v>
      </c>
      <c r="E44" s="599">
        <f t="shared" si="0"/>
        <v>0</v>
      </c>
    </row>
    <row r="45" spans="1:5" ht="15" thickBot="1">
      <c r="A45" s="1288"/>
    </row>
    <row r="46" spans="1:5" ht="15" thickBot="1">
      <c r="A46" s="2056" t="s">
        <v>813</v>
      </c>
      <c r="B46" s="2057"/>
      <c r="C46" s="2057"/>
      <c r="D46" s="2058"/>
      <c r="E46" s="1289">
        <f>ROUND(SUM(E7:E44),0)</f>
        <v>10109748</v>
      </c>
    </row>
  </sheetData>
  <protectedRanges>
    <protectedRange sqref="D6:E6" name="Rango1_3_2_2"/>
    <protectedRange sqref="D7:E7 E8:E39" name="Rango1_3_2_2_1"/>
    <protectedRange sqref="E40" name="Rango1_3_2_2_1_1"/>
    <protectedRange sqref="E41:E43" name="Rango1_3_2_2_1_1_1"/>
    <protectedRange sqref="D13:D16 D8:D10" name="Rango1_3_2_2_1_3"/>
    <protectedRange sqref="D11:D12 D17:D37" name="Rango1_2_1_1_2_1_2"/>
    <protectedRange sqref="D38" name="Rango1_2_1_1_2_2"/>
  </protectedRanges>
  <mergeCells count="3">
    <mergeCell ref="H3:H11"/>
    <mergeCell ref="F7:G21"/>
    <mergeCell ref="A46:D46"/>
  </mergeCells>
  <pageMargins left="0.7" right="0.7" top="0.75" bottom="0.75"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9A9355-DD5D-4012-8759-7D2DE302D542}">
  <sheetPr>
    <tabColor theme="4" tint="0.59999389629810485"/>
  </sheetPr>
  <dimension ref="B1:H39"/>
  <sheetViews>
    <sheetView view="pageBreakPreview" topLeftCell="A4" zoomScale="80" zoomScaleNormal="70" zoomScaleSheetLayoutView="80" workbookViewId="0">
      <selection activeCell="B13" sqref="B13:H14"/>
    </sheetView>
  </sheetViews>
  <sheetFormatPr baseColWidth="10" defaultColWidth="11.453125" defaultRowHeight="14.5"/>
  <cols>
    <col min="1" max="1" width="2.08984375" style="1" customWidth="1"/>
    <col min="2" max="2" width="46.81640625" style="151" customWidth="1"/>
    <col min="3" max="3" width="20.81640625" style="151" customWidth="1"/>
    <col min="4" max="4" width="22.08984375" style="1" customWidth="1"/>
    <col min="5" max="5" width="20.81640625" style="1" customWidth="1"/>
    <col min="6" max="6" width="20.36328125" style="1" customWidth="1"/>
    <col min="7" max="7" width="23.36328125" style="1" customWidth="1"/>
    <col min="8" max="8" width="19.36328125" style="1" bestFit="1" customWidth="1"/>
    <col min="9" max="9" width="11.453125" style="1"/>
    <col min="10" max="11" width="15.6328125" style="1" bestFit="1" customWidth="1"/>
    <col min="12" max="12" width="16.6328125" style="1" bestFit="1" customWidth="1"/>
    <col min="13" max="16384" width="11.453125" style="1"/>
  </cols>
  <sheetData>
    <row r="1" spans="2:8" ht="15" thickBot="1"/>
    <row r="2" spans="2:8" ht="14.5" customHeight="1">
      <c r="B2" s="1721"/>
      <c r="C2" s="1746" t="s">
        <v>889</v>
      </c>
      <c r="D2" s="1747"/>
      <c r="E2" s="1747"/>
      <c r="F2" s="1747"/>
      <c r="G2" s="1747"/>
      <c r="H2" s="1748"/>
    </row>
    <row r="3" spans="2:8">
      <c r="B3" s="1722"/>
      <c r="C3" s="1749"/>
      <c r="D3" s="1750"/>
      <c r="E3" s="1750"/>
      <c r="F3" s="1750"/>
      <c r="G3" s="1750"/>
      <c r="H3" s="1751"/>
    </row>
    <row r="4" spans="2:8" ht="23" customHeight="1">
      <c r="B4" s="1722"/>
      <c r="C4" s="1749"/>
      <c r="D4" s="1750"/>
      <c r="E4" s="1750"/>
      <c r="F4" s="1750"/>
      <c r="G4" s="1750"/>
      <c r="H4" s="1751"/>
    </row>
    <row r="5" spans="2:8">
      <c r="B5" s="1722"/>
      <c r="C5" s="1749"/>
      <c r="D5" s="1750"/>
      <c r="E5" s="1750"/>
      <c r="F5" s="1750"/>
      <c r="G5" s="1750"/>
      <c r="H5" s="1751"/>
    </row>
    <row r="6" spans="2:8" ht="38" customHeight="1" thickBot="1">
      <c r="B6" s="1723"/>
      <c r="C6" s="1752"/>
      <c r="D6" s="1753"/>
      <c r="E6" s="1753"/>
      <c r="F6" s="1753"/>
      <c r="G6" s="1753"/>
      <c r="H6" s="1754"/>
    </row>
    <row r="7" spans="2:8" ht="14.5" customHeight="1">
      <c r="B7" s="1724" t="s">
        <v>890</v>
      </c>
      <c r="C7" s="1725"/>
      <c r="D7" s="1726"/>
      <c r="E7" s="1726"/>
      <c r="F7" s="1733" t="s">
        <v>891</v>
      </c>
      <c r="G7" s="1735"/>
      <c r="H7" s="1736"/>
    </row>
    <row r="8" spans="2:8">
      <c r="B8" s="1727"/>
      <c r="C8" s="1728"/>
      <c r="D8" s="1729"/>
      <c r="E8" s="1729"/>
      <c r="F8" s="1734"/>
      <c r="G8" s="1737"/>
      <c r="H8" s="1738"/>
    </row>
    <row r="9" spans="2:8">
      <c r="B9" s="1727"/>
      <c r="C9" s="1728"/>
      <c r="D9" s="1729"/>
      <c r="E9" s="1729"/>
      <c r="F9" s="332" t="s">
        <v>892</v>
      </c>
      <c r="G9" s="1739"/>
      <c r="H9" s="1740"/>
    </row>
    <row r="10" spans="2:8">
      <c r="B10" s="1727"/>
      <c r="C10" s="1728"/>
      <c r="D10" s="1729"/>
      <c r="E10" s="1729"/>
      <c r="F10" s="332" t="s">
        <v>893</v>
      </c>
      <c r="G10" s="1739"/>
      <c r="H10" s="1740"/>
    </row>
    <row r="11" spans="2:8">
      <c r="B11" s="1727"/>
      <c r="C11" s="1728"/>
      <c r="D11" s="1729"/>
      <c r="E11" s="1729"/>
      <c r="F11" s="1734" t="s">
        <v>894</v>
      </c>
      <c r="G11" s="1742"/>
      <c r="H11" s="1743"/>
    </row>
    <row r="12" spans="2:8" ht="15" thickBot="1">
      <c r="B12" s="1730"/>
      <c r="C12" s="1731"/>
      <c r="D12" s="1732"/>
      <c r="E12" s="1732"/>
      <c r="F12" s="1741"/>
      <c r="G12" s="1744"/>
      <c r="H12" s="1745"/>
    </row>
    <row r="13" spans="2:8" ht="14.5" customHeight="1">
      <c r="B13" s="1755" t="str">
        <f>+PRESUPUESTO!A2</f>
        <v>OBJETO: MEJORAMIENTO Y ADECUACIÓN DE LAS VIAS URBANAS DEL MUNICIPIO DE SANTA FE DE ANTIOQUIA</v>
      </c>
      <c r="C13" s="1756"/>
      <c r="D13" s="1757"/>
      <c r="E13" s="1757"/>
      <c r="F13" s="1757"/>
      <c r="G13" s="1757"/>
      <c r="H13" s="1758"/>
    </row>
    <row r="14" spans="2:8" ht="15" thickBot="1">
      <c r="B14" s="1759"/>
      <c r="C14" s="1760"/>
      <c r="D14" s="1761"/>
      <c r="E14" s="1761"/>
      <c r="F14" s="1761"/>
      <c r="G14" s="1761"/>
      <c r="H14" s="1762"/>
    </row>
    <row r="15" spans="2:8" ht="15" customHeight="1" thickBot="1">
      <c r="B15" s="1766" t="s">
        <v>1</v>
      </c>
      <c r="C15" s="1767"/>
      <c r="D15" s="1763"/>
      <c r="E15" s="1763"/>
      <c r="F15" s="1763"/>
      <c r="G15" s="1763"/>
      <c r="H15" s="168" t="s">
        <v>193</v>
      </c>
    </row>
    <row r="16" spans="2:8" ht="48" customHeight="1" thickBot="1">
      <c r="B16" s="1768" t="s">
        <v>895</v>
      </c>
      <c r="C16" s="1769"/>
      <c r="D16" s="1764" t="str">
        <f>+PRESUPUESTO!B6</f>
        <v>Localización, trazado y replanteo del proyecto. Se utilizará equipo de precisión, personal experto. Se hará con la frecuencia que lo indique la interventoria. incluye demarcación con pintura, línea de trazado, corte de piso, libretas, planos.</v>
      </c>
      <c r="E16" s="1765"/>
      <c r="F16" s="1765"/>
      <c r="G16" s="1765"/>
      <c r="H16" s="169" t="str">
        <f>+P!$C$4</f>
        <v>m</v>
      </c>
    </row>
    <row r="17" spans="2:8" ht="15" thickBot="1">
      <c r="B17" s="338" t="s">
        <v>896</v>
      </c>
      <c r="C17" s="338"/>
    </row>
    <row r="18" spans="2:8" ht="36" customHeight="1">
      <c r="B18" s="1719" t="s">
        <v>897</v>
      </c>
      <c r="C18" s="1720"/>
      <c r="D18" s="335" t="s">
        <v>319</v>
      </c>
      <c r="E18" s="335" t="s">
        <v>320</v>
      </c>
      <c r="F18" s="335" t="s">
        <v>898</v>
      </c>
      <c r="G18" s="336" t="s">
        <v>899</v>
      </c>
      <c r="H18" s="139"/>
    </row>
    <row r="19" spans="2:8">
      <c r="B19" s="1711" t="str">
        <f>+MATERIALES!B23</f>
        <v>Clavos 2"</v>
      </c>
      <c r="C19" s="1712"/>
      <c r="D19" s="174" t="str">
        <f>+MATERIALES!C23</f>
        <v>lb</v>
      </c>
      <c r="E19" s="175">
        <v>0.81</v>
      </c>
      <c r="F19" s="176">
        <f>+MATERIALES!D23</f>
        <v>5500</v>
      </c>
      <c r="G19" s="177">
        <f>+ROUND((E19*F19),0)</f>
        <v>4455</v>
      </c>
      <c r="H19" s="140"/>
    </row>
    <row r="20" spans="2:8">
      <c r="B20" s="1711" t="str">
        <f>+MATERIALES!B24</f>
        <v>Estaca para topografía</v>
      </c>
      <c r="C20" s="1712"/>
      <c r="D20" s="174" t="str">
        <f>+MATERIALES!C24</f>
        <v>un</v>
      </c>
      <c r="E20" s="175">
        <v>8</v>
      </c>
      <c r="F20" s="176">
        <f>+MATERIALES!D24</f>
        <v>3000</v>
      </c>
      <c r="G20" s="177">
        <f>+ROUND((E20*F20),0)</f>
        <v>24000</v>
      </c>
      <c r="H20" s="140"/>
    </row>
    <row r="21" spans="2:8" ht="15" thickBot="1">
      <c r="B21" s="183"/>
      <c r="C21" s="183"/>
      <c r="D21" s="301">
        <f>+H21/$H$38</f>
        <v>2.9349665864549047E-2</v>
      </c>
      <c r="E21" s="185"/>
      <c r="F21" s="65"/>
      <c r="G21" s="212" t="s">
        <v>900</v>
      </c>
      <c r="H21" s="339">
        <f>+ROUND(SUM(G19:G20),0)</f>
        <v>28455</v>
      </c>
    </row>
    <row r="22" spans="2:8" ht="15" thickBot="1">
      <c r="B22" s="183" t="s">
        <v>901</v>
      </c>
      <c r="C22" s="183"/>
    </row>
    <row r="23" spans="2:8">
      <c r="B23" s="170" t="s">
        <v>897</v>
      </c>
      <c r="C23" s="396" t="s">
        <v>902</v>
      </c>
      <c r="D23" s="335" t="s">
        <v>903</v>
      </c>
      <c r="E23" s="335" t="s">
        <v>320</v>
      </c>
      <c r="F23" s="335" t="s">
        <v>898</v>
      </c>
      <c r="G23" s="337" t="s">
        <v>899</v>
      </c>
      <c r="H23" s="143"/>
    </row>
    <row r="24" spans="2:8">
      <c r="B24" s="308" t="str">
        <f>+M.O.!A7</f>
        <v>TOPÓGRAFO</v>
      </c>
      <c r="C24" s="397">
        <f>+M.O.!G7</f>
        <v>325471</v>
      </c>
      <c r="D24" s="392"/>
      <c r="E24" s="401">
        <v>1</v>
      </c>
      <c r="F24" s="392"/>
      <c r="G24" s="406">
        <f>+C24*E24</f>
        <v>325471</v>
      </c>
      <c r="H24" s="162"/>
    </row>
    <row r="25" spans="2:8">
      <c r="B25" s="308" t="str">
        <f>+M.O.!A8</f>
        <v>CADENERO 1</v>
      </c>
      <c r="C25" s="397">
        <f>+M.O.!G8</f>
        <v>206671</v>
      </c>
      <c r="D25" s="392"/>
      <c r="E25" s="401">
        <v>1</v>
      </c>
      <c r="F25" s="392"/>
      <c r="G25" s="406">
        <f>+C25*E25</f>
        <v>206671</v>
      </c>
      <c r="H25" s="162"/>
    </row>
    <row r="26" spans="2:8" ht="15" thickBot="1">
      <c r="B26" s="178" t="str">
        <f>+M.O.!A9</f>
        <v>CADENERO 2</v>
      </c>
      <c r="C26" s="398">
        <f>+M.O.!G9</f>
        <v>221250</v>
      </c>
      <c r="D26" s="179"/>
      <c r="E26" s="402">
        <v>1</v>
      </c>
      <c r="F26" s="181"/>
      <c r="G26" s="407">
        <f>+E26*C26</f>
        <v>221250</v>
      </c>
      <c r="H26" s="144"/>
    </row>
    <row r="27" spans="2:8" ht="15" thickBot="1">
      <c r="B27" s="183"/>
      <c r="C27" s="183"/>
      <c r="D27" s="301">
        <f>+H27/$H$38</f>
        <v>0.77707972113949519</v>
      </c>
      <c r="E27" s="190"/>
      <c r="G27" s="186" t="s">
        <v>900</v>
      </c>
      <c r="H27" s="400">
        <f>+ROUND(SUM(G24:G26),0)</f>
        <v>753392</v>
      </c>
    </row>
    <row r="28" spans="2:8" ht="15" thickBot="1">
      <c r="B28" s="183" t="s">
        <v>904</v>
      </c>
      <c r="C28" s="183"/>
    </row>
    <row r="29" spans="2:8">
      <c r="B29" s="1713" t="s">
        <v>897</v>
      </c>
      <c r="C29" s="1714"/>
      <c r="D29" s="335" t="s">
        <v>319</v>
      </c>
      <c r="E29" s="335" t="s">
        <v>320</v>
      </c>
      <c r="F29" s="335" t="s">
        <v>898</v>
      </c>
      <c r="G29" s="337" t="s">
        <v>899</v>
      </c>
      <c r="H29" s="143"/>
    </row>
    <row r="30" spans="2:8">
      <c r="B30" s="1715" t="str">
        <f>+EQUIPOS!A6</f>
        <v>Equipo de topografía (estación total)</v>
      </c>
      <c r="C30" s="1716"/>
      <c r="D30" s="391" t="str">
        <f>+EQUIPOS!B6</f>
        <v>Día</v>
      </c>
      <c r="E30" s="391">
        <v>1</v>
      </c>
      <c r="F30" s="404">
        <f>+EQUIPOS!C6</f>
        <v>150000</v>
      </c>
      <c r="G30" s="405">
        <f>+ROUND((E30*F30),0)</f>
        <v>150000</v>
      </c>
      <c r="H30" s="162"/>
    </row>
    <row r="31" spans="2:8" ht="15" thickBot="1">
      <c r="B31" s="1717" t="s">
        <v>905</v>
      </c>
      <c r="C31" s="1718"/>
      <c r="D31" s="179" t="s">
        <v>906</v>
      </c>
      <c r="E31" s="180">
        <v>0.05</v>
      </c>
      <c r="F31" s="192">
        <f>+H27</f>
        <v>753392</v>
      </c>
      <c r="G31" s="193">
        <f>+ROUND((E31*F31),0)</f>
        <v>37670</v>
      </c>
      <c r="H31" s="144"/>
    </row>
    <row r="32" spans="2:8" ht="15" thickBot="1">
      <c r="B32" s="183"/>
      <c r="C32" s="183"/>
      <c r="D32" s="301">
        <f>+H32/$H$38</f>
        <v>0.19357061299595571</v>
      </c>
      <c r="E32" s="190"/>
      <c r="G32" s="212" t="s">
        <v>900</v>
      </c>
      <c r="H32" s="191">
        <f>+ROUND(SUM(G30:G31),0)</f>
        <v>187670</v>
      </c>
    </row>
    <row r="33" spans="2:8" ht="15" thickBot="1">
      <c r="B33" s="183" t="s">
        <v>907</v>
      </c>
      <c r="C33" s="183"/>
    </row>
    <row r="34" spans="2:8">
      <c r="B34" s="170" t="s">
        <v>897</v>
      </c>
      <c r="C34" s="394"/>
      <c r="D34" s="335" t="s">
        <v>319</v>
      </c>
      <c r="E34" s="335" t="s">
        <v>320</v>
      </c>
      <c r="F34" s="335" t="s">
        <v>898</v>
      </c>
      <c r="G34" s="337" t="s">
        <v>899</v>
      </c>
      <c r="H34" s="139"/>
    </row>
    <row r="35" spans="2:8" ht="15" thickBot="1">
      <c r="B35" s="178"/>
      <c r="C35" s="395"/>
      <c r="D35" s="179"/>
      <c r="E35" s="180"/>
      <c r="F35" s="192"/>
      <c r="G35" s="193"/>
      <c r="H35" s="142"/>
    </row>
    <row r="36" spans="2:8" ht="15" thickBot="1">
      <c r="D36" s="301">
        <f>+H36/$H$38</f>
        <v>0</v>
      </c>
      <c r="G36" s="212" t="s">
        <v>900</v>
      </c>
      <c r="H36" s="214">
        <f>+ROUND(SUM(G35),0)</f>
        <v>0</v>
      </c>
    </row>
    <row r="37" spans="2:8" ht="15" thickBot="1">
      <c r="G37" s="186"/>
      <c r="H37" s="194"/>
    </row>
    <row r="38" spans="2:8" ht="15" thickBot="1">
      <c r="B38" s="195"/>
      <c r="C38" s="195"/>
      <c r="D38" s="196"/>
      <c r="E38" s="197" t="s">
        <v>908</v>
      </c>
      <c r="F38" s="198"/>
      <c r="G38" s="198"/>
      <c r="H38" s="153">
        <f>ROUNDUP(SUM(H18:H36),0)</f>
        <v>969517</v>
      </c>
    </row>
    <row r="39" spans="2:8">
      <c r="B39" s="199"/>
      <c r="C39" s="199"/>
      <c r="D39" s="201"/>
      <c r="E39" s="253"/>
      <c r="F39" s="253"/>
      <c r="G39" s="253"/>
      <c r="H39" s="196"/>
    </row>
  </sheetData>
  <mergeCells count="20">
    <mergeCell ref="B19:C19"/>
    <mergeCell ref="B20:C20"/>
    <mergeCell ref="B29:C29"/>
    <mergeCell ref="B30:C30"/>
    <mergeCell ref="B31:C31"/>
    <mergeCell ref="B18:C18"/>
    <mergeCell ref="B2:B6"/>
    <mergeCell ref="C2:H6"/>
    <mergeCell ref="B7:E12"/>
    <mergeCell ref="F7:F8"/>
    <mergeCell ref="G7:H8"/>
    <mergeCell ref="G9:H9"/>
    <mergeCell ref="G10:H10"/>
    <mergeCell ref="F11:F12"/>
    <mergeCell ref="G11:H12"/>
    <mergeCell ref="B13:H14"/>
    <mergeCell ref="B15:C15"/>
    <mergeCell ref="D15:G15"/>
    <mergeCell ref="B16:C16"/>
    <mergeCell ref="D16:G16"/>
  </mergeCells>
  <pageMargins left="0.7" right="0.7" top="0.75" bottom="0.75" header="0.3" footer="0.3"/>
  <pageSetup scale="52" orientation="portrait" r:id="rId1"/>
  <rowBreaks count="1" manualBreakCount="1">
    <brk id="38" min="1" max="6" man="1"/>
  </rowBreaks>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4FFD8-1129-4089-A498-817A1403418E}">
  <sheetPr>
    <tabColor theme="7" tint="0.79998168889431442"/>
  </sheetPr>
  <dimension ref="B1:H22"/>
  <sheetViews>
    <sheetView workbookViewId="0">
      <selection activeCell="D19" sqref="D19"/>
    </sheetView>
  </sheetViews>
  <sheetFormatPr baseColWidth="10" defaultColWidth="11.453125" defaultRowHeight="14.5"/>
  <cols>
    <col min="1" max="1" width="4.6328125" customWidth="1"/>
    <col min="2" max="8" width="23.08984375" customWidth="1"/>
  </cols>
  <sheetData>
    <row r="1" spans="2:8" ht="15" thickBot="1"/>
    <row r="2" spans="2:8" ht="15" customHeight="1">
      <c r="B2" s="1792" t="str">
        <f>+PRESUPUESTO!A2</f>
        <v>OBJETO: MEJORAMIENTO Y ADECUACIÓN DE LAS VIAS URBANAS DEL MUNICIPIO DE SANTA FE DE ANTIOQUIA</v>
      </c>
      <c r="C2" s="1996"/>
      <c r="D2" s="1996"/>
      <c r="E2" s="1996"/>
      <c r="F2" s="1996"/>
      <c r="G2" s="1996"/>
      <c r="H2" s="1997"/>
    </row>
    <row r="3" spans="2:8">
      <c r="B3" s="1998"/>
      <c r="C3" s="1999"/>
      <c r="D3" s="1999"/>
      <c r="E3" s="1999"/>
      <c r="F3" s="1999"/>
      <c r="G3" s="1999"/>
      <c r="H3" s="2000"/>
    </row>
    <row r="4" spans="2:8">
      <c r="B4" s="1789" t="s">
        <v>528</v>
      </c>
      <c r="C4" s="1790"/>
      <c r="D4" s="1790"/>
      <c r="E4" s="1790"/>
      <c r="F4" s="1790"/>
      <c r="G4" s="1790"/>
      <c r="H4" s="1791"/>
    </row>
    <row r="5" spans="2:8" ht="29">
      <c r="B5" s="1017" t="s">
        <v>529</v>
      </c>
      <c r="C5" s="1016" t="s">
        <v>530</v>
      </c>
      <c r="D5" s="1016" t="s">
        <v>531</v>
      </c>
      <c r="E5" s="1016" t="s">
        <v>532</v>
      </c>
      <c r="F5" s="1016" t="s">
        <v>533</v>
      </c>
      <c r="G5" s="1016" t="s">
        <v>534</v>
      </c>
      <c r="H5" s="1018" t="s">
        <v>535</v>
      </c>
    </row>
    <row r="6" spans="2:8" ht="75">
      <c r="B6" s="1019" t="s">
        <v>536</v>
      </c>
      <c r="C6" s="664">
        <f>+'FP ADTIVO'!AH6</f>
        <v>8.1999999999999993</v>
      </c>
      <c r="D6" s="826">
        <f>+HLOOKUP(C6,'FP ADTIVO'!$P$6:$AI$44,5,FALSE)</f>
        <v>11673000</v>
      </c>
      <c r="E6" s="665">
        <f>+HLOOKUP(D6,'FP ADTIVO'!$P$10:$AI$40,31,FALSE)</f>
        <v>1.45</v>
      </c>
      <c r="F6" s="666" t="s">
        <v>537</v>
      </c>
      <c r="G6" s="667" t="str">
        <f>+'FP ADTIVO'!AH5</f>
        <v>Profesional Especialista Director General - Especialista en gerencia de proyectos o de obra.</v>
      </c>
      <c r="H6" s="1020" t="s">
        <v>538</v>
      </c>
    </row>
    <row r="7" spans="2:8" ht="50">
      <c r="B7" s="1019" t="s">
        <v>539</v>
      </c>
      <c r="C7" s="664">
        <f>+'FP ADTIVO'!AF6</f>
        <v>6.2</v>
      </c>
      <c r="D7" s="826">
        <f>+HLOOKUP(C7,'FP ADTIVO'!$P$6:$AI$44,5,FALSE)</f>
        <v>8826000</v>
      </c>
      <c r="E7" s="665">
        <f>+HLOOKUP(D7,'FP ADTIVO'!$P$10:$AI$40,31,FALSE)</f>
        <v>1.45</v>
      </c>
      <c r="F7" s="666" t="s">
        <v>540</v>
      </c>
      <c r="G7" s="667" t="str">
        <f>+'FP ADTIVO'!AF5</f>
        <v>Director de Obra, Ingeniero Especialista (en todos los campos) y Profesional SIG.</v>
      </c>
      <c r="H7" s="1020" t="s">
        <v>541</v>
      </c>
    </row>
    <row r="8" spans="2:8" ht="99" customHeight="1">
      <c r="B8" s="1019" t="s">
        <v>242</v>
      </c>
      <c r="C8" s="664">
        <f>+'FP ADTIVO'!AD6</f>
        <v>5.4375999999999998</v>
      </c>
      <c r="D8" s="826">
        <f>+HLOOKUP(C8,'FP ADTIVO'!$P$6:$AI$44,5,FALSE)</f>
        <v>7740000</v>
      </c>
      <c r="E8" s="665">
        <f>+HLOOKUP(D8,'FP ADTIVO'!$P$10:$AI$40,31,FALSE)</f>
        <v>1.46</v>
      </c>
      <c r="F8" s="666" t="s">
        <v>540</v>
      </c>
      <c r="G8" s="667" t="str">
        <f>+'FP ADTIVO'!AD5</f>
        <v>Director de Obra y/o interventoria, Ingeniero Especialista (en todos los campos).
Profesional Universitario en: Ingeniería Civil o de Vías y Transportes Y/O arquitecto y/o arquitecto constructor</v>
      </c>
      <c r="H8" s="1020" t="s">
        <v>1754</v>
      </c>
    </row>
    <row r="9" spans="2:8" ht="112.5">
      <c r="B9" s="1019" t="s">
        <v>542</v>
      </c>
      <c r="C9" s="664">
        <f>+'FP ADTIVO'!AB6</f>
        <v>5.2949999999999999</v>
      </c>
      <c r="D9" s="826">
        <f>+HLOOKUP(C9,'FP ADTIVO'!$P$6:$AI$44,5,FALSE)</f>
        <v>7537000</v>
      </c>
      <c r="E9" s="665">
        <f>+HLOOKUP(D9,'FP ADTIVO'!$P$10:$AI$40,31,FALSE)</f>
        <v>1.46</v>
      </c>
      <c r="F9" s="666" t="s">
        <v>543</v>
      </c>
      <c r="G9" s="667" t="str">
        <f>+'FP ADTIVO'!AB5</f>
        <v>Asesor contable y triburario, Asesor jurídico (Abogado), Abogado gestión predial, Ingeniero Forestal, Ingeniero Civil, Geólogo, Biologo, Arqueologo, Economista, Profesional Residente de Obra.</v>
      </c>
      <c r="H9" s="1020" t="s">
        <v>544</v>
      </c>
    </row>
    <row r="10" spans="2:8" ht="62.5">
      <c r="B10" s="1019" t="s">
        <v>545</v>
      </c>
      <c r="C10" s="664">
        <f>+'FP ADTIVO'!Z6</f>
        <v>4</v>
      </c>
      <c r="D10" s="826">
        <f>+HLOOKUP(C10,'FP ADTIVO'!$P$6:$AI$44,5,FALSE)</f>
        <v>5694000</v>
      </c>
      <c r="E10" s="665">
        <f>+HLOOKUP(D10,'FP ADTIVO'!$P$10:$AI$40,31,FALSE)</f>
        <v>1.46</v>
      </c>
      <c r="F10" s="666" t="s">
        <v>546</v>
      </c>
      <c r="G10" s="667" t="str">
        <f>+'FP ADTIVO'!Z5</f>
        <v>Profesional Residente Proyecto, Ambiental, Profesional Residente Social, Profesional prediador, Ingeniero civil.</v>
      </c>
      <c r="H10" s="1020" t="s">
        <v>547</v>
      </c>
    </row>
    <row r="11" spans="2:8" ht="87.5">
      <c r="B11" s="1019" t="s">
        <v>548</v>
      </c>
      <c r="C11" s="664">
        <f>+'FP ADTIVO'!X6</f>
        <v>3.3</v>
      </c>
      <c r="D11" s="826">
        <f>+HLOOKUP(C11,'FP ADTIVO'!$P$6:$AI$44,5,FALSE)</f>
        <v>4698000</v>
      </c>
      <c r="E11" s="665">
        <f>+HLOOKUP(D11,'FP ADTIVO'!$P$10:$AI$40,31,FALSE)</f>
        <v>1.46</v>
      </c>
      <c r="F11" s="666" t="s">
        <v>546</v>
      </c>
      <c r="G11" s="667" t="str">
        <f>+'FP ADTIVO'!X5</f>
        <v xml:space="preserve">Profesional Residente proyecto, obra, interventoría, Ambiental, Profesional Residente Social, Profesional prediador, Antropólogo. Profesional SISO. </v>
      </c>
      <c r="H11" s="1020" t="s">
        <v>549</v>
      </c>
    </row>
    <row r="12" spans="2:8" ht="37.5">
      <c r="B12" s="1019" t="s">
        <v>550</v>
      </c>
      <c r="C12" s="664">
        <f>+'FP ADTIVO'!P6</f>
        <v>2.5659999999999998</v>
      </c>
      <c r="D12" s="826">
        <f>+HLOOKUP(C12,'FP ADTIVO'!$P$6:$AI$44,5,FALSE)</f>
        <v>3653000</v>
      </c>
      <c r="E12" s="665">
        <f>+HLOOKUP(D12,'FP ADTIVO'!$P$10:$AI$40,31,FALSE)</f>
        <v>1.8</v>
      </c>
      <c r="F12" s="666" t="s">
        <v>551</v>
      </c>
      <c r="G12" s="666" t="str">
        <f>+'FP ADTIVO'!P5</f>
        <v xml:space="preserve"> Inspectores de obra / Operario Especializado / Técnico</v>
      </c>
      <c r="H12" s="1020" t="s">
        <v>552</v>
      </c>
    </row>
    <row r="13" spans="2:8" ht="75">
      <c r="B13" s="1019" t="s">
        <v>553</v>
      </c>
      <c r="C13" s="664">
        <f>+'FP ADTIVO'!V6</f>
        <v>2.3723331310973035</v>
      </c>
      <c r="D13" s="826">
        <f>+HLOOKUP(C13,'FP ADTIVO'!$P$6:$AI$44,5,FALSE)</f>
        <v>3377000</v>
      </c>
      <c r="E13" s="665">
        <f>+HLOOKUP(D13,'FP ADTIVO'!$P$10:$AI$40,31,FALSE)</f>
        <v>1.46</v>
      </c>
      <c r="F13" s="666" t="s">
        <v>554</v>
      </c>
      <c r="G13" s="667" t="str">
        <f>+'FP ADTIVO'!V5</f>
        <v>Tecnólogo en Construcciones Civiles, Tecnólogo Ambiental, Tecnólogo social, Tecnólogo SISO.</v>
      </c>
      <c r="H13" s="1020" t="s">
        <v>552</v>
      </c>
    </row>
    <row r="14" spans="2:8" ht="125">
      <c r="B14" s="1019" t="s">
        <v>555</v>
      </c>
      <c r="C14" s="664">
        <f>+'FP ADTIVO'!T6</f>
        <v>2.78</v>
      </c>
      <c r="D14" s="826">
        <f>+HLOOKUP(C14,'FP ADTIVO'!$P$6:$AI$44,5,FALSE)</f>
        <v>3957000</v>
      </c>
      <c r="E14" s="665">
        <f>+HLOOKUP(D14,'FP ADTIVO'!$P$10:$AI$40,31,FALSE)</f>
        <v>1.46</v>
      </c>
      <c r="F14" s="666" t="s">
        <v>554</v>
      </c>
      <c r="G14" s="666" t="str">
        <f>+'FP ADTIVO'!T5</f>
        <v>Tecnólogo en Construcciones Civiles, Tecnólogo Ambiental, Tecnólogo social, Tecnólogo SISO.
Tecnólogo en: Administración de Empresas y/o Contabilidad y/o Finanzas y/o Gestión de Mercados o afines.</v>
      </c>
      <c r="H14" s="1020" t="s">
        <v>556</v>
      </c>
    </row>
    <row r="15" spans="2:8" ht="75">
      <c r="B15" s="1019" t="s">
        <v>557</v>
      </c>
      <c r="C15" s="664">
        <f>+'FP ADTIVO'!R6</f>
        <v>2.6819999999999999</v>
      </c>
      <c r="D15" s="826">
        <f>+HLOOKUP(C15,'FP ADTIVO'!$P$6:$AI$44,5,FALSE)</f>
        <v>3818000</v>
      </c>
      <c r="E15" s="665">
        <f>+HLOOKUP(D15,'FP ADTIVO'!$P$10:$AI$40,31,FALSE)</f>
        <v>1.46</v>
      </c>
      <c r="F15" s="666" t="s">
        <v>554</v>
      </c>
      <c r="G15" s="666" t="str">
        <f>+'FP ADTIVO'!R5</f>
        <v>Tecnólogo en Construcciones Civiles, Tecnólogo Ambiental, Tecnólogo social, Tecnólogo SISO, Dibujante.</v>
      </c>
      <c r="H15" s="1020" t="s">
        <v>558</v>
      </c>
    </row>
    <row r="16" spans="2:8" ht="37.5">
      <c r="B16" s="1019" t="s">
        <v>559</v>
      </c>
      <c r="C16" s="664">
        <f>+'FP ADTIVO'!P6</f>
        <v>2.5659999999999998</v>
      </c>
      <c r="D16" s="826">
        <f>+HLOOKUP(C16,'FP ADTIVO'!$P$6:$AI$44,5,FALSE)</f>
        <v>3653000</v>
      </c>
      <c r="E16" s="665">
        <f>+HLOOKUP(D16,'FP ADTIVO'!$P$10:$AI$40,31,FALSE)</f>
        <v>1.8</v>
      </c>
      <c r="F16" s="666" t="s">
        <v>560</v>
      </c>
      <c r="G16" s="668" t="s">
        <v>561</v>
      </c>
      <c r="H16" s="1020" t="s">
        <v>552</v>
      </c>
    </row>
    <row r="17" spans="2:8" ht="162.5">
      <c r="B17" s="1019" t="s">
        <v>562</v>
      </c>
      <c r="C17" s="664">
        <f>+'FP ADTIVO'!N6</f>
        <v>2.302</v>
      </c>
      <c r="D17" s="826">
        <f>+HLOOKUP(C17,'FP ADTIVO'!$D$6:$AI$44,5,FALSE)</f>
        <v>3277000</v>
      </c>
      <c r="E17" s="665">
        <f>+HLOOKUP(D17,'FP ADTIVO'!$D$10:$AI$40,31,FALSE)</f>
        <v>1.82</v>
      </c>
      <c r="F17" s="666" t="s">
        <v>563</v>
      </c>
      <c r="G17" s="666" t="str">
        <f>+'FP ADTIVO'!N5</f>
        <v>Oficial de Obra / Oficial Electricista / Oficial minero / Oficial demoliciones / Oficial Mvto Tierra / Oficial Impermeabilizaciones / Oficial para llenos de filtros / Oficial para pisos varios / Oficial Pintura / Oficial Refuerzo / Oficial Urbanismo / Operario de inyección / Operario de perforación / Rastrillero / Cadenero 1</v>
      </c>
      <c r="H17" s="1020" t="s">
        <v>556</v>
      </c>
    </row>
    <row r="18" spans="2:8" ht="162.5">
      <c r="B18" s="1019" t="s">
        <v>564</v>
      </c>
      <c r="C18" s="664">
        <f>+'FP ADTIVO'!L6</f>
        <v>1.901</v>
      </c>
      <c r="D18" s="826">
        <f>+HLOOKUP(C18,'FP ADTIVO'!$D$6:$AI$44,5,FALSE)</f>
        <v>2906000</v>
      </c>
      <c r="E18" s="665">
        <f>+HLOOKUP(D18,'FP ADTIVO'!$D$10:$AI$40,31,FALSE)</f>
        <v>1.46</v>
      </c>
      <c r="F18" s="666" t="s">
        <v>565</v>
      </c>
      <c r="G18" s="666" t="str">
        <f>+'FP ADTIVO'!N5</f>
        <v>Oficial de Obra / Oficial Electricista / Oficial minero / Oficial demoliciones / Oficial Mvto Tierra / Oficial Impermeabilizaciones / Oficial para llenos de filtros / Oficial para pisos varios / Oficial Pintura / Oficial Refuerzo / Oficial Urbanismo / Operario de inyección / Operario de perforación / Rastrillero / Cadenero 1</v>
      </c>
      <c r="H18" s="1020" t="s">
        <v>566</v>
      </c>
    </row>
    <row r="19" spans="2:8">
      <c r="B19" s="1019" t="s">
        <v>567</v>
      </c>
      <c r="C19" s="664">
        <f>+'FP ADTIVO'!J6</f>
        <v>1.5389999999999999</v>
      </c>
      <c r="D19" s="826">
        <f>+HLOOKUP(C19,'FP ADTIVO'!$D$6:$AI$44,5,FALSE)</f>
        <v>2391000</v>
      </c>
      <c r="E19" s="665">
        <f>+HLOOKUP(D19,'FP ADTIVO'!$D$10:$AI$40,31,FALSE)</f>
        <v>1.8</v>
      </c>
      <c r="F19" s="666" t="s">
        <v>568</v>
      </c>
      <c r="G19" s="666"/>
      <c r="H19" s="1020" t="s">
        <v>569</v>
      </c>
    </row>
    <row r="20" spans="2:8">
      <c r="B20" s="1019" t="s">
        <v>570</v>
      </c>
      <c r="C20" s="664">
        <f>+'FP ADTIVO'!H6</f>
        <v>1.292</v>
      </c>
      <c r="D20" s="826">
        <f>+HLOOKUP(C20,'FP ADTIVO'!$D$6:$AI$44,5,FALSE)</f>
        <v>2039000</v>
      </c>
      <c r="E20" s="665">
        <f>+HLOOKUP(D20,'FP ADTIVO'!$D$10:$AI$40,31,FALSE)</f>
        <v>1.81</v>
      </c>
      <c r="F20" s="666" t="s">
        <v>568</v>
      </c>
      <c r="G20" s="666"/>
      <c r="H20" s="1020" t="s">
        <v>571</v>
      </c>
    </row>
    <row r="21" spans="2:8">
      <c r="B21" s="1019" t="s">
        <v>570</v>
      </c>
      <c r="C21" s="664">
        <f>+'FP ADTIVO'!F6</f>
        <v>1.1559999999999999</v>
      </c>
      <c r="D21" s="826">
        <f>+HLOOKUP(C21,'FP ADTIVO'!$D$6:$AI$44,5,FALSE)</f>
        <v>1846000</v>
      </c>
      <c r="E21" s="665">
        <f>+HLOOKUP(D21,'FP ADTIVO'!$D$10:$AI$40,31,FALSE)</f>
        <v>1.47</v>
      </c>
      <c r="F21" s="666" t="s">
        <v>572</v>
      </c>
      <c r="G21" s="666"/>
      <c r="H21" s="1020" t="s">
        <v>558</v>
      </c>
    </row>
    <row r="22" spans="2:8" ht="100.5" thickBot="1">
      <c r="B22" s="1021" t="s">
        <v>573</v>
      </c>
      <c r="C22" s="1022">
        <f>+'FP ADTIVO'!D6</f>
        <v>1</v>
      </c>
      <c r="D22" s="1023">
        <f>+HLOOKUP(C22,'FP ADTIVO'!$D$6:$AI$44,5,FALSE)</f>
        <v>1623000</v>
      </c>
      <c r="E22" s="1024">
        <f>+HLOOKUP(D22,'FP ADTIVO'!$D$10:$AI$40,31,FALSE)</f>
        <v>1.81</v>
      </c>
      <c r="F22" s="1025" t="s">
        <v>574</v>
      </c>
      <c r="G22" s="1026"/>
      <c r="H22" s="1027" t="s">
        <v>575</v>
      </c>
    </row>
  </sheetData>
  <mergeCells count="2">
    <mergeCell ref="B4:H4"/>
    <mergeCell ref="B2:H3"/>
  </mergeCells>
  <conditionalFormatting sqref="B6:B22">
    <cfRule type="expression" dxfId="3" priority="1">
      <formula>+TEXT(#REF!="","")</formula>
    </cfRule>
  </conditionalFormatting>
  <conditionalFormatting sqref="F22">
    <cfRule type="expression" dxfId="2" priority="5">
      <formula>+TEXT(#REF!="","")</formula>
    </cfRule>
  </conditionalFormatting>
  <conditionalFormatting sqref="F7:G21 H7:H22">
    <cfRule type="expression" dxfId="1" priority="2">
      <formula>+TEXT(#REF!="","")</formula>
    </cfRule>
  </conditionalFormatting>
  <conditionalFormatting sqref="F6:H6">
    <cfRule type="expression" dxfId="0" priority="6">
      <formula>+TEXT(#REF!="","")</formula>
    </cfRule>
  </conditionalFormatting>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AAD2DA-45F4-4B44-9BFD-0FFDF6CC1081}">
  <sheetPr codeName="Hoja10">
    <tabColor theme="5"/>
  </sheetPr>
  <dimension ref="A1:O104"/>
  <sheetViews>
    <sheetView topLeftCell="A61" workbookViewId="0">
      <selection sqref="A1:XFD1048576"/>
    </sheetView>
  </sheetViews>
  <sheetFormatPr baseColWidth="10" defaultColWidth="11.453125" defaultRowHeight="14.5"/>
  <cols>
    <col min="1" max="3" width="11.453125" style="65"/>
    <col min="4" max="6" width="15.81640625" style="65" customWidth="1"/>
    <col min="7" max="7" width="14.453125" style="65" customWidth="1"/>
    <col min="8" max="8" width="13.36328125" style="65" bestFit="1" customWidth="1"/>
    <col min="9" max="9" width="11.453125" style="65"/>
    <col min="10" max="10" width="13.453125" style="65" customWidth="1"/>
    <col min="11" max="11" width="13.81640625" style="65" customWidth="1"/>
    <col min="12" max="13" width="11.453125" style="65"/>
    <col min="14" max="14" width="15.36328125" style="65" customWidth="1"/>
    <col min="15" max="16384" width="11.453125" style="65"/>
  </cols>
  <sheetData>
    <row r="1" spans="1:15" ht="14.5" customHeight="1">
      <c r="A1" s="1901" t="str">
        <f>+P!A1</f>
        <v>PRESUPUESTO GENERAL</v>
      </c>
      <c r="B1" s="1902"/>
      <c r="C1" s="1902"/>
      <c r="D1" s="1902"/>
      <c r="E1" s="1902"/>
      <c r="F1" s="1902"/>
      <c r="G1" s="1902"/>
      <c r="H1" s="1902"/>
      <c r="I1" s="1902"/>
      <c r="J1" s="1902"/>
      <c r="K1" s="1902"/>
      <c r="L1" s="1902"/>
      <c r="M1" s="1902"/>
      <c r="N1" s="1902"/>
      <c r="O1" s="1903"/>
    </row>
    <row r="2" spans="1:15" ht="15" thickBot="1">
      <c r="A2" s="2209"/>
      <c r="B2" s="2210"/>
      <c r="C2" s="2210"/>
      <c r="D2" s="2210"/>
      <c r="E2" s="2210"/>
      <c r="F2" s="2210"/>
      <c r="G2" s="2210"/>
      <c r="H2" s="2210"/>
      <c r="I2" s="2210"/>
      <c r="J2" s="2210"/>
      <c r="K2" s="2210"/>
      <c r="L2" s="2210"/>
      <c r="M2" s="2210"/>
      <c r="N2" s="2210"/>
      <c r="O2" s="2211"/>
    </row>
    <row r="3" spans="1:15" ht="18.5" customHeight="1" thickBot="1">
      <c r="A3" s="2212" t="s">
        <v>1625</v>
      </c>
      <c r="B3" s="2213"/>
      <c r="C3" s="2213"/>
      <c r="D3" s="2213"/>
      <c r="E3" s="2213"/>
      <c r="F3" s="2213"/>
      <c r="G3" s="2213"/>
      <c r="H3" s="2213"/>
      <c r="I3" s="2213"/>
      <c r="J3" s="2213"/>
      <c r="K3" s="2213"/>
      <c r="L3" s="2213"/>
      <c r="M3" s="2213"/>
      <c r="N3" s="2213"/>
      <c r="O3" s="2214"/>
    </row>
    <row r="4" spans="1:15" ht="15" customHeight="1" thickBot="1">
      <c r="A4" s="68"/>
      <c r="E4" s="2208" t="s">
        <v>1626</v>
      </c>
      <c r="F4" s="2208"/>
      <c r="G4" s="2208"/>
      <c r="H4" s="65">
        <v>0.3</v>
      </c>
      <c r="I4" s="65">
        <v>0.76</v>
      </c>
      <c r="L4" s="66">
        <v>0.41</v>
      </c>
      <c r="M4" s="66">
        <v>0.76</v>
      </c>
      <c r="O4" s="69"/>
    </row>
    <row r="5" spans="1:15" ht="44" thickBot="1">
      <c r="A5" s="70" t="s">
        <v>856</v>
      </c>
      <c r="B5" s="70" t="s">
        <v>1627</v>
      </c>
      <c r="C5" s="70" t="s">
        <v>1628</v>
      </c>
      <c r="D5" s="70" t="s">
        <v>1629</v>
      </c>
      <c r="E5" s="70" t="s">
        <v>1630</v>
      </c>
      <c r="F5" s="70" t="s">
        <v>1631</v>
      </c>
      <c r="G5" s="71" t="s">
        <v>1632</v>
      </c>
      <c r="H5" s="71" t="s">
        <v>1633</v>
      </c>
      <c r="I5" s="71" t="s">
        <v>1634</v>
      </c>
      <c r="J5" s="71" t="s">
        <v>1635</v>
      </c>
      <c r="K5" s="71" t="s">
        <v>1636</v>
      </c>
      <c r="L5" s="71" t="s">
        <v>1637</v>
      </c>
      <c r="M5" s="71" t="s">
        <v>1638</v>
      </c>
      <c r="N5" s="71" t="s">
        <v>1639</v>
      </c>
      <c r="O5" s="71" t="s">
        <v>1640</v>
      </c>
    </row>
    <row r="6" spans="1:15">
      <c r="A6" s="73"/>
      <c r="B6" s="74" t="s">
        <v>1641</v>
      </c>
      <c r="C6" s="74" t="s">
        <v>1642</v>
      </c>
      <c r="D6" s="74">
        <v>3</v>
      </c>
      <c r="E6" s="74">
        <v>2.5</v>
      </c>
      <c r="F6" s="74">
        <v>2.5</v>
      </c>
      <c r="G6" s="74">
        <f>+E6+F6</f>
        <v>5</v>
      </c>
      <c r="H6" s="74">
        <f>+ROUND(G6/$H$4,0)+1</f>
        <v>18</v>
      </c>
      <c r="I6" s="74">
        <f>+ROUND(D6/$I$4,0)+1</f>
        <v>5</v>
      </c>
      <c r="J6" s="74">
        <v>3.9750000000000001</v>
      </c>
      <c r="K6" s="74">
        <v>0.99399999999999999</v>
      </c>
      <c r="L6" s="74">
        <f>+H6*J6*$L$4</f>
        <v>29.335499999999996</v>
      </c>
      <c r="M6" s="74">
        <f>+I6*K6*$M$4</f>
        <v>3.7771999999999997</v>
      </c>
      <c r="N6" s="75">
        <f>+H6*$L$4/6</f>
        <v>1.23</v>
      </c>
      <c r="O6" s="76">
        <f>+I6*$M$4/6</f>
        <v>0.6333333333333333</v>
      </c>
    </row>
    <row r="7" spans="1:15">
      <c r="A7" s="77"/>
      <c r="B7" s="7" t="s">
        <v>1642</v>
      </c>
      <c r="C7" s="7" t="s">
        <v>1643</v>
      </c>
      <c r="D7" s="7">
        <v>3</v>
      </c>
      <c r="E7" s="7">
        <v>2.5</v>
      </c>
      <c r="F7" s="7">
        <v>2.5</v>
      </c>
      <c r="G7" s="7">
        <f t="shared" ref="G7:G70" si="0">+E7+F7</f>
        <v>5</v>
      </c>
      <c r="H7" s="7">
        <f t="shared" ref="H7:H70" si="1">+ROUND(G7/$H$4,0)+1</f>
        <v>18</v>
      </c>
      <c r="I7" s="7">
        <f t="shared" ref="I7:I70" si="2">+ROUND(D7/$I$4,0)+1</f>
        <v>5</v>
      </c>
      <c r="J7" s="7">
        <v>3.9750000000000001</v>
      </c>
      <c r="K7" s="7">
        <v>0.99399999999999999</v>
      </c>
      <c r="L7" s="7">
        <f t="shared" ref="L7:L70" si="3">+H7*J7*$L$4</f>
        <v>29.335499999999996</v>
      </c>
      <c r="M7" s="7">
        <f t="shared" ref="M7:M70" si="4">+I7*K7*$M$4</f>
        <v>3.7771999999999997</v>
      </c>
      <c r="N7" s="72">
        <f t="shared" ref="N7:N70" si="5">+H7*$L$4/6</f>
        <v>1.23</v>
      </c>
      <c r="O7" s="78">
        <f t="shared" ref="O7:O70" si="6">+I7*$M$4/6</f>
        <v>0.6333333333333333</v>
      </c>
    </row>
    <row r="8" spans="1:15">
      <c r="A8" s="77"/>
      <c r="B8" s="7" t="s">
        <v>1643</v>
      </c>
      <c r="C8" s="7" t="s">
        <v>1644</v>
      </c>
      <c r="D8" s="7">
        <v>3</v>
      </c>
      <c r="E8" s="7">
        <v>2.5</v>
      </c>
      <c r="F8" s="7">
        <v>2.5</v>
      </c>
      <c r="G8" s="7">
        <f t="shared" si="0"/>
        <v>5</v>
      </c>
      <c r="H8" s="7">
        <f t="shared" si="1"/>
        <v>18</v>
      </c>
      <c r="I8" s="7">
        <f t="shared" si="2"/>
        <v>5</v>
      </c>
      <c r="J8" s="7">
        <v>3.9750000000000001</v>
      </c>
      <c r="K8" s="7">
        <v>0.99399999999999999</v>
      </c>
      <c r="L8" s="7">
        <f t="shared" si="3"/>
        <v>29.335499999999996</v>
      </c>
      <c r="M8" s="7">
        <f t="shared" si="4"/>
        <v>3.7771999999999997</v>
      </c>
      <c r="N8" s="72">
        <f t="shared" si="5"/>
        <v>1.23</v>
      </c>
      <c r="O8" s="78">
        <f t="shared" si="6"/>
        <v>0.6333333333333333</v>
      </c>
    </row>
    <row r="9" spans="1:15">
      <c r="A9" s="77"/>
      <c r="B9" s="7" t="s">
        <v>1644</v>
      </c>
      <c r="C9" s="7" t="s">
        <v>1645</v>
      </c>
      <c r="D9" s="7">
        <v>3</v>
      </c>
      <c r="E9" s="7">
        <v>2.5</v>
      </c>
      <c r="F9" s="7">
        <v>2.5</v>
      </c>
      <c r="G9" s="7">
        <f t="shared" si="0"/>
        <v>5</v>
      </c>
      <c r="H9" s="7">
        <f t="shared" si="1"/>
        <v>18</v>
      </c>
      <c r="I9" s="7">
        <f t="shared" si="2"/>
        <v>5</v>
      </c>
      <c r="J9" s="7">
        <v>3.9750000000000001</v>
      </c>
      <c r="K9" s="7">
        <v>0.99399999999999999</v>
      </c>
      <c r="L9" s="7">
        <f t="shared" si="3"/>
        <v>29.335499999999996</v>
      </c>
      <c r="M9" s="7">
        <f t="shared" si="4"/>
        <v>3.7771999999999997</v>
      </c>
      <c r="N9" s="72">
        <f t="shared" si="5"/>
        <v>1.23</v>
      </c>
      <c r="O9" s="78">
        <f t="shared" si="6"/>
        <v>0.6333333333333333</v>
      </c>
    </row>
    <row r="10" spans="1:15">
      <c r="A10" s="77"/>
      <c r="B10" s="7" t="s">
        <v>1645</v>
      </c>
      <c r="C10" s="7" t="s">
        <v>1646</v>
      </c>
      <c r="D10" s="7">
        <v>3</v>
      </c>
      <c r="E10" s="7">
        <v>2.5</v>
      </c>
      <c r="F10" s="7">
        <v>2.5</v>
      </c>
      <c r="G10" s="7">
        <f t="shared" si="0"/>
        <v>5</v>
      </c>
      <c r="H10" s="7">
        <f t="shared" si="1"/>
        <v>18</v>
      </c>
      <c r="I10" s="7">
        <f t="shared" si="2"/>
        <v>5</v>
      </c>
      <c r="J10" s="7">
        <v>3.9750000000000001</v>
      </c>
      <c r="K10" s="7">
        <v>0.99399999999999999</v>
      </c>
      <c r="L10" s="7">
        <f t="shared" si="3"/>
        <v>29.335499999999996</v>
      </c>
      <c r="M10" s="7">
        <f t="shared" si="4"/>
        <v>3.7771999999999997</v>
      </c>
      <c r="N10" s="72">
        <f t="shared" si="5"/>
        <v>1.23</v>
      </c>
      <c r="O10" s="78">
        <f t="shared" si="6"/>
        <v>0.6333333333333333</v>
      </c>
    </row>
    <row r="11" spans="1:15">
      <c r="A11" s="77"/>
      <c r="B11" s="7" t="s">
        <v>1646</v>
      </c>
      <c r="C11" s="7" t="s">
        <v>1647</v>
      </c>
      <c r="D11" s="7">
        <v>3</v>
      </c>
      <c r="E11" s="7">
        <v>2.5</v>
      </c>
      <c r="F11" s="7">
        <v>2.5</v>
      </c>
      <c r="G11" s="7">
        <f t="shared" si="0"/>
        <v>5</v>
      </c>
      <c r="H11" s="7">
        <f t="shared" si="1"/>
        <v>18</v>
      </c>
      <c r="I11" s="7">
        <f t="shared" si="2"/>
        <v>5</v>
      </c>
      <c r="J11" s="7">
        <v>3.9750000000000001</v>
      </c>
      <c r="K11" s="7">
        <v>0.99399999999999999</v>
      </c>
      <c r="L11" s="7">
        <f t="shared" si="3"/>
        <v>29.335499999999996</v>
      </c>
      <c r="M11" s="7">
        <f t="shared" si="4"/>
        <v>3.7771999999999997</v>
      </c>
      <c r="N11" s="72">
        <f t="shared" si="5"/>
        <v>1.23</v>
      </c>
      <c r="O11" s="78">
        <f t="shared" si="6"/>
        <v>0.6333333333333333</v>
      </c>
    </row>
    <row r="12" spans="1:15">
      <c r="A12" s="77"/>
      <c r="B12" s="7" t="s">
        <v>1647</v>
      </c>
      <c r="C12" s="7" t="s">
        <v>1648</v>
      </c>
      <c r="D12" s="7">
        <v>3</v>
      </c>
      <c r="E12" s="7">
        <v>2.5</v>
      </c>
      <c r="F12" s="7">
        <v>2.5</v>
      </c>
      <c r="G12" s="7">
        <f t="shared" si="0"/>
        <v>5</v>
      </c>
      <c r="H12" s="7">
        <f t="shared" si="1"/>
        <v>18</v>
      </c>
      <c r="I12" s="7">
        <f t="shared" si="2"/>
        <v>5</v>
      </c>
      <c r="J12" s="7">
        <v>3.9750000000000001</v>
      </c>
      <c r="K12" s="7">
        <v>0.99399999999999999</v>
      </c>
      <c r="L12" s="7">
        <f t="shared" si="3"/>
        <v>29.335499999999996</v>
      </c>
      <c r="M12" s="7">
        <f t="shared" si="4"/>
        <v>3.7771999999999997</v>
      </c>
      <c r="N12" s="72">
        <f t="shared" si="5"/>
        <v>1.23</v>
      </c>
      <c r="O12" s="78">
        <f t="shared" si="6"/>
        <v>0.6333333333333333</v>
      </c>
    </row>
    <row r="13" spans="1:15">
      <c r="A13" s="77"/>
      <c r="B13" s="7" t="s">
        <v>1648</v>
      </c>
      <c r="C13" s="7" t="s">
        <v>1649</v>
      </c>
      <c r="D13" s="7">
        <v>3</v>
      </c>
      <c r="E13" s="7">
        <v>2.5</v>
      </c>
      <c r="F13" s="7">
        <v>2.5</v>
      </c>
      <c r="G13" s="7">
        <f t="shared" si="0"/>
        <v>5</v>
      </c>
      <c r="H13" s="7">
        <f t="shared" si="1"/>
        <v>18</v>
      </c>
      <c r="I13" s="7">
        <f t="shared" si="2"/>
        <v>5</v>
      </c>
      <c r="J13" s="7">
        <v>3.9750000000000001</v>
      </c>
      <c r="K13" s="7">
        <v>0.99399999999999999</v>
      </c>
      <c r="L13" s="7">
        <f t="shared" si="3"/>
        <v>29.335499999999996</v>
      </c>
      <c r="M13" s="7">
        <f t="shared" si="4"/>
        <v>3.7771999999999997</v>
      </c>
      <c r="N13" s="72">
        <f t="shared" si="5"/>
        <v>1.23</v>
      </c>
      <c r="O13" s="78">
        <f t="shared" si="6"/>
        <v>0.6333333333333333</v>
      </c>
    </row>
    <row r="14" spans="1:15">
      <c r="A14" s="77"/>
      <c r="B14" s="7" t="s">
        <v>1649</v>
      </c>
      <c r="C14" s="7" t="s">
        <v>1650</v>
      </c>
      <c r="D14" s="7">
        <v>3</v>
      </c>
      <c r="E14" s="7">
        <v>2.5</v>
      </c>
      <c r="F14" s="7">
        <v>2.5</v>
      </c>
      <c r="G14" s="7">
        <f t="shared" si="0"/>
        <v>5</v>
      </c>
      <c r="H14" s="7">
        <f t="shared" si="1"/>
        <v>18</v>
      </c>
      <c r="I14" s="7">
        <f t="shared" si="2"/>
        <v>5</v>
      </c>
      <c r="J14" s="7">
        <v>3.9750000000000001</v>
      </c>
      <c r="K14" s="7">
        <v>0.99399999999999999</v>
      </c>
      <c r="L14" s="7">
        <f t="shared" si="3"/>
        <v>29.335499999999996</v>
      </c>
      <c r="M14" s="7">
        <f t="shared" si="4"/>
        <v>3.7771999999999997</v>
      </c>
      <c r="N14" s="72">
        <f t="shared" si="5"/>
        <v>1.23</v>
      </c>
      <c r="O14" s="78">
        <f t="shared" si="6"/>
        <v>0.6333333333333333</v>
      </c>
    </row>
    <row r="15" spans="1:15">
      <c r="A15" s="77"/>
      <c r="B15" s="7" t="s">
        <v>1650</v>
      </c>
      <c r="C15" s="7" t="s">
        <v>1651</v>
      </c>
      <c r="D15" s="7">
        <v>3</v>
      </c>
      <c r="E15" s="7">
        <v>2.5</v>
      </c>
      <c r="F15" s="7">
        <v>2.5</v>
      </c>
      <c r="G15" s="7">
        <f t="shared" si="0"/>
        <v>5</v>
      </c>
      <c r="H15" s="7">
        <f t="shared" si="1"/>
        <v>18</v>
      </c>
      <c r="I15" s="7">
        <f t="shared" si="2"/>
        <v>5</v>
      </c>
      <c r="J15" s="7">
        <v>3.9750000000000001</v>
      </c>
      <c r="K15" s="7">
        <v>0.99399999999999999</v>
      </c>
      <c r="L15" s="7">
        <f t="shared" si="3"/>
        <v>29.335499999999996</v>
      </c>
      <c r="M15" s="7">
        <f t="shared" si="4"/>
        <v>3.7771999999999997</v>
      </c>
      <c r="N15" s="72">
        <f t="shared" si="5"/>
        <v>1.23</v>
      </c>
      <c r="O15" s="78">
        <f t="shared" si="6"/>
        <v>0.6333333333333333</v>
      </c>
    </row>
    <row r="16" spans="1:15">
      <c r="A16" s="77"/>
      <c r="B16" s="7" t="s">
        <v>1651</v>
      </c>
      <c r="C16" s="7" t="s">
        <v>1652</v>
      </c>
      <c r="D16" s="7">
        <v>3</v>
      </c>
      <c r="E16" s="7">
        <v>2.5</v>
      </c>
      <c r="F16" s="7">
        <v>2.5</v>
      </c>
      <c r="G16" s="7">
        <f t="shared" si="0"/>
        <v>5</v>
      </c>
      <c r="H16" s="7">
        <f t="shared" si="1"/>
        <v>18</v>
      </c>
      <c r="I16" s="7">
        <f t="shared" si="2"/>
        <v>5</v>
      </c>
      <c r="J16" s="7">
        <v>3.9750000000000001</v>
      </c>
      <c r="K16" s="7">
        <v>0.99399999999999999</v>
      </c>
      <c r="L16" s="7">
        <f t="shared" si="3"/>
        <v>29.335499999999996</v>
      </c>
      <c r="M16" s="7">
        <f t="shared" si="4"/>
        <v>3.7771999999999997</v>
      </c>
      <c r="N16" s="72">
        <f t="shared" si="5"/>
        <v>1.23</v>
      </c>
      <c r="O16" s="78">
        <f t="shared" si="6"/>
        <v>0.6333333333333333</v>
      </c>
    </row>
    <row r="17" spans="1:15">
      <c r="A17" s="77"/>
      <c r="B17" s="7" t="s">
        <v>1652</v>
      </c>
      <c r="C17" s="7" t="s">
        <v>1653</v>
      </c>
      <c r="D17" s="7">
        <v>3</v>
      </c>
      <c r="E17" s="7">
        <v>2.5</v>
      </c>
      <c r="F17" s="7">
        <v>2.5</v>
      </c>
      <c r="G17" s="7">
        <f t="shared" si="0"/>
        <v>5</v>
      </c>
      <c r="H17" s="7">
        <f t="shared" si="1"/>
        <v>18</v>
      </c>
      <c r="I17" s="7">
        <f t="shared" si="2"/>
        <v>5</v>
      </c>
      <c r="J17" s="7">
        <v>3.9750000000000001</v>
      </c>
      <c r="K17" s="7">
        <v>0.99399999999999999</v>
      </c>
      <c r="L17" s="7">
        <f t="shared" si="3"/>
        <v>29.335499999999996</v>
      </c>
      <c r="M17" s="7">
        <f t="shared" si="4"/>
        <v>3.7771999999999997</v>
      </c>
      <c r="N17" s="72">
        <f t="shared" si="5"/>
        <v>1.23</v>
      </c>
      <c r="O17" s="78">
        <f t="shared" si="6"/>
        <v>0.6333333333333333</v>
      </c>
    </row>
    <row r="18" spans="1:15">
      <c r="A18" s="77"/>
      <c r="B18" s="7" t="s">
        <v>1653</v>
      </c>
      <c r="C18" s="7" t="s">
        <v>1654</v>
      </c>
      <c r="D18" s="7">
        <v>3</v>
      </c>
      <c r="E18" s="7">
        <v>2.5</v>
      </c>
      <c r="F18" s="7">
        <v>2.5</v>
      </c>
      <c r="G18" s="7">
        <f t="shared" si="0"/>
        <v>5</v>
      </c>
      <c r="H18" s="7">
        <f t="shared" si="1"/>
        <v>18</v>
      </c>
      <c r="I18" s="7">
        <f t="shared" si="2"/>
        <v>5</v>
      </c>
      <c r="J18" s="7">
        <v>3.9750000000000001</v>
      </c>
      <c r="K18" s="7">
        <v>0.99399999999999999</v>
      </c>
      <c r="L18" s="7">
        <f t="shared" si="3"/>
        <v>29.335499999999996</v>
      </c>
      <c r="M18" s="7">
        <f t="shared" si="4"/>
        <v>3.7771999999999997</v>
      </c>
      <c r="N18" s="72">
        <f t="shared" si="5"/>
        <v>1.23</v>
      </c>
      <c r="O18" s="78">
        <f t="shared" si="6"/>
        <v>0.6333333333333333</v>
      </c>
    </row>
    <row r="19" spans="1:15">
      <c r="A19" s="77"/>
      <c r="B19" s="7" t="s">
        <v>1654</v>
      </c>
      <c r="C19" s="7" t="s">
        <v>1655</v>
      </c>
      <c r="D19" s="7">
        <v>3</v>
      </c>
      <c r="E19" s="7">
        <v>2.5</v>
      </c>
      <c r="F19" s="7">
        <v>2.5</v>
      </c>
      <c r="G19" s="7">
        <f t="shared" si="0"/>
        <v>5</v>
      </c>
      <c r="H19" s="7">
        <f t="shared" si="1"/>
        <v>18</v>
      </c>
      <c r="I19" s="7">
        <f t="shared" si="2"/>
        <v>5</v>
      </c>
      <c r="J19" s="7">
        <v>3.9750000000000001</v>
      </c>
      <c r="K19" s="7">
        <v>0.99399999999999999</v>
      </c>
      <c r="L19" s="7">
        <f t="shared" si="3"/>
        <v>29.335499999999996</v>
      </c>
      <c r="M19" s="7">
        <f t="shared" si="4"/>
        <v>3.7771999999999997</v>
      </c>
      <c r="N19" s="72">
        <f t="shared" si="5"/>
        <v>1.23</v>
      </c>
      <c r="O19" s="78">
        <f t="shared" si="6"/>
        <v>0.6333333333333333</v>
      </c>
    </row>
    <row r="20" spans="1:15">
      <c r="A20" s="77"/>
      <c r="B20" s="7" t="s">
        <v>1655</v>
      </c>
      <c r="C20" s="7" t="s">
        <v>1656</v>
      </c>
      <c r="D20" s="7">
        <v>3</v>
      </c>
      <c r="E20" s="7">
        <v>2.5</v>
      </c>
      <c r="F20" s="7">
        <v>2.5</v>
      </c>
      <c r="G20" s="7">
        <f t="shared" si="0"/>
        <v>5</v>
      </c>
      <c r="H20" s="7">
        <f t="shared" si="1"/>
        <v>18</v>
      </c>
      <c r="I20" s="7">
        <f t="shared" si="2"/>
        <v>5</v>
      </c>
      <c r="J20" s="7">
        <v>3.9750000000000001</v>
      </c>
      <c r="K20" s="7">
        <v>0.99399999999999999</v>
      </c>
      <c r="L20" s="7">
        <f t="shared" si="3"/>
        <v>29.335499999999996</v>
      </c>
      <c r="M20" s="7">
        <f t="shared" si="4"/>
        <v>3.7771999999999997</v>
      </c>
      <c r="N20" s="72">
        <f t="shared" si="5"/>
        <v>1.23</v>
      </c>
      <c r="O20" s="78">
        <f t="shared" si="6"/>
        <v>0.6333333333333333</v>
      </c>
    </row>
    <row r="21" spans="1:15">
      <c r="A21" s="77"/>
      <c r="B21" s="7" t="s">
        <v>1656</v>
      </c>
      <c r="C21" s="7" t="s">
        <v>1657</v>
      </c>
      <c r="D21" s="7">
        <v>3</v>
      </c>
      <c r="E21" s="7">
        <v>2.5</v>
      </c>
      <c r="F21" s="7">
        <v>2.5</v>
      </c>
      <c r="G21" s="7">
        <f t="shared" si="0"/>
        <v>5</v>
      </c>
      <c r="H21" s="7">
        <f t="shared" si="1"/>
        <v>18</v>
      </c>
      <c r="I21" s="7">
        <f t="shared" si="2"/>
        <v>5</v>
      </c>
      <c r="J21" s="7">
        <v>3.9750000000000001</v>
      </c>
      <c r="K21" s="7">
        <v>0.99399999999999999</v>
      </c>
      <c r="L21" s="7">
        <f t="shared" si="3"/>
        <v>29.335499999999996</v>
      </c>
      <c r="M21" s="7">
        <f t="shared" si="4"/>
        <v>3.7771999999999997</v>
      </c>
      <c r="N21" s="72">
        <f t="shared" si="5"/>
        <v>1.23</v>
      </c>
      <c r="O21" s="78">
        <f t="shared" si="6"/>
        <v>0.6333333333333333</v>
      </c>
    </row>
    <row r="22" spans="1:15">
      <c r="A22" s="77"/>
      <c r="B22" s="7" t="s">
        <v>1657</v>
      </c>
      <c r="C22" s="7" t="s">
        <v>1658</v>
      </c>
      <c r="D22" s="7">
        <v>3</v>
      </c>
      <c r="E22" s="7">
        <v>2.5</v>
      </c>
      <c r="F22" s="7">
        <v>2.5</v>
      </c>
      <c r="G22" s="7">
        <f t="shared" si="0"/>
        <v>5</v>
      </c>
      <c r="H22" s="7">
        <f t="shared" si="1"/>
        <v>18</v>
      </c>
      <c r="I22" s="7">
        <f t="shared" si="2"/>
        <v>5</v>
      </c>
      <c r="J22" s="7">
        <v>3.9750000000000001</v>
      </c>
      <c r="K22" s="7">
        <v>0.99399999999999999</v>
      </c>
      <c r="L22" s="7">
        <f t="shared" si="3"/>
        <v>29.335499999999996</v>
      </c>
      <c r="M22" s="7">
        <f t="shared" si="4"/>
        <v>3.7771999999999997</v>
      </c>
      <c r="N22" s="72">
        <f t="shared" si="5"/>
        <v>1.23</v>
      </c>
      <c r="O22" s="78">
        <f t="shared" si="6"/>
        <v>0.6333333333333333</v>
      </c>
    </row>
    <row r="23" spans="1:15">
      <c r="A23" s="77"/>
      <c r="B23" s="7" t="s">
        <v>1658</v>
      </c>
      <c r="C23" s="7" t="s">
        <v>1659</v>
      </c>
      <c r="D23" s="7">
        <v>3</v>
      </c>
      <c r="E23" s="7">
        <v>2.5</v>
      </c>
      <c r="F23" s="7">
        <v>2.5</v>
      </c>
      <c r="G23" s="7">
        <f t="shared" si="0"/>
        <v>5</v>
      </c>
      <c r="H23" s="7">
        <f t="shared" si="1"/>
        <v>18</v>
      </c>
      <c r="I23" s="7">
        <f t="shared" si="2"/>
        <v>5</v>
      </c>
      <c r="J23" s="7">
        <v>3.9750000000000001</v>
      </c>
      <c r="K23" s="7">
        <v>0.99399999999999999</v>
      </c>
      <c r="L23" s="7">
        <f t="shared" si="3"/>
        <v>29.335499999999996</v>
      </c>
      <c r="M23" s="7">
        <f t="shared" si="4"/>
        <v>3.7771999999999997</v>
      </c>
      <c r="N23" s="72">
        <f t="shared" si="5"/>
        <v>1.23</v>
      </c>
      <c r="O23" s="78">
        <f t="shared" si="6"/>
        <v>0.6333333333333333</v>
      </c>
    </row>
    <row r="24" spans="1:15">
      <c r="A24" s="77"/>
      <c r="B24" s="7" t="s">
        <v>1659</v>
      </c>
      <c r="C24" s="7" t="s">
        <v>1660</v>
      </c>
      <c r="D24" s="7">
        <v>3</v>
      </c>
      <c r="E24" s="7">
        <v>2.5</v>
      </c>
      <c r="F24" s="7">
        <v>2.5</v>
      </c>
      <c r="G24" s="7">
        <f t="shared" si="0"/>
        <v>5</v>
      </c>
      <c r="H24" s="7">
        <f t="shared" si="1"/>
        <v>18</v>
      </c>
      <c r="I24" s="7">
        <f t="shared" si="2"/>
        <v>5</v>
      </c>
      <c r="J24" s="7">
        <v>3.9750000000000001</v>
      </c>
      <c r="K24" s="7">
        <v>0.99399999999999999</v>
      </c>
      <c r="L24" s="7">
        <f t="shared" si="3"/>
        <v>29.335499999999996</v>
      </c>
      <c r="M24" s="7">
        <f t="shared" si="4"/>
        <v>3.7771999999999997</v>
      </c>
      <c r="N24" s="72">
        <f t="shared" si="5"/>
        <v>1.23</v>
      </c>
      <c r="O24" s="78">
        <f t="shared" si="6"/>
        <v>0.6333333333333333</v>
      </c>
    </row>
    <row r="25" spans="1:15">
      <c r="A25" s="77"/>
      <c r="B25" s="7" t="s">
        <v>1660</v>
      </c>
      <c r="C25" s="7" t="s">
        <v>1661</v>
      </c>
      <c r="D25" s="7">
        <v>3</v>
      </c>
      <c r="E25" s="7">
        <v>2.5</v>
      </c>
      <c r="F25" s="7">
        <v>2.5</v>
      </c>
      <c r="G25" s="7">
        <f t="shared" si="0"/>
        <v>5</v>
      </c>
      <c r="H25" s="7">
        <f t="shared" si="1"/>
        <v>18</v>
      </c>
      <c r="I25" s="7">
        <f t="shared" si="2"/>
        <v>5</v>
      </c>
      <c r="J25" s="7">
        <v>3.9750000000000001</v>
      </c>
      <c r="K25" s="7">
        <v>0.99399999999999999</v>
      </c>
      <c r="L25" s="7">
        <f t="shared" si="3"/>
        <v>29.335499999999996</v>
      </c>
      <c r="M25" s="7">
        <f t="shared" si="4"/>
        <v>3.7771999999999997</v>
      </c>
      <c r="N25" s="72">
        <f t="shared" si="5"/>
        <v>1.23</v>
      </c>
      <c r="O25" s="78">
        <f t="shared" si="6"/>
        <v>0.6333333333333333</v>
      </c>
    </row>
    <row r="26" spans="1:15">
      <c r="A26" s="77"/>
      <c r="B26" s="7" t="s">
        <v>1661</v>
      </c>
      <c r="C26" s="7" t="s">
        <v>1662</v>
      </c>
      <c r="D26" s="7">
        <v>3</v>
      </c>
      <c r="E26" s="7">
        <v>2.5</v>
      </c>
      <c r="F26" s="7">
        <v>2.5</v>
      </c>
      <c r="G26" s="7">
        <f t="shared" si="0"/>
        <v>5</v>
      </c>
      <c r="H26" s="7">
        <f t="shared" si="1"/>
        <v>18</v>
      </c>
      <c r="I26" s="7">
        <f t="shared" si="2"/>
        <v>5</v>
      </c>
      <c r="J26" s="7">
        <v>3.9750000000000001</v>
      </c>
      <c r="K26" s="7">
        <v>0.99399999999999999</v>
      </c>
      <c r="L26" s="7">
        <f t="shared" si="3"/>
        <v>29.335499999999996</v>
      </c>
      <c r="M26" s="7">
        <f t="shared" si="4"/>
        <v>3.7771999999999997</v>
      </c>
      <c r="N26" s="72">
        <f t="shared" si="5"/>
        <v>1.23</v>
      </c>
      <c r="O26" s="78">
        <f t="shared" si="6"/>
        <v>0.6333333333333333</v>
      </c>
    </row>
    <row r="27" spans="1:15">
      <c r="A27" s="77"/>
      <c r="B27" s="7" t="s">
        <v>1662</v>
      </c>
      <c r="C27" s="7" t="s">
        <v>1663</v>
      </c>
      <c r="D27" s="7">
        <v>3</v>
      </c>
      <c r="E27" s="7">
        <v>2.5</v>
      </c>
      <c r="F27" s="7">
        <v>2.5</v>
      </c>
      <c r="G27" s="7">
        <f t="shared" si="0"/>
        <v>5</v>
      </c>
      <c r="H27" s="7">
        <f t="shared" si="1"/>
        <v>18</v>
      </c>
      <c r="I27" s="7">
        <f t="shared" si="2"/>
        <v>5</v>
      </c>
      <c r="J27" s="7">
        <v>3.9750000000000001</v>
      </c>
      <c r="K27" s="7">
        <v>0.99399999999999999</v>
      </c>
      <c r="L27" s="7">
        <f t="shared" si="3"/>
        <v>29.335499999999996</v>
      </c>
      <c r="M27" s="7">
        <f t="shared" si="4"/>
        <v>3.7771999999999997</v>
      </c>
      <c r="N27" s="72">
        <f t="shared" si="5"/>
        <v>1.23</v>
      </c>
      <c r="O27" s="78">
        <f t="shared" si="6"/>
        <v>0.6333333333333333</v>
      </c>
    </row>
    <row r="28" spans="1:15">
      <c r="A28" s="77"/>
      <c r="B28" s="7" t="s">
        <v>1663</v>
      </c>
      <c r="C28" s="7" t="s">
        <v>1664</v>
      </c>
      <c r="D28" s="7">
        <v>3</v>
      </c>
      <c r="E28" s="7">
        <v>2.5</v>
      </c>
      <c r="F28" s="7">
        <v>2.5</v>
      </c>
      <c r="G28" s="7">
        <f t="shared" si="0"/>
        <v>5</v>
      </c>
      <c r="H28" s="7">
        <f t="shared" si="1"/>
        <v>18</v>
      </c>
      <c r="I28" s="7">
        <f t="shared" si="2"/>
        <v>5</v>
      </c>
      <c r="J28" s="7">
        <v>3.9750000000000001</v>
      </c>
      <c r="K28" s="7">
        <v>0.99399999999999999</v>
      </c>
      <c r="L28" s="7">
        <f t="shared" si="3"/>
        <v>29.335499999999996</v>
      </c>
      <c r="M28" s="7">
        <f t="shared" si="4"/>
        <v>3.7771999999999997</v>
      </c>
      <c r="N28" s="72">
        <f t="shared" si="5"/>
        <v>1.23</v>
      </c>
      <c r="O28" s="78">
        <f t="shared" si="6"/>
        <v>0.6333333333333333</v>
      </c>
    </row>
    <row r="29" spans="1:15">
      <c r="A29" s="77"/>
      <c r="B29" s="7" t="s">
        <v>1664</v>
      </c>
      <c r="C29" s="7" t="s">
        <v>1665</v>
      </c>
      <c r="D29" s="7">
        <v>3</v>
      </c>
      <c r="E29" s="7">
        <v>2.5</v>
      </c>
      <c r="F29" s="7">
        <v>2.5</v>
      </c>
      <c r="G29" s="7">
        <f t="shared" si="0"/>
        <v>5</v>
      </c>
      <c r="H29" s="7">
        <f t="shared" si="1"/>
        <v>18</v>
      </c>
      <c r="I29" s="7">
        <f t="shared" si="2"/>
        <v>5</v>
      </c>
      <c r="J29" s="7">
        <v>3.9750000000000001</v>
      </c>
      <c r="K29" s="7">
        <v>0.99399999999999999</v>
      </c>
      <c r="L29" s="7">
        <f t="shared" si="3"/>
        <v>29.335499999999996</v>
      </c>
      <c r="M29" s="7">
        <f t="shared" si="4"/>
        <v>3.7771999999999997</v>
      </c>
      <c r="N29" s="72">
        <f t="shared" si="5"/>
        <v>1.23</v>
      </c>
      <c r="O29" s="78">
        <f t="shared" si="6"/>
        <v>0.6333333333333333</v>
      </c>
    </row>
    <row r="30" spans="1:15">
      <c r="A30" s="77"/>
      <c r="B30" s="7" t="s">
        <v>1665</v>
      </c>
      <c r="C30" s="7" t="s">
        <v>1666</v>
      </c>
      <c r="D30" s="7">
        <v>3</v>
      </c>
      <c r="E30" s="7">
        <v>2.5</v>
      </c>
      <c r="F30" s="7">
        <v>2.5</v>
      </c>
      <c r="G30" s="7">
        <f t="shared" si="0"/>
        <v>5</v>
      </c>
      <c r="H30" s="7">
        <f t="shared" si="1"/>
        <v>18</v>
      </c>
      <c r="I30" s="7">
        <f t="shared" si="2"/>
        <v>5</v>
      </c>
      <c r="J30" s="7">
        <v>3.9750000000000001</v>
      </c>
      <c r="K30" s="7">
        <v>0.99399999999999999</v>
      </c>
      <c r="L30" s="7">
        <f t="shared" si="3"/>
        <v>29.335499999999996</v>
      </c>
      <c r="M30" s="7">
        <f t="shared" si="4"/>
        <v>3.7771999999999997</v>
      </c>
      <c r="N30" s="72">
        <f t="shared" si="5"/>
        <v>1.23</v>
      </c>
      <c r="O30" s="78">
        <f t="shared" si="6"/>
        <v>0.6333333333333333</v>
      </c>
    </row>
    <row r="31" spans="1:15">
      <c r="A31" s="77"/>
      <c r="B31" s="7" t="s">
        <v>1666</v>
      </c>
      <c r="C31" s="7" t="s">
        <v>1667</v>
      </c>
      <c r="D31" s="7">
        <v>3</v>
      </c>
      <c r="E31" s="7">
        <v>2.5</v>
      </c>
      <c r="F31" s="7">
        <v>2.5</v>
      </c>
      <c r="G31" s="7">
        <f t="shared" si="0"/>
        <v>5</v>
      </c>
      <c r="H31" s="7">
        <f t="shared" si="1"/>
        <v>18</v>
      </c>
      <c r="I31" s="7">
        <f t="shared" si="2"/>
        <v>5</v>
      </c>
      <c r="J31" s="7">
        <v>3.9750000000000001</v>
      </c>
      <c r="K31" s="7">
        <v>0.99399999999999999</v>
      </c>
      <c r="L31" s="7">
        <f t="shared" si="3"/>
        <v>29.335499999999996</v>
      </c>
      <c r="M31" s="7">
        <f t="shared" si="4"/>
        <v>3.7771999999999997</v>
      </c>
      <c r="N31" s="72">
        <f t="shared" si="5"/>
        <v>1.23</v>
      </c>
      <c r="O31" s="78">
        <f t="shared" si="6"/>
        <v>0.6333333333333333</v>
      </c>
    </row>
    <row r="32" spans="1:15">
      <c r="A32" s="77"/>
      <c r="B32" s="7" t="s">
        <v>1667</v>
      </c>
      <c r="C32" s="7" t="s">
        <v>1668</v>
      </c>
      <c r="D32" s="7">
        <v>3</v>
      </c>
      <c r="E32" s="7">
        <v>2.5</v>
      </c>
      <c r="F32" s="7">
        <v>2.5</v>
      </c>
      <c r="G32" s="7">
        <f t="shared" si="0"/>
        <v>5</v>
      </c>
      <c r="H32" s="7">
        <f t="shared" si="1"/>
        <v>18</v>
      </c>
      <c r="I32" s="7">
        <f t="shared" si="2"/>
        <v>5</v>
      </c>
      <c r="J32" s="7">
        <v>3.9750000000000001</v>
      </c>
      <c r="K32" s="7">
        <v>0.99399999999999999</v>
      </c>
      <c r="L32" s="7">
        <f t="shared" si="3"/>
        <v>29.335499999999996</v>
      </c>
      <c r="M32" s="7">
        <f t="shared" si="4"/>
        <v>3.7771999999999997</v>
      </c>
      <c r="N32" s="72">
        <f t="shared" si="5"/>
        <v>1.23</v>
      </c>
      <c r="O32" s="78">
        <f t="shared" si="6"/>
        <v>0.6333333333333333</v>
      </c>
    </row>
    <row r="33" spans="1:15">
      <c r="A33" s="77"/>
      <c r="B33" s="7" t="s">
        <v>1668</v>
      </c>
      <c r="C33" s="7" t="s">
        <v>1669</v>
      </c>
      <c r="D33" s="7">
        <v>3</v>
      </c>
      <c r="E33" s="7">
        <v>2.5</v>
      </c>
      <c r="F33" s="7">
        <v>2.5</v>
      </c>
      <c r="G33" s="7">
        <f t="shared" si="0"/>
        <v>5</v>
      </c>
      <c r="H33" s="7">
        <f t="shared" si="1"/>
        <v>18</v>
      </c>
      <c r="I33" s="7">
        <f t="shared" si="2"/>
        <v>5</v>
      </c>
      <c r="J33" s="7">
        <v>3.9750000000000001</v>
      </c>
      <c r="K33" s="7">
        <v>0.99399999999999999</v>
      </c>
      <c r="L33" s="7">
        <f t="shared" si="3"/>
        <v>29.335499999999996</v>
      </c>
      <c r="M33" s="7">
        <f t="shared" si="4"/>
        <v>3.7771999999999997</v>
      </c>
      <c r="N33" s="72">
        <f t="shared" si="5"/>
        <v>1.23</v>
      </c>
      <c r="O33" s="78">
        <f t="shared" si="6"/>
        <v>0.6333333333333333</v>
      </c>
    </row>
    <row r="34" spans="1:15">
      <c r="A34" s="77"/>
      <c r="B34" s="7" t="s">
        <v>1669</v>
      </c>
      <c r="C34" s="7" t="s">
        <v>1670</v>
      </c>
      <c r="D34" s="7">
        <v>3</v>
      </c>
      <c r="E34" s="7">
        <v>2.5</v>
      </c>
      <c r="F34" s="7">
        <v>2.5</v>
      </c>
      <c r="G34" s="7">
        <f t="shared" si="0"/>
        <v>5</v>
      </c>
      <c r="H34" s="7">
        <f t="shared" si="1"/>
        <v>18</v>
      </c>
      <c r="I34" s="7">
        <f t="shared" si="2"/>
        <v>5</v>
      </c>
      <c r="J34" s="7">
        <v>3.9750000000000001</v>
      </c>
      <c r="K34" s="7">
        <v>0.99399999999999999</v>
      </c>
      <c r="L34" s="7">
        <f t="shared" si="3"/>
        <v>29.335499999999996</v>
      </c>
      <c r="M34" s="7">
        <f t="shared" si="4"/>
        <v>3.7771999999999997</v>
      </c>
      <c r="N34" s="72">
        <f t="shared" si="5"/>
        <v>1.23</v>
      </c>
      <c r="O34" s="78">
        <f t="shared" si="6"/>
        <v>0.6333333333333333</v>
      </c>
    </row>
    <row r="35" spans="1:15">
      <c r="A35" s="77"/>
      <c r="B35" s="7" t="s">
        <v>1670</v>
      </c>
      <c r="C35" s="7" t="s">
        <v>1671</v>
      </c>
      <c r="D35" s="7">
        <v>3</v>
      </c>
      <c r="E35" s="7">
        <v>2.5</v>
      </c>
      <c r="F35" s="7">
        <v>2.5</v>
      </c>
      <c r="G35" s="7">
        <f t="shared" si="0"/>
        <v>5</v>
      </c>
      <c r="H35" s="7">
        <f t="shared" si="1"/>
        <v>18</v>
      </c>
      <c r="I35" s="7">
        <f t="shared" si="2"/>
        <v>5</v>
      </c>
      <c r="J35" s="7">
        <v>3.9750000000000001</v>
      </c>
      <c r="K35" s="7">
        <v>0.99399999999999999</v>
      </c>
      <c r="L35" s="7">
        <f t="shared" si="3"/>
        <v>29.335499999999996</v>
      </c>
      <c r="M35" s="7">
        <f t="shared" si="4"/>
        <v>3.7771999999999997</v>
      </c>
      <c r="N35" s="72">
        <f t="shared" si="5"/>
        <v>1.23</v>
      </c>
      <c r="O35" s="78">
        <f t="shared" si="6"/>
        <v>0.6333333333333333</v>
      </c>
    </row>
    <row r="36" spans="1:15">
      <c r="A36" s="77"/>
      <c r="B36" s="7" t="s">
        <v>1671</v>
      </c>
      <c r="C36" s="7" t="s">
        <v>1672</v>
      </c>
      <c r="D36" s="7">
        <v>3</v>
      </c>
      <c r="E36" s="7">
        <v>2.5</v>
      </c>
      <c r="F36" s="7">
        <v>2.5</v>
      </c>
      <c r="G36" s="7">
        <f t="shared" si="0"/>
        <v>5</v>
      </c>
      <c r="H36" s="7">
        <f t="shared" si="1"/>
        <v>18</v>
      </c>
      <c r="I36" s="7">
        <f t="shared" si="2"/>
        <v>5</v>
      </c>
      <c r="J36" s="7">
        <v>3.9750000000000001</v>
      </c>
      <c r="K36" s="7">
        <v>0.99399999999999999</v>
      </c>
      <c r="L36" s="7">
        <f t="shared" si="3"/>
        <v>29.335499999999996</v>
      </c>
      <c r="M36" s="7">
        <f t="shared" si="4"/>
        <v>3.7771999999999997</v>
      </c>
      <c r="N36" s="72">
        <f t="shared" si="5"/>
        <v>1.23</v>
      </c>
      <c r="O36" s="78">
        <f t="shared" si="6"/>
        <v>0.6333333333333333</v>
      </c>
    </row>
    <row r="37" spans="1:15">
      <c r="A37" s="77"/>
      <c r="B37" s="7" t="s">
        <v>1672</v>
      </c>
      <c r="C37" s="7" t="s">
        <v>1673</v>
      </c>
      <c r="D37" s="7">
        <v>3</v>
      </c>
      <c r="E37" s="7">
        <v>2.5</v>
      </c>
      <c r="F37" s="7">
        <v>2.5</v>
      </c>
      <c r="G37" s="7">
        <f t="shared" si="0"/>
        <v>5</v>
      </c>
      <c r="H37" s="7">
        <f t="shared" si="1"/>
        <v>18</v>
      </c>
      <c r="I37" s="7">
        <f t="shared" si="2"/>
        <v>5</v>
      </c>
      <c r="J37" s="7">
        <v>3.9750000000000001</v>
      </c>
      <c r="K37" s="7">
        <v>0.99399999999999999</v>
      </c>
      <c r="L37" s="7">
        <f t="shared" si="3"/>
        <v>29.335499999999996</v>
      </c>
      <c r="M37" s="7">
        <f t="shared" si="4"/>
        <v>3.7771999999999997</v>
      </c>
      <c r="N37" s="72">
        <f t="shared" si="5"/>
        <v>1.23</v>
      </c>
      <c r="O37" s="78">
        <f t="shared" si="6"/>
        <v>0.6333333333333333</v>
      </c>
    </row>
    <row r="38" spans="1:15">
      <c r="A38" s="77"/>
      <c r="B38" s="7" t="s">
        <v>1673</v>
      </c>
      <c r="C38" s="7" t="s">
        <v>1674</v>
      </c>
      <c r="D38" s="7">
        <v>3</v>
      </c>
      <c r="E38" s="7">
        <v>2.5</v>
      </c>
      <c r="F38" s="7">
        <v>2.5</v>
      </c>
      <c r="G38" s="7">
        <f t="shared" si="0"/>
        <v>5</v>
      </c>
      <c r="H38" s="7">
        <f t="shared" si="1"/>
        <v>18</v>
      </c>
      <c r="I38" s="7">
        <f t="shared" si="2"/>
        <v>5</v>
      </c>
      <c r="J38" s="7">
        <v>3.9750000000000001</v>
      </c>
      <c r="K38" s="7">
        <v>0.99399999999999999</v>
      </c>
      <c r="L38" s="7">
        <f t="shared" si="3"/>
        <v>29.335499999999996</v>
      </c>
      <c r="M38" s="7">
        <f t="shared" si="4"/>
        <v>3.7771999999999997</v>
      </c>
      <c r="N38" s="72">
        <f t="shared" si="5"/>
        <v>1.23</v>
      </c>
      <c r="O38" s="78">
        <f t="shared" si="6"/>
        <v>0.6333333333333333</v>
      </c>
    </row>
    <row r="39" spans="1:15">
      <c r="A39" s="77"/>
      <c r="B39" s="7" t="s">
        <v>1674</v>
      </c>
      <c r="C39" s="7" t="s">
        <v>1675</v>
      </c>
      <c r="D39" s="7">
        <v>3</v>
      </c>
      <c r="E39" s="7">
        <v>2.5</v>
      </c>
      <c r="F39" s="7">
        <v>2.5</v>
      </c>
      <c r="G39" s="7">
        <f t="shared" si="0"/>
        <v>5</v>
      </c>
      <c r="H39" s="7">
        <f t="shared" si="1"/>
        <v>18</v>
      </c>
      <c r="I39" s="7">
        <f t="shared" si="2"/>
        <v>5</v>
      </c>
      <c r="J39" s="7">
        <v>3.9750000000000001</v>
      </c>
      <c r="K39" s="7">
        <v>0.99399999999999999</v>
      </c>
      <c r="L39" s="7">
        <f t="shared" si="3"/>
        <v>29.335499999999996</v>
      </c>
      <c r="M39" s="7">
        <f t="shared" si="4"/>
        <v>3.7771999999999997</v>
      </c>
      <c r="N39" s="72">
        <f t="shared" si="5"/>
        <v>1.23</v>
      </c>
      <c r="O39" s="78">
        <f t="shared" si="6"/>
        <v>0.6333333333333333</v>
      </c>
    </row>
    <row r="40" spans="1:15">
      <c r="A40" s="77"/>
      <c r="B40" s="7" t="s">
        <v>1675</v>
      </c>
      <c r="C40" s="7" t="s">
        <v>1676</v>
      </c>
      <c r="D40" s="7">
        <v>3</v>
      </c>
      <c r="E40" s="7">
        <v>2.5</v>
      </c>
      <c r="F40" s="7">
        <v>2.5</v>
      </c>
      <c r="G40" s="7">
        <f t="shared" si="0"/>
        <v>5</v>
      </c>
      <c r="H40" s="7">
        <f t="shared" si="1"/>
        <v>18</v>
      </c>
      <c r="I40" s="7">
        <f t="shared" si="2"/>
        <v>5</v>
      </c>
      <c r="J40" s="7">
        <v>3.9750000000000001</v>
      </c>
      <c r="K40" s="7">
        <v>0.99399999999999999</v>
      </c>
      <c r="L40" s="7">
        <f t="shared" si="3"/>
        <v>29.335499999999996</v>
      </c>
      <c r="M40" s="7">
        <f t="shared" si="4"/>
        <v>3.7771999999999997</v>
      </c>
      <c r="N40" s="72">
        <f t="shared" si="5"/>
        <v>1.23</v>
      </c>
      <c r="O40" s="78">
        <f t="shared" si="6"/>
        <v>0.6333333333333333</v>
      </c>
    </row>
    <row r="41" spans="1:15">
      <c r="A41" s="77"/>
      <c r="B41" s="7" t="s">
        <v>1676</v>
      </c>
      <c r="C41" s="7" t="s">
        <v>1677</v>
      </c>
      <c r="D41" s="7">
        <v>3</v>
      </c>
      <c r="E41" s="7">
        <v>2.5</v>
      </c>
      <c r="F41" s="7">
        <v>2.5</v>
      </c>
      <c r="G41" s="7">
        <f t="shared" si="0"/>
        <v>5</v>
      </c>
      <c r="H41" s="7">
        <f t="shared" si="1"/>
        <v>18</v>
      </c>
      <c r="I41" s="7">
        <f t="shared" si="2"/>
        <v>5</v>
      </c>
      <c r="J41" s="7">
        <v>3.9750000000000001</v>
      </c>
      <c r="K41" s="7">
        <v>0.99399999999999999</v>
      </c>
      <c r="L41" s="7">
        <f t="shared" si="3"/>
        <v>29.335499999999996</v>
      </c>
      <c r="M41" s="7">
        <f t="shared" si="4"/>
        <v>3.7771999999999997</v>
      </c>
      <c r="N41" s="72">
        <f t="shared" si="5"/>
        <v>1.23</v>
      </c>
      <c r="O41" s="78">
        <f t="shared" si="6"/>
        <v>0.6333333333333333</v>
      </c>
    </row>
    <row r="42" spans="1:15">
      <c r="A42" s="77"/>
      <c r="B42" s="7" t="s">
        <v>1677</v>
      </c>
      <c r="C42" s="7" t="s">
        <v>1678</v>
      </c>
      <c r="D42" s="7">
        <v>3</v>
      </c>
      <c r="E42" s="7">
        <v>2.5</v>
      </c>
      <c r="F42" s="7">
        <v>2.5</v>
      </c>
      <c r="G42" s="7">
        <f t="shared" si="0"/>
        <v>5</v>
      </c>
      <c r="H42" s="7">
        <f t="shared" si="1"/>
        <v>18</v>
      </c>
      <c r="I42" s="7">
        <f t="shared" si="2"/>
        <v>5</v>
      </c>
      <c r="J42" s="7">
        <v>3.9750000000000001</v>
      </c>
      <c r="K42" s="7">
        <v>0.99399999999999999</v>
      </c>
      <c r="L42" s="7">
        <f t="shared" si="3"/>
        <v>29.335499999999996</v>
      </c>
      <c r="M42" s="7">
        <f t="shared" si="4"/>
        <v>3.7771999999999997</v>
      </c>
      <c r="N42" s="72">
        <f t="shared" si="5"/>
        <v>1.23</v>
      </c>
      <c r="O42" s="78">
        <f t="shared" si="6"/>
        <v>0.6333333333333333</v>
      </c>
    </row>
    <row r="43" spans="1:15">
      <c r="A43" s="77"/>
      <c r="B43" s="7" t="s">
        <v>1678</v>
      </c>
      <c r="C43" s="7" t="s">
        <v>1679</v>
      </c>
      <c r="D43" s="7">
        <v>3</v>
      </c>
      <c r="E43" s="7">
        <v>2.5</v>
      </c>
      <c r="F43" s="7">
        <v>2.5</v>
      </c>
      <c r="G43" s="7">
        <f t="shared" si="0"/>
        <v>5</v>
      </c>
      <c r="H43" s="7">
        <f t="shared" si="1"/>
        <v>18</v>
      </c>
      <c r="I43" s="7">
        <f t="shared" si="2"/>
        <v>5</v>
      </c>
      <c r="J43" s="7">
        <v>3.9750000000000001</v>
      </c>
      <c r="K43" s="7">
        <v>0.99399999999999999</v>
      </c>
      <c r="L43" s="7">
        <f t="shared" si="3"/>
        <v>29.335499999999996</v>
      </c>
      <c r="M43" s="7">
        <f t="shared" si="4"/>
        <v>3.7771999999999997</v>
      </c>
      <c r="N43" s="72">
        <f t="shared" si="5"/>
        <v>1.23</v>
      </c>
      <c r="O43" s="78">
        <f t="shared" si="6"/>
        <v>0.6333333333333333</v>
      </c>
    </row>
    <row r="44" spans="1:15">
      <c r="A44" s="77"/>
      <c r="B44" s="7" t="s">
        <v>1679</v>
      </c>
      <c r="C44" s="7" t="s">
        <v>1680</v>
      </c>
      <c r="D44" s="7">
        <v>3</v>
      </c>
      <c r="E44" s="7">
        <v>2.5</v>
      </c>
      <c r="F44" s="7">
        <v>2.5</v>
      </c>
      <c r="G44" s="7">
        <f t="shared" si="0"/>
        <v>5</v>
      </c>
      <c r="H44" s="7">
        <f t="shared" si="1"/>
        <v>18</v>
      </c>
      <c r="I44" s="7">
        <f t="shared" si="2"/>
        <v>5</v>
      </c>
      <c r="J44" s="7">
        <v>3.9750000000000001</v>
      </c>
      <c r="K44" s="7">
        <v>0.99399999999999999</v>
      </c>
      <c r="L44" s="7">
        <f t="shared" si="3"/>
        <v>29.335499999999996</v>
      </c>
      <c r="M44" s="7">
        <f t="shared" si="4"/>
        <v>3.7771999999999997</v>
      </c>
      <c r="N44" s="72">
        <f t="shared" si="5"/>
        <v>1.23</v>
      </c>
      <c r="O44" s="78">
        <f t="shared" si="6"/>
        <v>0.6333333333333333</v>
      </c>
    </row>
    <row r="45" spans="1:15">
      <c r="A45" s="77"/>
      <c r="B45" s="7" t="s">
        <v>1680</v>
      </c>
      <c r="C45" s="7" t="s">
        <v>1681</v>
      </c>
      <c r="D45" s="7">
        <v>3</v>
      </c>
      <c r="E45" s="7">
        <v>2.5</v>
      </c>
      <c r="F45" s="7">
        <v>2.5</v>
      </c>
      <c r="G45" s="7">
        <f t="shared" si="0"/>
        <v>5</v>
      </c>
      <c r="H45" s="7">
        <f t="shared" si="1"/>
        <v>18</v>
      </c>
      <c r="I45" s="7">
        <f t="shared" si="2"/>
        <v>5</v>
      </c>
      <c r="J45" s="7">
        <v>3.9750000000000001</v>
      </c>
      <c r="K45" s="7">
        <v>0.99399999999999999</v>
      </c>
      <c r="L45" s="7">
        <f t="shared" si="3"/>
        <v>29.335499999999996</v>
      </c>
      <c r="M45" s="7">
        <f t="shared" si="4"/>
        <v>3.7771999999999997</v>
      </c>
      <c r="N45" s="72">
        <f t="shared" si="5"/>
        <v>1.23</v>
      </c>
      <c r="O45" s="78">
        <f t="shared" si="6"/>
        <v>0.6333333333333333</v>
      </c>
    </row>
    <row r="46" spans="1:15">
      <c r="A46" s="77"/>
      <c r="B46" s="7" t="s">
        <v>1681</v>
      </c>
      <c r="C46" s="7" t="s">
        <v>1682</v>
      </c>
      <c r="D46" s="7">
        <v>3</v>
      </c>
      <c r="E46" s="7">
        <v>2.5</v>
      </c>
      <c r="F46" s="7">
        <v>2.5</v>
      </c>
      <c r="G46" s="7">
        <f t="shared" si="0"/>
        <v>5</v>
      </c>
      <c r="H46" s="7">
        <f t="shared" si="1"/>
        <v>18</v>
      </c>
      <c r="I46" s="7">
        <f t="shared" si="2"/>
        <v>5</v>
      </c>
      <c r="J46" s="7">
        <v>3.9750000000000001</v>
      </c>
      <c r="K46" s="7">
        <v>0.99399999999999999</v>
      </c>
      <c r="L46" s="7">
        <f t="shared" si="3"/>
        <v>29.335499999999996</v>
      </c>
      <c r="M46" s="7">
        <f t="shared" si="4"/>
        <v>3.7771999999999997</v>
      </c>
      <c r="N46" s="72">
        <f t="shared" si="5"/>
        <v>1.23</v>
      </c>
      <c r="O46" s="78">
        <f t="shared" si="6"/>
        <v>0.6333333333333333</v>
      </c>
    </row>
    <row r="47" spans="1:15">
      <c r="A47" s="77"/>
      <c r="B47" s="7" t="s">
        <v>1682</v>
      </c>
      <c r="C47" s="7" t="s">
        <v>1683</v>
      </c>
      <c r="D47" s="7">
        <v>3</v>
      </c>
      <c r="E47" s="7">
        <v>2.5</v>
      </c>
      <c r="F47" s="7">
        <v>2.5</v>
      </c>
      <c r="G47" s="7">
        <f t="shared" si="0"/>
        <v>5</v>
      </c>
      <c r="H47" s="7">
        <f t="shared" si="1"/>
        <v>18</v>
      </c>
      <c r="I47" s="7">
        <f t="shared" si="2"/>
        <v>5</v>
      </c>
      <c r="J47" s="7">
        <v>3.9750000000000001</v>
      </c>
      <c r="K47" s="7">
        <v>0.99399999999999999</v>
      </c>
      <c r="L47" s="7">
        <f t="shared" si="3"/>
        <v>29.335499999999996</v>
      </c>
      <c r="M47" s="7">
        <f t="shared" si="4"/>
        <v>3.7771999999999997</v>
      </c>
      <c r="N47" s="72">
        <f t="shared" si="5"/>
        <v>1.23</v>
      </c>
      <c r="O47" s="78">
        <f t="shared" si="6"/>
        <v>0.6333333333333333</v>
      </c>
    </row>
    <row r="48" spans="1:15">
      <c r="A48" s="77"/>
      <c r="B48" s="7" t="s">
        <v>1683</v>
      </c>
      <c r="C48" s="7" t="s">
        <v>1684</v>
      </c>
      <c r="D48" s="7">
        <v>3</v>
      </c>
      <c r="E48" s="7">
        <v>2.5</v>
      </c>
      <c r="F48" s="7">
        <v>2.5</v>
      </c>
      <c r="G48" s="7">
        <f t="shared" si="0"/>
        <v>5</v>
      </c>
      <c r="H48" s="7">
        <f t="shared" si="1"/>
        <v>18</v>
      </c>
      <c r="I48" s="7">
        <f t="shared" si="2"/>
        <v>5</v>
      </c>
      <c r="J48" s="7">
        <v>3.9750000000000001</v>
      </c>
      <c r="K48" s="7">
        <v>0.99399999999999999</v>
      </c>
      <c r="L48" s="7">
        <f t="shared" si="3"/>
        <v>29.335499999999996</v>
      </c>
      <c r="M48" s="7">
        <f t="shared" si="4"/>
        <v>3.7771999999999997</v>
      </c>
      <c r="N48" s="72">
        <f t="shared" si="5"/>
        <v>1.23</v>
      </c>
      <c r="O48" s="78">
        <f t="shared" si="6"/>
        <v>0.6333333333333333</v>
      </c>
    </row>
    <row r="49" spans="1:15">
      <c r="A49" s="77"/>
      <c r="B49" s="7" t="s">
        <v>1684</v>
      </c>
      <c r="C49" s="7" t="s">
        <v>1685</v>
      </c>
      <c r="D49" s="7">
        <v>3</v>
      </c>
      <c r="E49" s="7">
        <v>2.5</v>
      </c>
      <c r="F49" s="7">
        <v>2.5</v>
      </c>
      <c r="G49" s="7">
        <f t="shared" si="0"/>
        <v>5</v>
      </c>
      <c r="H49" s="7">
        <f t="shared" si="1"/>
        <v>18</v>
      </c>
      <c r="I49" s="7">
        <f t="shared" si="2"/>
        <v>5</v>
      </c>
      <c r="J49" s="7">
        <v>3.9750000000000001</v>
      </c>
      <c r="K49" s="7">
        <v>0.99399999999999999</v>
      </c>
      <c r="L49" s="7">
        <f t="shared" si="3"/>
        <v>29.335499999999996</v>
      </c>
      <c r="M49" s="7">
        <f t="shared" si="4"/>
        <v>3.7771999999999997</v>
      </c>
      <c r="N49" s="72">
        <f t="shared" si="5"/>
        <v>1.23</v>
      </c>
      <c r="O49" s="78">
        <f t="shared" si="6"/>
        <v>0.6333333333333333</v>
      </c>
    </row>
    <row r="50" spans="1:15">
      <c r="A50" s="77"/>
      <c r="B50" s="7" t="s">
        <v>1685</v>
      </c>
      <c r="C50" s="7" t="s">
        <v>1686</v>
      </c>
      <c r="D50" s="7">
        <v>3</v>
      </c>
      <c r="E50" s="7">
        <v>2.5</v>
      </c>
      <c r="F50" s="7">
        <v>2.5</v>
      </c>
      <c r="G50" s="7">
        <f t="shared" si="0"/>
        <v>5</v>
      </c>
      <c r="H50" s="7">
        <f t="shared" si="1"/>
        <v>18</v>
      </c>
      <c r="I50" s="7">
        <f t="shared" si="2"/>
        <v>5</v>
      </c>
      <c r="J50" s="7">
        <v>3.9750000000000001</v>
      </c>
      <c r="K50" s="7">
        <v>0.99399999999999999</v>
      </c>
      <c r="L50" s="7">
        <f t="shared" si="3"/>
        <v>29.335499999999996</v>
      </c>
      <c r="M50" s="7">
        <f t="shared" si="4"/>
        <v>3.7771999999999997</v>
      </c>
      <c r="N50" s="72">
        <f t="shared" si="5"/>
        <v>1.23</v>
      </c>
      <c r="O50" s="78">
        <f t="shared" si="6"/>
        <v>0.6333333333333333</v>
      </c>
    </row>
    <row r="51" spans="1:15">
      <c r="A51" s="77"/>
      <c r="B51" s="7" t="s">
        <v>1686</v>
      </c>
      <c r="C51" s="7" t="s">
        <v>1687</v>
      </c>
      <c r="D51" s="7">
        <v>3</v>
      </c>
      <c r="E51" s="7">
        <v>2.5</v>
      </c>
      <c r="F51" s="7">
        <v>2.5</v>
      </c>
      <c r="G51" s="7">
        <f t="shared" si="0"/>
        <v>5</v>
      </c>
      <c r="H51" s="7">
        <f t="shared" si="1"/>
        <v>18</v>
      </c>
      <c r="I51" s="7">
        <f t="shared" si="2"/>
        <v>5</v>
      </c>
      <c r="J51" s="7">
        <v>3.9750000000000001</v>
      </c>
      <c r="K51" s="7">
        <v>0.99399999999999999</v>
      </c>
      <c r="L51" s="7">
        <f t="shared" si="3"/>
        <v>29.335499999999996</v>
      </c>
      <c r="M51" s="7">
        <f t="shared" si="4"/>
        <v>3.7771999999999997</v>
      </c>
      <c r="N51" s="72">
        <f t="shared" si="5"/>
        <v>1.23</v>
      </c>
      <c r="O51" s="78">
        <f t="shared" si="6"/>
        <v>0.6333333333333333</v>
      </c>
    </row>
    <row r="52" spans="1:15">
      <c r="A52" s="77"/>
      <c r="B52" s="7" t="s">
        <v>1687</v>
      </c>
      <c r="C52" s="7" t="s">
        <v>1688</v>
      </c>
      <c r="D52" s="7">
        <v>3</v>
      </c>
      <c r="E52" s="7">
        <v>2.5</v>
      </c>
      <c r="F52" s="7">
        <v>2.5</v>
      </c>
      <c r="G52" s="7">
        <f t="shared" si="0"/>
        <v>5</v>
      </c>
      <c r="H52" s="7">
        <f t="shared" si="1"/>
        <v>18</v>
      </c>
      <c r="I52" s="7">
        <f t="shared" si="2"/>
        <v>5</v>
      </c>
      <c r="J52" s="7">
        <v>3.9750000000000001</v>
      </c>
      <c r="K52" s="7">
        <v>0.99399999999999999</v>
      </c>
      <c r="L52" s="7">
        <f t="shared" si="3"/>
        <v>29.335499999999996</v>
      </c>
      <c r="M52" s="7">
        <f t="shared" si="4"/>
        <v>3.7771999999999997</v>
      </c>
      <c r="N52" s="72">
        <f t="shared" si="5"/>
        <v>1.23</v>
      </c>
      <c r="O52" s="78">
        <f t="shared" si="6"/>
        <v>0.6333333333333333</v>
      </c>
    </row>
    <row r="53" spans="1:15">
      <c r="A53" s="77"/>
      <c r="B53" s="7" t="s">
        <v>1688</v>
      </c>
      <c r="C53" s="7" t="s">
        <v>1689</v>
      </c>
      <c r="D53" s="7">
        <v>3</v>
      </c>
      <c r="E53" s="7">
        <v>2.5</v>
      </c>
      <c r="F53" s="7">
        <v>2.5</v>
      </c>
      <c r="G53" s="7">
        <f t="shared" si="0"/>
        <v>5</v>
      </c>
      <c r="H53" s="7">
        <f t="shared" si="1"/>
        <v>18</v>
      </c>
      <c r="I53" s="7">
        <f t="shared" si="2"/>
        <v>5</v>
      </c>
      <c r="J53" s="7">
        <v>3.9750000000000001</v>
      </c>
      <c r="K53" s="7">
        <v>0.99399999999999999</v>
      </c>
      <c r="L53" s="7">
        <f t="shared" si="3"/>
        <v>29.335499999999996</v>
      </c>
      <c r="M53" s="7">
        <f t="shared" si="4"/>
        <v>3.7771999999999997</v>
      </c>
      <c r="N53" s="72">
        <f t="shared" si="5"/>
        <v>1.23</v>
      </c>
      <c r="O53" s="78">
        <f t="shared" si="6"/>
        <v>0.6333333333333333</v>
      </c>
    </row>
    <row r="54" spans="1:15">
      <c r="A54" s="77"/>
      <c r="B54" s="7" t="s">
        <v>1689</v>
      </c>
      <c r="C54" s="7" t="s">
        <v>1690</v>
      </c>
      <c r="D54" s="7">
        <v>3</v>
      </c>
      <c r="E54" s="7">
        <v>2.5</v>
      </c>
      <c r="F54" s="7">
        <v>2.5</v>
      </c>
      <c r="G54" s="7">
        <f t="shared" si="0"/>
        <v>5</v>
      </c>
      <c r="H54" s="7">
        <f t="shared" si="1"/>
        <v>18</v>
      </c>
      <c r="I54" s="7">
        <f t="shared" si="2"/>
        <v>5</v>
      </c>
      <c r="J54" s="7">
        <v>3.9750000000000001</v>
      </c>
      <c r="K54" s="7">
        <v>0.99399999999999999</v>
      </c>
      <c r="L54" s="7">
        <f t="shared" si="3"/>
        <v>29.335499999999996</v>
      </c>
      <c r="M54" s="7">
        <f t="shared" si="4"/>
        <v>3.7771999999999997</v>
      </c>
      <c r="N54" s="72">
        <f t="shared" si="5"/>
        <v>1.23</v>
      </c>
      <c r="O54" s="78">
        <f t="shared" si="6"/>
        <v>0.6333333333333333</v>
      </c>
    </row>
    <row r="55" spans="1:15">
      <c r="A55" s="77"/>
      <c r="B55" s="7" t="s">
        <v>1690</v>
      </c>
      <c r="C55" s="7" t="s">
        <v>1691</v>
      </c>
      <c r="D55" s="7">
        <v>3</v>
      </c>
      <c r="E55" s="7">
        <v>2.5</v>
      </c>
      <c r="F55" s="7">
        <v>2.5</v>
      </c>
      <c r="G55" s="7">
        <f t="shared" si="0"/>
        <v>5</v>
      </c>
      <c r="H55" s="7">
        <f t="shared" si="1"/>
        <v>18</v>
      </c>
      <c r="I55" s="7">
        <f t="shared" si="2"/>
        <v>5</v>
      </c>
      <c r="J55" s="7">
        <v>3.9750000000000001</v>
      </c>
      <c r="K55" s="7">
        <v>0.99399999999999999</v>
      </c>
      <c r="L55" s="7">
        <f t="shared" si="3"/>
        <v>29.335499999999996</v>
      </c>
      <c r="M55" s="7">
        <f t="shared" si="4"/>
        <v>3.7771999999999997</v>
      </c>
      <c r="N55" s="72">
        <f t="shared" si="5"/>
        <v>1.23</v>
      </c>
      <c r="O55" s="78">
        <f t="shared" si="6"/>
        <v>0.6333333333333333</v>
      </c>
    </row>
    <row r="56" spans="1:15">
      <c r="A56" s="77"/>
      <c r="B56" s="7" t="s">
        <v>1691</v>
      </c>
      <c r="C56" s="7" t="s">
        <v>1692</v>
      </c>
      <c r="D56" s="7">
        <v>3</v>
      </c>
      <c r="E56" s="7">
        <v>2.5</v>
      </c>
      <c r="F56" s="7">
        <v>2.5</v>
      </c>
      <c r="G56" s="7">
        <f t="shared" si="0"/>
        <v>5</v>
      </c>
      <c r="H56" s="7">
        <f t="shared" si="1"/>
        <v>18</v>
      </c>
      <c r="I56" s="7">
        <f t="shared" si="2"/>
        <v>5</v>
      </c>
      <c r="J56" s="7">
        <v>3.9750000000000001</v>
      </c>
      <c r="K56" s="7">
        <v>0.99399999999999999</v>
      </c>
      <c r="L56" s="7">
        <f t="shared" si="3"/>
        <v>29.335499999999996</v>
      </c>
      <c r="M56" s="7">
        <f t="shared" si="4"/>
        <v>3.7771999999999997</v>
      </c>
      <c r="N56" s="72">
        <f t="shared" si="5"/>
        <v>1.23</v>
      </c>
      <c r="O56" s="78">
        <f t="shared" si="6"/>
        <v>0.6333333333333333</v>
      </c>
    </row>
    <row r="57" spans="1:15">
      <c r="A57" s="77"/>
      <c r="B57" s="7" t="s">
        <v>1692</v>
      </c>
      <c r="C57" s="7" t="s">
        <v>1693</v>
      </c>
      <c r="D57" s="7">
        <v>3</v>
      </c>
      <c r="E57" s="7">
        <v>2.5</v>
      </c>
      <c r="F57" s="7">
        <v>2.5</v>
      </c>
      <c r="G57" s="7">
        <f t="shared" si="0"/>
        <v>5</v>
      </c>
      <c r="H57" s="7">
        <f t="shared" si="1"/>
        <v>18</v>
      </c>
      <c r="I57" s="7">
        <f t="shared" si="2"/>
        <v>5</v>
      </c>
      <c r="J57" s="7">
        <v>3.9750000000000001</v>
      </c>
      <c r="K57" s="7">
        <v>0.99399999999999999</v>
      </c>
      <c r="L57" s="7">
        <f t="shared" si="3"/>
        <v>29.335499999999996</v>
      </c>
      <c r="M57" s="7">
        <f t="shared" si="4"/>
        <v>3.7771999999999997</v>
      </c>
      <c r="N57" s="72">
        <f t="shared" si="5"/>
        <v>1.23</v>
      </c>
      <c r="O57" s="78">
        <f t="shared" si="6"/>
        <v>0.6333333333333333</v>
      </c>
    </row>
    <row r="58" spans="1:15">
      <c r="A58" s="77"/>
      <c r="B58" s="7" t="s">
        <v>1693</v>
      </c>
      <c r="C58" s="7" t="s">
        <v>1694</v>
      </c>
      <c r="D58" s="7">
        <v>3</v>
      </c>
      <c r="E58" s="7">
        <v>2.5</v>
      </c>
      <c r="F58" s="7">
        <v>2.5</v>
      </c>
      <c r="G58" s="7">
        <f t="shared" si="0"/>
        <v>5</v>
      </c>
      <c r="H58" s="7">
        <f t="shared" si="1"/>
        <v>18</v>
      </c>
      <c r="I58" s="7">
        <f t="shared" si="2"/>
        <v>5</v>
      </c>
      <c r="J58" s="7">
        <v>3.9750000000000001</v>
      </c>
      <c r="K58" s="7">
        <v>0.99399999999999999</v>
      </c>
      <c r="L58" s="7">
        <f t="shared" si="3"/>
        <v>29.335499999999996</v>
      </c>
      <c r="M58" s="7">
        <f t="shared" si="4"/>
        <v>3.7771999999999997</v>
      </c>
      <c r="N58" s="72">
        <f t="shared" si="5"/>
        <v>1.23</v>
      </c>
      <c r="O58" s="78">
        <f t="shared" si="6"/>
        <v>0.6333333333333333</v>
      </c>
    </row>
    <row r="59" spans="1:15">
      <c r="A59" s="77"/>
      <c r="B59" s="7" t="s">
        <v>1694</v>
      </c>
      <c r="C59" s="7" t="s">
        <v>1695</v>
      </c>
      <c r="D59" s="7">
        <v>3</v>
      </c>
      <c r="E59" s="7">
        <v>2.5</v>
      </c>
      <c r="F59" s="7">
        <v>2.5</v>
      </c>
      <c r="G59" s="7">
        <f t="shared" si="0"/>
        <v>5</v>
      </c>
      <c r="H59" s="7">
        <f t="shared" si="1"/>
        <v>18</v>
      </c>
      <c r="I59" s="7">
        <f t="shared" si="2"/>
        <v>5</v>
      </c>
      <c r="J59" s="7">
        <v>3.9750000000000001</v>
      </c>
      <c r="K59" s="7">
        <v>0.99399999999999999</v>
      </c>
      <c r="L59" s="7">
        <f t="shared" si="3"/>
        <v>29.335499999999996</v>
      </c>
      <c r="M59" s="7">
        <f t="shared" si="4"/>
        <v>3.7771999999999997</v>
      </c>
      <c r="N59" s="72">
        <f t="shared" si="5"/>
        <v>1.23</v>
      </c>
      <c r="O59" s="78">
        <f t="shared" si="6"/>
        <v>0.6333333333333333</v>
      </c>
    </row>
    <row r="60" spans="1:15">
      <c r="A60" s="77"/>
      <c r="B60" s="7" t="s">
        <v>1695</v>
      </c>
      <c r="C60" s="7" t="s">
        <v>1696</v>
      </c>
      <c r="D60" s="7">
        <v>3</v>
      </c>
      <c r="E60" s="7">
        <v>2.5</v>
      </c>
      <c r="F60" s="7">
        <v>2.5</v>
      </c>
      <c r="G60" s="7">
        <f t="shared" si="0"/>
        <v>5</v>
      </c>
      <c r="H60" s="7">
        <f t="shared" si="1"/>
        <v>18</v>
      </c>
      <c r="I60" s="7">
        <f t="shared" si="2"/>
        <v>5</v>
      </c>
      <c r="J60" s="7">
        <v>3.9750000000000001</v>
      </c>
      <c r="K60" s="7">
        <v>0.99399999999999999</v>
      </c>
      <c r="L60" s="7">
        <f t="shared" si="3"/>
        <v>29.335499999999996</v>
      </c>
      <c r="M60" s="7">
        <f t="shared" si="4"/>
        <v>3.7771999999999997</v>
      </c>
      <c r="N60" s="72">
        <f t="shared" si="5"/>
        <v>1.23</v>
      </c>
      <c r="O60" s="78">
        <f t="shared" si="6"/>
        <v>0.6333333333333333</v>
      </c>
    </row>
    <row r="61" spans="1:15">
      <c r="A61" s="77"/>
      <c r="B61" s="7" t="s">
        <v>1696</v>
      </c>
      <c r="C61" s="7" t="s">
        <v>1697</v>
      </c>
      <c r="D61" s="7">
        <v>3</v>
      </c>
      <c r="E61" s="7">
        <v>2.5</v>
      </c>
      <c r="F61" s="7">
        <v>2.5</v>
      </c>
      <c r="G61" s="7">
        <f t="shared" si="0"/>
        <v>5</v>
      </c>
      <c r="H61" s="7">
        <f t="shared" si="1"/>
        <v>18</v>
      </c>
      <c r="I61" s="7">
        <f t="shared" si="2"/>
        <v>5</v>
      </c>
      <c r="J61" s="7">
        <v>3.9750000000000001</v>
      </c>
      <c r="K61" s="7">
        <v>0.99399999999999999</v>
      </c>
      <c r="L61" s="7">
        <f t="shared" si="3"/>
        <v>29.335499999999996</v>
      </c>
      <c r="M61" s="7">
        <f t="shared" si="4"/>
        <v>3.7771999999999997</v>
      </c>
      <c r="N61" s="72">
        <f t="shared" si="5"/>
        <v>1.23</v>
      </c>
      <c r="O61" s="78">
        <f t="shared" si="6"/>
        <v>0.6333333333333333</v>
      </c>
    </row>
    <row r="62" spans="1:15">
      <c r="A62" s="77"/>
      <c r="B62" s="7" t="s">
        <v>1697</v>
      </c>
      <c r="C62" s="7" t="s">
        <v>1698</v>
      </c>
      <c r="D62" s="7">
        <v>3</v>
      </c>
      <c r="E62" s="7">
        <v>2.5</v>
      </c>
      <c r="F62" s="7">
        <v>2.5</v>
      </c>
      <c r="G62" s="7">
        <f t="shared" si="0"/>
        <v>5</v>
      </c>
      <c r="H62" s="7">
        <f t="shared" si="1"/>
        <v>18</v>
      </c>
      <c r="I62" s="7">
        <f t="shared" si="2"/>
        <v>5</v>
      </c>
      <c r="J62" s="7">
        <v>3.9750000000000001</v>
      </c>
      <c r="K62" s="7">
        <v>0.99399999999999999</v>
      </c>
      <c r="L62" s="7">
        <f t="shared" si="3"/>
        <v>29.335499999999996</v>
      </c>
      <c r="M62" s="7">
        <f t="shared" si="4"/>
        <v>3.7771999999999997</v>
      </c>
      <c r="N62" s="72">
        <f t="shared" si="5"/>
        <v>1.23</v>
      </c>
      <c r="O62" s="78">
        <f t="shared" si="6"/>
        <v>0.6333333333333333</v>
      </c>
    </row>
    <row r="63" spans="1:15">
      <c r="A63" s="77"/>
      <c r="B63" s="7" t="s">
        <v>1698</v>
      </c>
      <c r="C63" s="7" t="s">
        <v>1699</v>
      </c>
      <c r="D63" s="7">
        <v>3</v>
      </c>
      <c r="E63" s="7">
        <v>2.5</v>
      </c>
      <c r="F63" s="7">
        <v>2.5</v>
      </c>
      <c r="G63" s="7">
        <f t="shared" si="0"/>
        <v>5</v>
      </c>
      <c r="H63" s="7">
        <f t="shared" si="1"/>
        <v>18</v>
      </c>
      <c r="I63" s="7">
        <f t="shared" si="2"/>
        <v>5</v>
      </c>
      <c r="J63" s="7">
        <v>3.9750000000000001</v>
      </c>
      <c r="K63" s="7">
        <v>0.99399999999999999</v>
      </c>
      <c r="L63" s="7">
        <f t="shared" si="3"/>
        <v>29.335499999999996</v>
      </c>
      <c r="M63" s="7">
        <f t="shared" si="4"/>
        <v>3.7771999999999997</v>
      </c>
      <c r="N63" s="72">
        <f t="shared" si="5"/>
        <v>1.23</v>
      </c>
      <c r="O63" s="78">
        <f t="shared" si="6"/>
        <v>0.6333333333333333</v>
      </c>
    </row>
    <row r="64" spans="1:15">
      <c r="A64" s="77"/>
      <c r="B64" s="7" t="s">
        <v>1699</v>
      </c>
      <c r="C64" s="7" t="s">
        <v>1700</v>
      </c>
      <c r="D64" s="7">
        <v>3</v>
      </c>
      <c r="E64" s="7">
        <v>2.5</v>
      </c>
      <c r="F64" s="7">
        <v>2.5</v>
      </c>
      <c r="G64" s="7">
        <f t="shared" si="0"/>
        <v>5</v>
      </c>
      <c r="H64" s="7">
        <f t="shared" si="1"/>
        <v>18</v>
      </c>
      <c r="I64" s="7">
        <f t="shared" si="2"/>
        <v>5</v>
      </c>
      <c r="J64" s="7">
        <v>3.9750000000000001</v>
      </c>
      <c r="K64" s="7">
        <v>0.99399999999999999</v>
      </c>
      <c r="L64" s="7">
        <f t="shared" si="3"/>
        <v>29.335499999999996</v>
      </c>
      <c r="M64" s="7">
        <f t="shared" si="4"/>
        <v>3.7771999999999997</v>
      </c>
      <c r="N64" s="72">
        <f t="shared" si="5"/>
        <v>1.23</v>
      </c>
      <c r="O64" s="78">
        <f t="shared" si="6"/>
        <v>0.6333333333333333</v>
      </c>
    </row>
    <row r="65" spans="1:15">
      <c r="A65" s="77"/>
      <c r="B65" s="7" t="s">
        <v>1700</v>
      </c>
      <c r="C65" s="7" t="s">
        <v>1701</v>
      </c>
      <c r="D65" s="7">
        <v>3</v>
      </c>
      <c r="E65" s="7">
        <v>2.5</v>
      </c>
      <c r="F65" s="7">
        <v>2.5</v>
      </c>
      <c r="G65" s="7">
        <f t="shared" si="0"/>
        <v>5</v>
      </c>
      <c r="H65" s="7">
        <f t="shared" si="1"/>
        <v>18</v>
      </c>
      <c r="I65" s="7">
        <f t="shared" si="2"/>
        <v>5</v>
      </c>
      <c r="J65" s="7">
        <v>3.9750000000000001</v>
      </c>
      <c r="K65" s="7">
        <v>0.99399999999999999</v>
      </c>
      <c r="L65" s="7">
        <f t="shared" si="3"/>
        <v>29.335499999999996</v>
      </c>
      <c r="M65" s="7">
        <f t="shared" si="4"/>
        <v>3.7771999999999997</v>
      </c>
      <c r="N65" s="72">
        <f t="shared" si="5"/>
        <v>1.23</v>
      </c>
      <c r="O65" s="78">
        <f t="shared" si="6"/>
        <v>0.6333333333333333</v>
      </c>
    </row>
    <row r="66" spans="1:15">
      <c r="A66" s="77"/>
      <c r="B66" s="7" t="s">
        <v>1701</v>
      </c>
      <c r="C66" s="7" t="s">
        <v>1702</v>
      </c>
      <c r="D66" s="7">
        <v>3</v>
      </c>
      <c r="E66" s="7">
        <v>2.5</v>
      </c>
      <c r="F66" s="7">
        <v>2.5</v>
      </c>
      <c r="G66" s="7">
        <f t="shared" si="0"/>
        <v>5</v>
      </c>
      <c r="H66" s="7">
        <f t="shared" si="1"/>
        <v>18</v>
      </c>
      <c r="I66" s="7">
        <f t="shared" si="2"/>
        <v>5</v>
      </c>
      <c r="J66" s="7">
        <v>3.9750000000000001</v>
      </c>
      <c r="K66" s="7">
        <v>0.99399999999999999</v>
      </c>
      <c r="L66" s="7">
        <f t="shared" si="3"/>
        <v>29.335499999999996</v>
      </c>
      <c r="M66" s="7">
        <f t="shared" si="4"/>
        <v>3.7771999999999997</v>
      </c>
      <c r="N66" s="72">
        <f t="shared" si="5"/>
        <v>1.23</v>
      </c>
      <c r="O66" s="78">
        <f t="shared" si="6"/>
        <v>0.6333333333333333</v>
      </c>
    </row>
    <row r="67" spans="1:15">
      <c r="A67" s="77"/>
      <c r="B67" s="7" t="s">
        <v>1702</v>
      </c>
      <c r="C67" s="7" t="s">
        <v>1703</v>
      </c>
      <c r="D67" s="7">
        <v>3</v>
      </c>
      <c r="E67" s="7">
        <v>2.5</v>
      </c>
      <c r="F67" s="7">
        <v>2.5</v>
      </c>
      <c r="G67" s="7">
        <f t="shared" si="0"/>
        <v>5</v>
      </c>
      <c r="H67" s="7">
        <f t="shared" si="1"/>
        <v>18</v>
      </c>
      <c r="I67" s="7">
        <f t="shared" si="2"/>
        <v>5</v>
      </c>
      <c r="J67" s="7">
        <v>3.9750000000000001</v>
      </c>
      <c r="K67" s="7">
        <v>0.99399999999999999</v>
      </c>
      <c r="L67" s="7">
        <f t="shared" si="3"/>
        <v>29.335499999999996</v>
      </c>
      <c r="M67" s="7">
        <f t="shared" si="4"/>
        <v>3.7771999999999997</v>
      </c>
      <c r="N67" s="72">
        <f t="shared" si="5"/>
        <v>1.23</v>
      </c>
      <c r="O67" s="78">
        <f t="shared" si="6"/>
        <v>0.6333333333333333</v>
      </c>
    </row>
    <row r="68" spans="1:15">
      <c r="A68" s="77"/>
      <c r="B68" s="7" t="s">
        <v>1703</v>
      </c>
      <c r="C68" s="7" t="s">
        <v>1704</v>
      </c>
      <c r="D68" s="7">
        <v>3</v>
      </c>
      <c r="E68" s="7">
        <v>2.5</v>
      </c>
      <c r="F68" s="7">
        <v>2.5</v>
      </c>
      <c r="G68" s="7">
        <f t="shared" si="0"/>
        <v>5</v>
      </c>
      <c r="H68" s="7">
        <f t="shared" si="1"/>
        <v>18</v>
      </c>
      <c r="I68" s="7">
        <f t="shared" si="2"/>
        <v>5</v>
      </c>
      <c r="J68" s="7">
        <v>3.9750000000000001</v>
      </c>
      <c r="K68" s="7">
        <v>0.99399999999999999</v>
      </c>
      <c r="L68" s="7">
        <f t="shared" si="3"/>
        <v>29.335499999999996</v>
      </c>
      <c r="M68" s="7">
        <f t="shared" si="4"/>
        <v>3.7771999999999997</v>
      </c>
      <c r="N68" s="72">
        <f t="shared" si="5"/>
        <v>1.23</v>
      </c>
      <c r="O68" s="78">
        <f t="shared" si="6"/>
        <v>0.6333333333333333</v>
      </c>
    </row>
    <row r="69" spans="1:15">
      <c r="A69" s="77"/>
      <c r="B69" s="7" t="s">
        <v>1704</v>
      </c>
      <c r="C69" s="7" t="s">
        <v>1705</v>
      </c>
      <c r="D69" s="7">
        <v>3</v>
      </c>
      <c r="E69" s="7">
        <v>2.5</v>
      </c>
      <c r="F69" s="7">
        <v>2.5</v>
      </c>
      <c r="G69" s="7">
        <f t="shared" si="0"/>
        <v>5</v>
      </c>
      <c r="H69" s="7">
        <f t="shared" si="1"/>
        <v>18</v>
      </c>
      <c r="I69" s="7">
        <f t="shared" si="2"/>
        <v>5</v>
      </c>
      <c r="J69" s="7">
        <v>3.9750000000000001</v>
      </c>
      <c r="K69" s="7">
        <v>0.99399999999999999</v>
      </c>
      <c r="L69" s="7">
        <f t="shared" si="3"/>
        <v>29.335499999999996</v>
      </c>
      <c r="M69" s="7">
        <f t="shared" si="4"/>
        <v>3.7771999999999997</v>
      </c>
      <c r="N69" s="72">
        <f t="shared" si="5"/>
        <v>1.23</v>
      </c>
      <c r="O69" s="78">
        <f t="shared" si="6"/>
        <v>0.6333333333333333</v>
      </c>
    </row>
    <row r="70" spans="1:15">
      <c r="A70" s="77"/>
      <c r="B70" s="7" t="s">
        <v>1705</v>
      </c>
      <c r="C70" s="7" t="s">
        <v>1706</v>
      </c>
      <c r="D70" s="7">
        <v>3</v>
      </c>
      <c r="E70" s="7">
        <v>2.5</v>
      </c>
      <c r="F70" s="7">
        <v>2.5</v>
      </c>
      <c r="G70" s="7">
        <f t="shared" si="0"/>
        <v>5</v>
      </c>
      <c r="H70" s="7">
        <f t="shared" si="1"/>
        <v>18</v>
      </c>
      <c r="I70" s="7">
        <f t="shared" si="2"/>
        <v>5</v>
      </c>
      <c r="J70" s="7">
        <v>3.9750000000000001</v>
      </c>
      <c r="K70" s="7">
        <v>0.99399999999999999</v>
      </c>
      <c r="L70" s="7">
        <f t="shared" si="3"/>
        <v>29.335499999999996</v>
      </c>
      <c r="M70" s="7">
        <f t="shared" si="4"/>
        <v>3.7771999999999997</v>
      </c>
      <c r="N70" s="72">
        <f t="shared" si="5"/>
        <v>1.23</v>
      </c>
      <c r="O70" s="78">
        <f t="shared" si="6"/>
        <v>0.6333333333333333</v>
      </c>
    </row>
    <row r="71" spans="1:15">
      <c r="A71" s="77"/>
      <c r="B71" s="7" t="s">
        <v>1706</v>
      </c>
      <c r="C71" s="7" t="s">
        <v>1707</v>
      </c>
      <c r="D71" s="7">
        <v>3</v>
      </c>
      <c r="E71" s="7">
        <v>2.5</v>
      </c>
      <c r="F71" s="7">
        <v>2.5</v>
      </c>
      <c r="G71" s="7">
        <f t="shared" ref="G71:G103" si="7">+E71+F71</f>
        <v>5</v>
      </c>
      <c r="H71" s="7">
        <f t="shared" ref="H71:H103" si="8">+ROUND(G71/$H$4,0)+1</f>
        <v>18</v>
      </c>
      <c r="I71" s="7">
        <f t="shared" ref="I71:I103" si="9">+ROUND(D71/$I$4,0)+1</f>
        <v>5</v>
      </c>
      <c r="J71" s="7">
        <v>3.9750000000000001</v>
      </c>
      <c r="K71" s="7">
        <v>0.99399999999999999</v>
      </c>
      <c r="L71" s="7">
        <f t="shared" ref="L71:L103" si="10">+H71*J71*$L$4</f>
        <v>29.335499999999996</v>
      </c>
      <c r="M71" s="7">
        <f t="shared" ref="M71:M103" si="11">+I71*K71*$M$4</f>
        <v>3.7771999999999997</v>
      </c>
      <c r="N71" s="72">
        <f t="shared" ref="N71:N103" si="12">+H71*$L$4/6</f>
        <v>1.23</v>
      </c>
      <c r="O71" s="78">
        <f t="shared" ref="O71:O103" si="13">+I71*$M$4/6</f>
        <v>0.6333333333333333</v>
      </c>
    </row>
    <row r="72" spans="1:15">
      <c r="A72" s="77"/>
      <c r="B72" s="7" t="s">
        <v>1707</v>
      </c>
      <c r="C72" s="7" t="s">
        <v>1708</v>
      </c>
      <c r="D72" s="7">
        <v>3</v>
      </c>
      <c r="E72" s="7">
        <v>2.5</v>
      </c>
      <c r="F72" s="7">
        <v>2.5</v>
      </c>
      <c r="G72" s="7">
        <f t="shared" si="7"/>
        <v>5</v>
      </c>
      <c r="H72" s="7">
        <f t="shared" si="8"/>
        <v>18</v>
      </c>
      <c r="I72" s="7">
        <f t="shared" si="9"/>
        <v>5</v>
      </c>
      <c r="J72" s="7">
        <v>3.9750000000000001</v>
      </c>
      <c r="K72" s="7">
        <v>0.99399999999999999</v>
      </c>
      <c r="L72" s="7">
        <f t="shared" si="10"/>
        <v>29.335499999999996</v>
      </c>
      <c r="M72" s="7">
        <f t="shared" si="11"/>
        <v>3.7771999999999997</v>
      </c>
      <c r="N72" s="72">
        <f t="shared" si="12"/>
        <v>1.23</v>
      </c>
      <c r="O72" s="78">
        <f t="shared" si="13"/>
        <v>0.6333333333333333</v>
      </c>
    </row>
    <row r="73" spans="1:15">
      <c r="A73" s="77"/>
      <c r="B73" s="7" t="s">
        <v>1708</v>
      </c>
      <c r="C73" s="7" t="s">
        <v>1709</v>
      </c>
      <c r="D73" s="7">
        <v>3</v>
      </c>
      <c r="E73" s="7">
        <v>2.5</v>
      </c>
      <c r="F73" s="7">
        <v>2.5</v>
      </c>
      <c r="G73" s="7">
        <f t="shared" si="7"/>
        <v>5</v>
      </c>
      <c r="H73" s="7">
        <f t="shared" si="8"/>
        <v>18</v>
      </c>
      <c r="I73" s="7">
        <f t="shared" si="9"/>
        <v>5</v>
      </c>
      <c r="J73" s="7">
        <v>3.9750000000000001</v>
      </c>
      <c r="K73" s="7">
        <v>0.99399999999999999</v>
      </c>
      <c r="L73" s="7">
        <f t="shared" si="10"/>
        <v>29.335499999999996</v>
      </c>
      <c r="M73" s="7">
        <f t="shared" si="11"/>
        <v>3.7771999999999997</v>
      </c>
      <c r="N73" s="72">
        <f t="shared" si="12"/>
        <v>1.23</v>
      </c>
      <c r="O73" s="78">
        <f t="shared" si="13"/>
        <v>0.6333333333333333</v>
      </c>
    </row>
    <row r="74" spans="1:15">
      <c r="A74" s="77"/>
      <c r="B74" s="7" t="s">
        <v>1709</v>
      </c>
      <c r="C74" s="7" t="s">
        <v>1710</v>
      </c>
      <c r="D74" s="7">
        <v>3</v>
      </c>
      <c r="E74" s="7">
        <v>2.5</v>
      </c>
      <c r="F74" s="7">
        <v>2.5</v>
      </c>
      <c r="G74" s="7">
        <f t="shared" si="7"/>
        <v>5</v>
      </c>
      <c r="H74" s="7">
        <f t="shared" si="8"/>
        <v>18</v>
      </c>
      <c r="I74" s="7">
        <f t="shared" si="9"/>
        <v>5</v>
      </c>
      <c r="J74" s="7">
        <v>3.9750000000000001</v>
      </c>
      <c r="K74" s="7">
        <v>0.99399999999999999</v>
      </c>
      <c r="L74" s="7">
        <f t="shared" si="10"/>
        <v>29.335499999999996</v>
      </c>
      <c r="M74" s="7">
        <f t="shared" si="11"/>
        <v>3.7771999999999997</v>
      </c>
      <c r="N74" s="72">
        <f t="shared" si="12"/>
        <v>1.23</v>
      </c>
      <c r="O74" s="78">
        <f t="shared" si="13"/>
        <v>0.6333333333333333</v>
      </c>
    </row>
    <row r="75" spans="1:15">
      <c r="A75" s="77"/>
      <c r="B75" s="7" t="s">
        <v>1710</v>
      </c>
      <c r="C75" s="7" t="s">
        <v>1711</v>
      </c>
      <c r="D75" s="7">
        <v>3</v>
      </c>
      <c r="E75" s="7">
        <v>2.5</v>
      </c>
      <c r="F75" s="7">
        <v>2.5</v>
      </c>
      <c r="G75" s="7">
        <f t="shared" si="7"/>
        <v>5</v>
      </c>
      <c r="H75" s="7">
        <f t="shared" si="8"/>
        <v>18</v>
      </c>
      <c r="I75" s="7">
        <f t="shared" si="9"/>
        <v>5</v>
      </c>
      <c r="J75" s="7">
        <v>3.9750000000000001</v>
      </c>
      <c r="K75" s="7">
        <v>0.99399999999999999</v>
      </c>
      <c r="L75" s="7">
        <f t="shared" si="10"/>
        <v>29.335499999999996</v>
      </c>
      <c r="M75" s="7">
        <f t="shared" si="11"/>
        <v>3.7771999999999997</v>
      </c>
      <c r="N75" s="72">
        <f t="shared" si="12"/>
        <v>1.23</v>
      </c>
      <c r="O75" s="78">
        <f t="shared" si="13"/>
        <v>0.6333333333333333</v>
      </c>
    </row>
    <row r="76" spans="1:15">
      <c r="A76" s="77"/>
      <c r="B76" s="7" t="s">
        <v>1711</v>
      </c>
      <c r="C76" s="7" t="s">
        <v>1712</v>
      </c>
      <c r="D76" s="7">
        <v>3</v>
      </c>
      <c r="E76" s="7">
        <v>2.5</v>
      </c>
      <c r="F76" s="7">
        <v>2.5</v>
      </c>
      <c r="G76" s="7">
        <f t="shared" si="7"/>
        <v>5</v>
      </c>
      <c r="H76" s="7">
        <f t="shared" si="8"/>
        <v>18</v>
      </c>
      <c r="I76" s="7">
        <f t="shared" si="9"/>
        <v>5</v>
      </c>
      <c r="J76" s="7">
        <v>3.9750000000000001</v>
      </c>
      <c r="K76" s="7">
        <v>0.99399999999999999</v>
      </c>
      <c r="L76" s="7">
        <f t="shared" si="10"/>
        <v>29.335499999999996</v>
      </c>
      <c r="M76" s="7">
        <f t="shared" si="11"/>
        <v>3.7771999999999997</v>
      </c>
      <c r="N76" s="72">
        <f t="shared" si="12"/>
        <v>1.23</v>
      </c>
      <c r="O76" s="78">
        <f t="shared" si="13"/>
        <v>0.6333333333333333</v>
      </c>
    </row>
    <row r="77" spans="1:15">
      <c r="A77" s="77"/>
      <c r="B77" s="7" t="s">
        <v>1712</v>
      </c>
      <c r="C77" s="7" t="s">
        <v>1713</v>
      </c>
      <c r="D77" s="7">
        <v>3</v>
      </c>
      <c r="E77" s="7">
        <v>2.5</v>
      </c>
      <c r="F77" s="7">
        <v>2.5</v>
      </c>
      <c r="G77" s="7">
        <f t="shared" si="7"/>
        <v>5</v>
      </c>
      <c r="H77" s="7">
        <f t="shared" si="8"/>
        <v>18</v>
      </c>
      <c r="I77" s="7">
        <f t="shared" si="9"/>
        <v>5</v>
      </c>
      <c r="J77" s="7">
        <v>3.9750000000000001</v>
      </c>
      <c r="K77" s="7">
        <v>0.99399999999999999</v>
      </c>
      <c r="L77" s="7">
        <f t="shared" si="10"/>
        <v>29.335499999999996</v>
      </c>
      <c r="M77" s="7">
        <f t="shared" si="11"/>
        <v>3.7771999999999997</v>
      </c>
      <c r="N77" s="72">
        <f t="shared" si="12"/>
        <v>1.23</v>
      </c>
      <c r="O77" s="78">
        <f t="shared" si="13"/>
        <v>0.6333333333333333</v>
      </c>
    </row>
    <row r="78" spans="1:15">
      <c r="A78" s="77"/>
      <c r="B78" s="7" t="s">
        <v>1713</v>
      </c>
      <c r="C78" s="7" t="s">
        <v>1714</v>
      </c>
      <c r="D78" s="7">
        <v>3</v>
      </c>
      <c r="E78" s="7">
        <v>2.5</v>
      </c>
      <c r="F78" s="7">
        <v>2.5</v>
      </c>
      <c r="G78" s="7">
        <f t="shared" si="7"/>
        <v>5</v>
      </c>
      <c r="H78" s="7">
        <f t="shared" si="8"/>
        <v>18</v>
      </c>
      <c r="I78" s="7">
        <f t="shared" si="9"/>
        <v>5</v>
      </c>
      <c r="J78" s="7">
        <v>3.9750000000000001</v>
      </c>
      <c r="K78" s="7">
        <v>0.99399999999999999</v>
      </c>
      <c r="L78" s="7">
        <f t="shared" si="10"/>
        <v>29.335499999999996</v>
      </c>
      <c r="M78" s="7">
        <f t="shared" si="11"/>
        <v>3.7771999999999997</v>
      </c>
      <c r="N78" s="72">
        <f t="shared" si="12"/>
        <v>1.23</v>
      </c>
      <c r="O78" s="78">
        <f t="shared" si="13"/>
        <v>0.6333333333333333</v>
      </c>
    </row>
    <row r="79" spans="1:15">
      <c r="A79" s="77"/>
      <c r="B79" s="7" t="s">
        <v>1714</v>
      </c>
      <c r="C79" s="7" t="s">
        <v>1715</v>
      </c>
      <c r="D79" s="7">
        <v>3</v>
      </c>
      <c r="E79" s="7">
        <v>2.5</v>
      </c>
      <c r="F79" s="7">
        <v>2.5</v>
      </c>
      <c r="G79" s="7">
        <f t="shared" si="7"/>
        <v>5</v>
      </c>
      <c r="H79" s="7">
        <f t="shared" si="8"/>
        <v>18</v>
      </c>
      <c r="I79" s="7">
        <f t="shared" si="9"/>
        <v>5</v>
      </c>
      <c r="J79" s="7">
        <v>3.9750000000000001</v>
      </c>
      <c r="K79" s="7">
        <v>0.99399999999999999</v>
      </c>
      <c r="L79" s="7">
        <f t="shared" si="10"/>
        <v>29.335499999999996</v>
      </c>
      <c r="M79" s="7">
        <f t="shared" si="11"/>
        <v>3.7771999999999997</v>
      </c>
      <c r="N79" s="72">
        <f t="shared" si="12"/>
        <v>1.23</v>
      </c>
      <c r="O79" s="78">
        <f t="shared" si="13"/>
        <v>0.6333333333333333</v>
      </c>
    </row>
    <row r="80" spans="1:15">
      <c r="A80" s="77"/>
      <c r="B80" s="7" t="s">
        <v>1715</v>
      </c>
      <c r="C80" s="7" t="s">
        <v>1716</v>
      </c>
      <c r="D80" s="7">
        <v>3</v>
      </c>
      <c r="E80" s="7">
        <v>2.5</v>
      </c>
      <c r="F80" s="7">
        <v>2.5</v>
      </c>
      <c r="G80" s="7">
        <f t="shared" si="7"/>
        <v>5</v>
      </c>
      <c r="H80" s="7">
        <f t="shared" si="8"/>
        <v>18</v>
      </c>
      <c r="I80" s="7">
        <f t="shared" si="9"/>
        <v>5</v>
      </c>
      <c r="J80" s="7">
        <v>3.9750000000000001</v>
      </c>
      <c r="K80" s="7">
        <v>0.99399999999999999</v>
      </c>
      <c r="L80" s="7">
        <f t="shared" si="10"/>
        <v>29.335499999999996</v>
      </c>
      <c r="M80" s="7">
        <f t="shared" si="11"/>
        <v>3.7771999999999997</v>
      </c>
      <c r="N80" s="72">
        <f t="shared" si="12"/>
        <v>1.23</v>
      </c>
      <c r="O80" s="78">
        <f t="shared" si="13"/>
        <v>0.6333333333333333</v>
      </c>
    </row>
    <row r="81" spans="1:15">
      <c r="A81" s="77"/>
      <c r="B81" s="7" t="s">
        <v>1716</v>
      </c>
      <c r="C81" s="7" t="s">
        <v>1717</v>
      </c>
      <c r="D81" s="7">
        <v>3</v>
      </c>
      <c r="E81" s="7">
        <v>2.5</v>
      </c>
      <c r="F81" s="7">
        <v>2.5</v>
      </c>
      <c r="G81" s="7">
        <f t="shared" si="7"/>
        <v>5</v>
      </c>
      <c r="H81" s="7">
        <f t="shared" si="8"/>
        <v>18</v>
      </c>
      <c r="I81" s="7">
        <f t="shared" si="9"/>
        <v>5</v>
      </c>
      <c r="J81" s="7">
        <v>3.9750000000000001</v>
      </c>
      <c r="K81" s="7">
        <v>0.99399999999999999</v>
      </c>
      <c r="L81" s="7">
        <f t="shared" si="10"/>
        <v>29.335499999999996</v>
      </c>
      <c r="M81" s="7">
        <f t="shared" si="11"/>
        <v>3.7771999999999997</v>
      </c>
      <c r="N81" s="72">
        <f t="shared" si="12"/>
        <v>1.23</v>
      </c>
      <c r="O81" s="78">
        <f t="shared" si="13"/>
        <v>0.6333333333333333</v>
      </c>
    </row>
    <row r="82" spans="1:15">
      <c r="A82" s="77"/>
      <c r="B82" s="7" t="s">
        <v>1717</v>
      </c>
      <c r="C82" s="7" t="s">
        <v>1718</v>
      </c>
      <c r="D82" s="7">
        <v>3</v>
      </c>
      <c r="E82" s="7">
        <v>2.5</v>
      </c>
      <c r="F82" s="7">
        <v>2.5</v>
      </c>
      <c r="G82" s="7">
        <f t="shared" si="7"/>
        <v>5</v>
      </c>
      <c r="H82" s="7">
        <f t="shared" si="8"/>
        <v>18</v>
      </c>
      <c r="I82" s="7">
        <f t="shared" si="9"/>
        <v>5</v>
      </c>
      <c r="J82" s="7">
        <v>3.9750000000000001</v>
      </c>
      <c r="K82" s="7">
        <v>0.99399999999999999</v>
      </c>
      <c r="L82" s="7">
        <f t="shared" si="10"/>
        <v>29.335499999999996</v>
      </c>
      <c r="M82" s="7">
        <f t="shared" si="11"/>
        <v>3.7771999999999997</v>
      </c>
      <c r="N82" s="72">
        <f t="shared" si="12"/>
        <v>1.23</v>
      </c>
      <c r="O82" s="78">
        <f t="shared" si="13"/>
        <v>0.6333333333333333</v>
      </c>
    </row>
    <row r="83" spans="1:15">
      <c r="A83" s="77"/>
      <c r="B83" s="7" t="s">
        <v>1718</v>
      </c>
      <c r="C83" s="7" t="s">
        <v>1719</v>
      </c>
      <c r="D83" s="7">
        <v>3</v>
      </c>
      <c r="E83" s="7">
        <v>2.5</v>
      </c>
      <c r="F83" s="7">
        <v>2.5</v>
      </c>
      <c r="G83" s="7">
        <f t="shared" si="7"/>
        <v>5</v>
      </c>
      <c r="H83" s="7">
        <f t="shared" si="8"/>
        <v>18</v>
      </c>
      <c r="I83" s="7">
        <f t="shared" si="9"/>
        <v>5</v>
      </c>
      <c r="J83" s="7">
        <v>3.9750000000000001</v>
      </c>
      <c r="K83" s="7">
        <v>0.99399999999999999</v>
      </c>
      <c r="L83" s="7">
        <f t="shared" si="10"/>
        <v>29.335499999999996</v>
      </c>
      <c r="M83" s="7">
        <f t="shared" si="11"/>
        <v>3.7771999999999997</v>
      </c>
      <c r="N83" s="72">
        <f t="shared" si="12"/>
        <v>1.23</v>
      </c>
      <c r="O83" s="78">
        <f t="shared" si="13"/>
        <v>0.6333333333333333</v>
      </c>
    </row>
    <row r="84" spans="1:15">
      <c r="A84" s="77"/>
      <c r="B84" s="7" t="s">
        <v>1719</v>
      </c>
      <c r="C84" s="7" t="s">
        <v>1720</v>
      </c>
      <c r="D84" s="7">
        <v>3</v>
      </c>
      <c r="E84" s="7">
        <v>2.5</v>
      </c>
      <c r="F84" s="7">
        <v>2.5</v>
      </c>
      <c r="G84" s="7">
        <f t="shared" si="7"/>
        <v>5</v>
      </c>
      <c r="H84" s="7">
        <f t="shared" si="8"/>
        <v>18</v>
      </c>
      <c r="I84" s="7">
        <f t="shared" si="9"/>
        <v>5</v>
      </c>
      <c r="J84" s="7">
        <v>3.9750000000000001</v>
      </c>
      <c r="K84" s="7">
        <v>0.99399999999999999</v>
      </c>
      <c r="L84" s="7">
        <f t="shared" si="10"/>
        <v>29.335499999999996</v>
      </c>
      <c r="M84" s="7">
        <f t="shared" si="11"/>
        <v>3.7771999999999997</v>
      </c>
      <c r="N84" s="72">
        <f t="shared" si="12"/>
        <v>1.23</v>
      </c>
      <c r="O84" s="78">
        <f t="shared" si="13"/>
        <v>0.6333333333333333</v>
      </c>
    </row>
    <row r="85" spans="1:15">
      <c r="A85" s="77"/>
      <c r="B85" s="7" t="s">
        <v>1720</v>
      </c>
      <c r="C85" s="7" t="s">
        <v>1721</v>
      </c>
      <c r="D85" s="7">
        <v>3</v>
      </c>
      <c r="E85" s="7">
        <v>2.5</v>
      </c>
      <c r="F85" s="7">
        <v>2.5</v>
      </c>
      <c r="G85" s="7">
        <f t="shared" si="7"/>
        <v>5</v>
      </c>
      <c r="H85" s="7">
        <f t="shared" si="8"/>
        <v>18</v>
      </c>
      <c r="I85" s="7">
        <f t="shared" si="9"/>
        <v>5</v>
      </c>
      <c r="J85" s="7">
        <v>3.9750000000000001</v>
      </c>
      <c r="K85" s="7">
        <v>0.99399999999999999</v>
      </c>
      <c r="L85" s="7">
        <f t="shared" si="10"/>
        <v>29.335499999999996</v>
      </c>
      <c r="M85" s="7">
        <f t="shared" si="11"/>
        <v>3.7771999999999997</v>
      </c>
      <c r="N85" s="72">
        <f t="shared" si="12"/>
        <v>1.23</v>
      </c>
      <c r="O85" s="78">
        <f t="shared" si="13"/>
        <v>0.6333333333333333</v>
      </c>
    </row>
    <row r="86" spans="1:15">
      <c r="A86" s="77"/>
      <c r="B86" s="7" t="s">
        <v>1721</v>
      </c>
      <c r="C86" s="7" t="s">
        <v>1722</v>
      </c>
      <c r="D86" s="7">
        <v>3</v>
      </c>
      <c r="E86" s="7">
        <v>2.5</v>
      </c>
      <c r="F86" s="7">
        <v>2.5</v>
      </c>
      <c r="G86" s="7">
        <f t="shared" si="7"/>
        <v>5</v>
      </c>
      <c r="H86" s="7">
        <f t="shared" si="8"/>
        <v>18</v>
      </c>
      <c r="I86" s="7">
        <f t="shared" si="9"/>
        <v>5</v>
      </c>
      <c r="J86" s="7">
        <v>3.9750000000000001</v>
      </c>
      <c r="K86" s="7">
        <v>0.99399999999999999</v>
      </c>
      <c r="L86" s="7">
        <f t="shared" si="10"/>
        <v>29.335499999999996</v>
      </c>
      <c r="M86" s="7">
        <f t="shared" si="11"/>
        <v>3.7771999999999997</v>
      </c>
      <c r="N86" s="72">
        <f t="shared" si="12"/>
        <v>1.23</v>
      </c>
      <c r="O86" s="78">
        <f t="shared" si="13"/>
        <v>0.6333333333333333</v>
      </c>
    </row>
    <row r="87" spans="1:15">
      <c r="A87" s="77"/>
      <c r="B87" s="7" t="s">
        <v>1722</v>
      </c>
      <c r="C87" s="7" t="s">
        <v>1723</v>
      </c>
      <c r="D87" s="7">
        <v>3</v>
      </c>
      <c r="E87" s="7">
        <v>2.5</v>
      </c>
      <c r="F87" s="7">
        <v>2.5</v>
      </c>
      <c r="G87" s="7">
        <f t="shared" si="7"/>
        <v>5</v>
      </c>
      <c r="H87" s="7">
        <f t="shared" si="8"/>
        <v>18</v>
      </c>
      <c r="I87" s="7">
        <f t="shared" si="9"/>
        <v>5</v>
      </c>
      <c r="J87" s="7">
        <v>3.9750000000000001</v>
      </c>
      <c r="K87" s="7">
        <v>0.99399999999999999</v>
      </c>
      <c r="L87" s="7">
        <f t="shared" si="10"/>
        <v>29.335499999999996</v>
      </c>
      <c r="M87" s="7">
        <f t="shared" si="11"/>
        <v>3.7771999999999997</v>
      </c>
      <c r="N87" s="72">
        <f t="shared" si="12"/>
        <v>1.23</v>
      </c>
      <c r="O87" s="78">
        <f t="shared" si="13"/>
        <v>0.6333333333333333</v>
      </c>
    </row>
    <row r="88" spans="1:15">
      <c r="A88" s="77"/>
      <c r="B88" s="7" t="s">
        <v>1723</v>
      </c>
      <c r="C88" s="7" t="s">
        <v>1724</v>
      </c>
      <c r="D88" s="7">
        <v>3</v>
      </c>
      <c r="E88" s="7">
        <v>2.5</v>
      </c>
      <c r="F88" s="7">
        <v>2.5</v>
      </c>
      <c r="G88" s="7">
        <f t="shared" si="7"/>
        <v>5</v>
      </c>
      <c r="H88" s="7">
        <f t="shared" si="8"/>
        <v>18</v>
      </c>
      <c r="I88" s="7">
        <f t="shared" si="9"/>
        <v>5</v>
      </c>
      <c r="J88" s="7">
        <v>3.9750000000000001</v>
      </c>
      <c r="K88" s="7">
        <v>0.99399999999999999</v>
      </c>
      <c r="L88" s="7">
        <f t="shared" si="10"/>
        <v>29.335499999999996</v>
      </c>
      <c r="M88" s="7">
        <f t="shared" si="11"/>
        <v>3.7771999999999997</v>
      </c>
      <c r="N88" s="72">
        <f t="shared" si="12"/>
        <v>1.23</v>
      </c>
      <c r="O88" s="78">
        <f t="shared" si="13"/>
        <v>0.6333333333333333</v>
      </c>
    </row>
    <row r="89" spans="1:15">
      <c r="A89" s="77"/>
      <c r="B89" s="7" t="s">
        <v>1724</v>
      </c>
      <c r="C89" s="7" t="s">
        <v>1725</v>
      </c>
      <c r="D89" s="7">
        <v>3</v>
      </c>
      <c r="E89" s="7">
        <v>2.5</v>
      </c>
      <c r="F89" s="7">
        <v>2.5</v>
      </c>
      <c r="G89" s="7">
        <f t="shared" si="7"/>
        <v>5</v>
      </c>
      <c r="H89" s="7">
        <f t="shared" si="8"/>
        <v>18</v>
      </c>
      <c r="I89" s="7">
        <f t="shared" si="9"/>
        <v>5</v>
      </c>
      <c r="J89" s="7">
        <v>3.9750000000000001</v>
      </c>
      <c r="K89" s="7">
        <v>0.99399999999999999</v>
      </c>
      <c r="L89" s="7">
        <f t="shared" si="10"/>
        <v>29.335499999999996</v>
      </c>
      <c r="M89" s="7">
        <f t="shared" si="11"/>
        <v>3.7771999999999997</v>
      </c>
      <c r="N89" s="72">
        <f t="shared" si="12"/>
        <v>1.23</v>
      </c>
      <c r="O89" s="78">
        <f t="shared" si="13"/>
        <v>0.6333333333333333</v>
      </c>
    </row>
    <row r="90" spans="1:15">
      <c r="A90" s="77"/>
      <c r="B90" s="7" t="s">
        <v>1725</v>
      </c>
      <c r="C90" s="7" t="s">
        <v>1726</v>
      </c>
      <c r="D90" s="7">
        <v>3</v>
      </c>
      <c r="E90" s="7">
        <v>2.5</v>
      </c>
      <c r="F90" s="7">
        <v>2.5</v>
      </c>
      <c r="G90" s="7">
        <f t="shared" si="7"/>
        <v>5</v>
      </c>
      <c r="H90" s="7">
        <f t="shared" si="8"/>
        <v>18</v>
      </c>
      <c r="I90" s="7">
        <f t="shared" si="9"/>
        <v>5</v>
      </c>
      <c r="J90" s="7">
        <v>3.9750000000000001</v>
      </c>
      <c r="K90" s="7">
        <v>0.99399999999999999</v>
      </c>
      <c r="L90" s="7">
        <f t="shared" si="10"/>
        <v>29.335499999999996</v>
      </c>
      <c r="M90" s="7">
        <f t="shared" si="11"/>
        <v>3.7771999999999997</v>
      </c>
      <c r="N90" s="72">
        <f t="shared" si="12"/>
        <v>1.23</v>
      </c>
      <c r="O90" s="78">
        <f t="shared" si="13"/>
        <v>0.6333333333333333</v>
      </c>
    </row>
    <row r="91" spans="1:15">
      <c r="A91" s="77"/>
      <c r="B91" s="7" t="s">
        <v>1726</v>
      </c>
      <c r="C91" s="7" t="s">
        <v>1727</v>
      </c>
      <c r="D91" s="7">
        <v>3</v>
      </c>
      <c r="E91" s="7">
        <v>2.5</v>
      </c>
      <c r="F91" s="7">
        <v>2.5</v>
      </c>
      <c r="G91" s="7">
        <f t="shared" si="7"/>
        <v>5</v>
      </c>
      <c r="H91" s="7">
        <f t="shared" si="8"/>
        <v>18</v>
      </c>
      <c r="I91" s="7">
        <f t="shared" si="9"/>
        <v>5</v>
      </c>
      <c r="J91" s="7">
        <v>3.9750000000000001</v>
      </c>
      <c r="K91" s="7">
        <v>0.99399999999999999</v>
      </c>
      <c r="L91" s="7">
        <f t="shared" si="10"/>
        <v>29.335499999999996</v>
      </c>
      <c r="M91" s="7">
        <f t="shared" si="11"/>
        <v>3.7771999999999997</v>
      </c>
      <c r="N91" s="72">
        <f t="shared" si="12"/>
        <v>1.23</v>
      </c>
      <c r="O91" s="78">
        <f t="shared" si="13"/>
        <v>0.6333333333333333</v>
      </c>
    </row>
    <row r="92" spans="1:15">
      <c r="A92" s="77"/>
      <c r="B92" s="7" t="s">
        <v>1727</v>
      </c>
      <c r="C92" s="7" t="s">
        <v>1728</v>
      </c>
      <c r="D92" s="7">
        <v>3</v>
      </c>
      <c r="E92" s="7">
        <v>2.5</v>
      </c>
      <c r="F92" s="7">
        <v>2.5</v>
      </c>
      <c r="G92" s="7">
        <f t="shared" si="7"/>
        <v>5</v>
      </c>
      <c r="H92" s="7">
        <f t="shared" si="8"/>
        <v>18</v>
      </c>
      <c r="I92" s="7">
        <f t="shared" si="9"/>
        <v>5</v>
      </c>
      <c r="J92" s="7">
        <v>3.9750000000000001</v>
      </c>
      <c r="K92" s="7">
        <v>0.99399999999999999</v>
      </c>
      <c r="L92" s="7">
        <f t="shared" si="10"/>
        <v>29.335499999999996</v>
      </c>
      <c r="M92" s="7">
        <f t="shared" si="11"/>
        <v>3.7771999999999997</v>
      </c>
      <c r="N92" s="72">
        <f t="shared" si="12"/>
        <v>1.23</v>
      </c>
      <c r="O92" s="78">
        <f t="shared" si="13"/>
        <v>0.6333333333333333</v>
      </c>
    </row>
    <row r="93" spans="1:15">
      <c r="A93" s="77"/>
      <c r="B93" s="7" t="s">
        <v>1728</v>
      </c>
      <c r="C93" s="7" t="s">
        <v>1729</v>
      </c>
      <c r="D93" s="7">
        <v>3</v>
      </c>
      <c r="E93" s="7">
        <v>2.5</v>
      </c>
      <c r="F93" s="7">
        <v>2.5</v>
      </c>
      <c r="G93" s="7">
        <f t="shared" si="7"/>
        <v>5</v>
      </c>
      <c r="H93" s="7">
        <f t="shared" si="8"/>
        <v>18</v>
      </c>
      <c r="I93" s="7">
        <f t="shared" si="9"/>
        <v>5</v>
      </c>
      <c r="J93" s="7">
        <v>3.9750000000000001</v>
      </c>
      <c r="K93" s="7">
        <v>0.99399999999999999</v>
      </c>
      <c r="L93" s="7">
        <f t="shared" si="10"/>
        <v>29.335499999999996</v>
      </c>
      <c r="M93" s="7">
        <f t="shared" si="11"/>
        <v>3.7771999999999997</v>
      </c>
      <c r="N93" s="72">
        <f t="shared" si="12"/>
        <v>1.23</v>
      </c>
      <c r="O93" s="78">
        <f t="shared" si="13"/>
        <v>0.6333333333333333</v>
      </c>
    </row>
    <row r="94" spans="1:15">
      <c r="A94" s="77"/>
      <c r="B94" s="7" t="s">
        <v>1729</v>
      </c>
      <c r="C94" s="7" t="s">
        <v>1730</v>
      </c>
      <c r="D94" s="7">
        <v>3</v>
      </c>
      <c r="E94" s="7">
        <v>2.5</v>
      </c>
      <c r="F94" s="7">
        <v>2.5</v>
      </c>
      <c r="G94" s="7">
        <f t="shared" si="7"/>
        <v>5</v>
      </c>
      <c r="H94" s="7">
        <f t="shared" si="8"/>
        <v>18</v>
      </c>
      <c r="I94" s="7">
        <f t="shared" si="9"/>
        <v>5</v>
      </c>
      <c r="J94" s="7">
        <v>3.9750000000000001</v>
      </c>
      <c r="K94" s="7">
        <v>0.99399999999999999</v>
      </c>
      <c r="L94" s="7">
        <f t="shared" si="10"/>
        <v>29.335499999999996</v>
      </c>
      <c r="M94" s="7">
        <f t="shared" si="11"/>
        <v>3.7771999999999997</v>
      </c>
      <c r="N94" s="72">
        <f t="shared" si="12"/>
        <v>1.23</v>
      </c>
      <c r="O94" s="78">
        <f t="shared" si="13"/>
        <v>0.6333333333333333</v>
      </c>
    </row>
    <row r="95" spans="1:15">
      <c r="A95" s="77"/>
      <c r="B95" s="7" t="s">
        <v>1730</v>
      </c>
      <c r="C95" s="7" t="s">
        <v>1731</v>
      </c>
      <c r="D95" s="7">
        <v>3</v>
      </c>
      <c r="E95" s="7">
        <v>2.5</v>
      </c>
      <c r="F95" s="7">
        <v>2.5</v>
      </c>
      <c r="G95" s="7">
        <f t="shared" si="7"/>
        <v>5</v>
      </c>
      <c r="H95" s="7">
        <f t="shared" si="8"/>
        <v>18</v>
      </c>
      <c r="I95" s="7">
        <f t="shared" si="9"/>
        <v>5</v>
      </c>
      <c r="J95" s="7">
        <v>3.9750000000000001</v>
      </c>
      <c r="K95" s="7">
        <v>0.99399999999999999</v>
      </c>
      <c r="L95" s="7">
        <f t="shared" si="10"/>
        <v>29.335499999999996</v>
      </c>
      <c r="M95" s="7">
        <f t="shared" si="11"/>
        <v>3.7771999999999997</v>
      </c>
      <c r="N95" s="72">
        <f t="shared" si="12"/>
        <v>1.23</v>
      </c>
      <c r="O95" s="78">
        <f t="shared" si="13"/>
        <v>0.6333333333333333</v>
      </c>
    </row>
    <row r="96" spans="1:15">
      <c r="A96" s="77"/>
      <c r="B96" s="7" t="s">
        <v>1731</v>
      </c>
      <c r="C96" s="7" t="s">
        <v>1732</v>
      </c>
      <c r="D96" s="7">
        <v>3</v>
      </c>
      <c r="E96" s="7">
        <v>2.5</v>
      </c>
      <c r="F96" s="7">
        <v>2.5</v>
      </c>
      <c r="G96" s="7">
        <f t="shared" si="7"/>
        <v>5</v>
      </c>
      <c r="H96" s="7">
        <f t="shared" si="8"/>
        <v>18</v>
      </c>
      <c r="I96" s="7">
        <f t="shared" si="9"/>
        <v>5</v>
      </c>
      <c r="J96" s="7">
        <v>3.9750000000000001</v>
      </c>
      <c r="K96" s="7">
        <v>0.99399999999999999</v>
      </c>
      <c r="L96" s="7">
        <f t="shared" si="10"/>
        <v>29.335499999999996</v>
      </c>
      <c r="M96" s="7">
        <f t="shared" si="11"/>
        <v>3.7771999999999997</v>
      </c>
      <c r="N96" s="72">
        <f t="shared" si="12"/>
        <v>1.23</v>
      </c>
      <c r="O96" s="78">
        <f t="shared" si="13"/>
        <v>0.6333333333333333</v>
      </c>
    </row>
    <row r="97" spans="1:15">
      <c r="A97" s="77"/>
      <c r="B97" s="7" t="s">
        <v>1732</v>
      </c>
      <c r="C97" s="7" t="s">
        <v>1733</v>
      </c>
      <c r="D97" s="7">
        <v>3</v>
      </c>
      <c r="E97" s="7">
        <v>2.5</v>
      </c>
      <c r="F97" s="7">
        <v>2.5</v>
      </c>
      <c r="G97" s="7">
        <f t="shared" si="7"/>
        <v>5</v>
      </c>
      <c r="H97" s="7">
        <f t="shared" si="8"/>
        <v>18</v>
      </c>
      <c r="I97" s="7">
        <f t="shared" si="9"/>
        <v>5</v>
      </c>
      <c r="J97" s="7">
        <v>3.9750000000000001</v>
      </c>
      <c r="K97" s="7">
        <v>0.99399999999999999</v>
      </c>
      <c r="L97" s="7">
        <f t="shared" si="10"/>
        <v>29.335499999999996</v>
      </c>
      <c r="M97" s="7">
        <f t="shared" si="11"/>
        <v>3.7771999999999997</v>
      </c>
      <c r="N97" s="72">
        <f t="shared" si="12"/>
        <v>1.23</v>
      </c>
      <c r="O97" s="78">
        <f t="shared" si="13"/>
        <v>0.6333333333333333</v>
      </c>
    </row>
    <row r="98" spans="1:15">
      <c r="A98" s="77"/>
      <c r="B98" s="7" t="s">
        <v>1733</v>
      </c>
      <c r="C98" s="7" t="s">
        <v>1734</v>
      </c>
      <c r="D98" s="7">
        <v>3</v>
      </c>
      <c r="E98" s="7">
        <v>2.5</v>
      </c>
      <c r="F98" s="7">
        <v>2.5</v>
      </c>
      <c r="G98" s="7">
        <f t="shared" si="7"/>
        <v>5</v>
      </c>
      <c r="H98" s="7">
        <f t="shared" si="8"/>
        <v>18</v>
      </c>
      <c r="I98" s="7">
        <f t="shared" si="9"/>
        <v>5</v>
      </c>
      <c r="J98" s="7">
        <v>3.9750000000000001</v>
      </c>
      <c r="K98" s="7">
        <v>0.99399999999999999</v>
      </c>
      <c r="L98" s="7">
        <f t="shared" si="10"/>
        <v>29.335499999999996</v>
      </c>
      <c r="M98" s="7">
        <f t="shared" si="11"/>
        <v>3.7771999999999997</v>
      </c>
      <c r="N98" s="72">
        <f t="shared" si="12"/>
        <v>1.23</v>
      </c>
      <c r="O98" s="78">
        <f t="shared" si="13"/>
        <v>0.6333333333333333</v>
      </c>
    </row>
    <row r="99" spans="1:15">
      <c r="A99" s="77"/>
      <c r="B99" s="7" t="s">
        <v>1734</v>
      </c>
      <c r="C99" s="7" t="s">
        <v>1735</v>
      </c>
      <c r="D99" s="7">
        <v>3</v>
      </c>
      <c r="E99" s="7">
        <v>2.5</v>
      </c>
      <c r="F99" s="7">
        <v>2.5</v>
      </c>
      <c r="G99" s="7">
        <f t="shared" si="7"/>
        <v>5</v>
      </c>
      <c r="H99" s="7">
        <f t="shared" si="8"/>
        <v>18</v>
      </c>
      <c r="I99" s="7">
        <f t="shared" si="9"/>
        <v>5</v>
      </c>
      <c r="J99" s="7">
        <v>3.9750000000000001</v>
      </c>
      <c r="K99" s="7">
        <v>0.99399999999999999</v>
      </c>
      <c r="L99" s="7">
        <f t="shared" si="10"/>
        <v>29.335499999999996</v>
      </c>
      <c r="M99" s="7">
        <f t="shared" si="11"/>
        <v>3.7771999999999997</v>
      </c>
      <c r="N99" s="72">
        <f t="shared" si="12"/>
        <v>1.23</v>
      </c>
      <c r="O99" s="78">
        <f t="shared" si="13"/>
        <v>0.6333333333333333</v>
      </c>
    </row>
    <row r="100" spans="1:15">
      <c r="A100" s="77"/>
      <c r="B100" s="7" t="s">
        <v>1735</v>
      </c>
      <c r="C100" s="7" t="s">
        <v>1736</v>
      </c>
      <c r="D100" s="7">
        <v>3</v>
      </c>
      <c r="E100" s="7">
        <v>2.5</v>
      </c>
      <c r="F100" s="7">
        <v>2.5</v>
      </c>
      <c r="G100" s="7">
        <f t="shared" si="7"/>
        <v>5</v>
      </c>
      <c r="H100" s="7">
        <f t="shared" si="8"/>
        <v>18</v>
      </c>
      <c r="I100" s="7">
        <f t="shared" si="9"/>
        <v>5</v>
      </c>
      <c r="J100" s="7">
        <v>3.9750000000000001</v>
      </c>
      <c r="K100" s="7">
        <v>0.99399999999999999</v>
      </c>
      <c r="L100" s="7">
        <f t="shared" si="10"/>
        <v>29.335499999999996</v>
      </c>
      <c r="M100" s="7">
        <f t="shared" si="11"/>
        <v>3.7771999999999997</v>
      </c>
      <c r="N100" s="72">
        <f t="shared" si="12"/>
        <v>1.23</v>
      </c>
      <c r="O100" s="78">
        <f t="shared" si="13"/>
        <v>0.6333333333333333</v>
      </c>
    </row>
    <row r="101" spans="1:15">
      <c r="A101" s="77"/>
      <c r="B101" s="7" t="s">
        <v>1736</v>
      </c>
      <c r="C101" s="7" t="s">
        <v>1737</v>
      </c>
      <c r="D101" s="7">
        <v>3</v>
      </c>
      <c r="E101" s="7">
        <v>2.5</v>
      </c>
      <c r="F101" s="7">
        <v>2.5</v>
      </c>
      <c r="G101" s="7">
        <f t="shared" si="7"/>
        <v>5</v>
      </c>
      <c r="H101" s="7">
        <f t="shared" si="8"/>
        <v>18</v>
      </c>
      <c r="I101" s="7">
        <f t="shared" si="9"/>
        <v>5</v>
      </c>
      <c r="J101" s="7">
        <v>3.9750000000000001</v>
      </c>
      <c r="K101" s="7">
        <v>0.99399999999999999</v>
      </c>
      <c r="L101" s="7">
        <f t="shared" si="10"/>
        <v>29.335499999999996</v>
      </c>
      <c r="M101" s="7">
        <f t="shared" si="11"/>
        <v>3.7771999999999997</v>
      </c>
      <c r="N101" s="72">
        <f t="shared" si="12"/>
        <v>1.23</v>
      </c>
      <c r="O101" s="78">
        <f t="shared" si="13"/>
        <v>0.6333333333333333</v>
      </c>
    </row>
    <row r="102" spans="1:15">
      <c r="A102" s="77"/>
      <c r="B102" s="7" t="s">
        <v>1737</v>
      </c>
      <c r="C102" s="7" t="s">
        <v>1738</v>
      </c>
      <c r="D102" s="7">
        <v>3</v>
      </c>
      <c r="E102" s="7">
        <v>2.5</v>
      </c>
      <c r="F102" s="7">
        <v>2.5</v>
      </c>
      <c r="G102" s="7">
        <f t="shared" si="7"/>
        <v>5</v>
      </c>
      <c r="H102" s="7">
        <f t="shared" si="8"/>
        <v>18</v>
      </c>
      <c r="I102" s="7">
        <f t="shared" si="9"/>
        <v>5</v>
      </c>
      <c r="J102" s="7">
        <v>3.9750000000000001</v>
      </c>
      <c r="K102" s="7">
        <v>0.99399999999999999</v>
      </c>
      <c r="L102" s="7">
        <f t="shared" si="10"/>
        <v>29.335499999999996</v>
      </c>
      <c r="M102" s="7">
        <f t="shared" si="11"/>
        <v>3.7771999999999997</v>
      </c>
      <c r="N102" s="72">
        <f t="shared" si="12"/>
        <v>1.23</v>
      </c>
      <c r="O102" s="78">
        <f t="shared" si="13"/>
        <v>0.6333333333333333</v>
      </c>
    </row>
    <row r="103" spans="1:15" ht="15" thickBot="1">
      <c r="A103" s="79"/>
      <c r="B103" s="11" t="s">
        <v>1738</v>
      </c>
      <c r="C103" s="11"/>
      <c r="D103" s="11">
        <v>3</v>
      </c>
      <c r="E103" s="11">
        <v>2.5</v>
      </c>
      <c r="F103" s="11">
        <v>2.5</v>
      </c>
      <c r="G103" s="11">
        <f t="shared" si="7"/>
        <v>5</v>
      </c>
      <c r="H103" s="11">
        <f t="shared" si="8"/>
        <v>18</v>
      </c>
      <c r="I103" s="11">
        <f t="shared" si="9"/>
        <v>5</v>
      </c>
      <c r="J103" s="11">
        <v>3.9750000000000001</v>
      </c>
      <c r="K103" s="11">
        <v>0.99399999999999999</v>
      </c>
      <c r="L103" s="11">
        <f t="shared" si="10"/>
        <v>29.335499999999996</v>
      </c>
      <c r="M103" s="11">
        <f t="shared" si="11"/>
        <v>3.7771999999999997</v>
      </c>
      <c r="N103" s="80">
        <f t="shared" si="12"/>
        <v>1.23</v>
      </c>
      <c r="O103" s="81">
        <f t="shared" si="13"/>
        <v>0.6333333333333333</v>
      </c>
    </row>
    <row r="104" spans="1:15">
      <c r="L104" s="67">
        <f>ROUND(SUM(L6:L103),0)</f>
        <v>2875</v>
      </c>
      <c r="M104" s="67">
        <f>ROUND(SUM(M6:M103),0)</f>
        <v>370</v>
      </c>
      <c r="N104" s="67"/>
      <c r="O104" s="67"/>
    </row>
  </sheetData>
  <mergeCells count="3">
    <mergeCell ref="E4:G4"/>
    <mergeCell ref="A1:O2"/>
    <mergeCell ref="A3:O3"/>
  </mergeCells>
  <phoneticPr fontId="6"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47</vt:i4>
      </vt:variant>
      <vt:variant>
        <vt:lpstr>Rangos con nombre</vt:lpstr>
      </vt:variant>
      <vt:variant>
        <vt:i4>24</vt:i4>
      </vt:variant>
    </vt:vector>
  </HeadingPairs>
  <TitlesOfParts>
    <vt:vector size="71" baseType="lpstr">
      <vt:lpstr>P</vt:lpstr>
      <vt:lpstr>BALANCE</vt:lpstr>
      <vt:lpstr>PRESUPUESTO</vt:lpstr>
      <vt:lpstr>M.O.</vt:lpstr>
      <vt:lpstr>FP OPERATIVO</vt:lpstr>
      <vt:lpstr>1,1</vt:lpstr>
      <vt:lpstr>2,1</vt:lpstr>
      <vt:lpstr>2,2</vt:lpstr>
      <vt:lpstr>2,3</vt:lpstr>
      <vt:lpstr>2,4</vt:lpstr>
      <vt:lpstr>3,1</vt:lpstr>
      <vt:lpstr>3,2</vt:lpstr>
      <vt:lpstr>4,1</vt:lpstr>
      <vt:lpstr>4,2</vt:lpstr>
      <vt:lpstr>NP1</vt:lpstr>
      <vt:lpstr>NP2</vt:lpstr>
      <vt:lpstr>NP3</vt:lpstr>
      <vt:lpstr>NP4</vt:lpstr>
      <vt:lpstr>MATERIALES</vt:lpstr>
      <vt:lpstr>CONCRETOS Y MORTERO</vt:lpstr>
      <vt:lpstr>EQUIPOS</vt:lpstr>
      <vt:lpstr>MEMORIA DE CALCULO</vt:lpstr>
      <vt:lpstr>ACERO CUNETA</vt:lpstr>
      <vt:lpstr>ACERO</vt:lpstr>
      <vt:lpstr>AU</vt:lpstr>
      <vt:lpstr>PAGA-GS-SST</vt:lpstr>
      <vt:lpstr>PMT</vt:lpstr>
      <vt:lpstr>POLIZAS OBRA</vt:lpstr>
      <vt:lpstr>LEGALIZACION OBRA</vt:lpstr>
      <vt:lpstr>FP ADTIVO</vt:lpstr>
      <vt:lpstr>GASTOS ADMINISTRATIVOS</vt:lpstr>
      <vt:lpstr>REVISION Y AJUSTE DISEÑOS</vt:lpstr>
      <vt:lpstr>ENSAYOS DE LABORATORIO</vt:lpstr>
      <vt:lpstr>5,1</vt:lpstr>
      <vt:lpstr>6,1</vt:lpstr>
      <vt:lpstr>6,2</vt:lpstr>
      <vt:lpstr>TRANSPORTES</vt:lpstr>
      <vt:lpstr>APU (3)</vt:lpstr>
      <vt:lpstr>PPTO INTERVENTORIA</vt:lpstr>
      <vt:lpstr>AUXILIO DE ALOJAMIENTO</vt:lpstr>
      <vt:lpstr>FM</vt:lpstr>
      <vt:lpstr>POLIZAS INTREV</vt:lpstr>
      <vt:lpstr>LEGALIZACION INTERV</vt:lpstr>
      <vt:lpstr>ENSAYOS INTERV</vt:lpstr>
      <vt:lpstr>1</vt:lpstr>
      <vt:lpstr>PERSONAL PROFESIONAL-TECNICO</vt:lpstr>
      <vt:lpstr>ACERO LOSA</vt:lpstr>
      <vt:lpstr>'1'!Área_de_impresión</vt:lpstr>
      <vt:lpstr>'1,1'!Área_de_impresión</vt:lpstr>
      <vt:lpstr>'2,1'!Área_de_impresión</vt:lpstr>
      <vt:lpstr>'2,2'!Área_de_impresión</vt:lpstr>
      <vt:lpstr>'2,3'!Área_de_impresión</vt:lpstr>
      <vt:lpstr>'3,1'!Área_de_impresión</vt:lpstr>
      <vt:lpstr>'3,2'!Área_de_impresión</vt:lpstr>
      <vt:lpstr>'4,1'!Área_de_impresión</vt:lpstr>
      <vt:lpstr>'4,2'!Área_de_impresión</vt:lpstr>
      <vt:lpstr>'5,1'!Área_de_impresión</vt:lpstr>
      <vt:lpstr>'6,1'!Área_de_impresión</vt:lpstr>
      <vt:lpstr>'6,2'!Área_de_impresión</vt:lpstr>
      <vt:lpstr>'APU (3)'!Área_de_impresión</vt:lpstr>
      <vt:lpstr>'CONCRETOS Y MORTERO'!Área_de_impresión</vt:lpstr>
      <vt:lpstr>FM!Área_de_impresión</vt:lpstr>
      <vt:lpstr>'FP OPERATIVO'!Área_de_impresión</vt:lpstr>
      <vt:lpstr>MATERIALES!Área_de_impresión</vt:lpstr>
      <vt:lpstr>'MEMORIA DE CALCULO'!Área_de_impresión</vt:lpstr>
      <vt:lpstr>'NP1'!Área_de_impresión</vt:lpstr>
      <vt:lpstr>'NP2'!Área_de_impresión</vt:lpstr>
      <vt:lpstr>'NP4'!Área_de_impresión</vt:lpstr>
      <vt:lpstr>P!Área_de_impresión</vt:lpstr>
      <vt:lpstr>PRESUPUESTO!Área_de_impresión</vt:lpstr>
      <vt:lpstr>PRESUPUESTO!Títulos_a_imprimir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CONSTRULAS SAS</dc:creator>
  <cp:keywords/>
  <dc:description/>
  <cp:lastModifiedBy>Camilo</cp:lastModifiedBy>
  <cp:revision/>
  <dcterms:created xsi:type="dcterms:W3CDTF">2024-02-08T19:17:51Z</dcterms:created>
  <dcterms:modified xsi:type="dcterms:W3CDTF">2026-05-21T20:18:31Z</dcterms:modified>
  <cp:category/>
  <cp:contentStatus/>
</cp:coreProperties>
</file>