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Modalidad Integral 2026 SECOP II 30 DIC 2025\19. SUBSANACIONES 9 JUNIO 2026\"/>
    </mc:Choice>
  </mc:AlternateContent>
  <xr:revisionPtr revIDLastSave="0" documentId="13_ncr:1_{2FC1B23A-676E-4B50-A3F2-39B9D873E34A}" xr6:coauthVersionLast="47" xr6:coauthVersionMax="47" xr10:uidLastSave="{00000000-0000-0000-0000-000000000000}"/>
  <bookViews>
    <workbookView xWindow="-120" yWindow="-120" windowWidth="20730" windowHeight="11040" tabRatio="807" firstSheet="6" activeTab="6" xr2:uid="{8899C277-7CB4-3D4D-8B84-EAEC3904E7BC}"/>
  </bookViews>
  <sheets>
    <sheet name="EVALUACIÓN 2026_lote_1_MES1" sheetId="12" r:id="rId1"/>
    <sheet name="EVAL PROP ARTIFI BAJA_MES1" sheetId="14" r:id="rId2"/>
    <sheet name="EVALUACIÓN PROPONENTES_MES1" sheetId="13" r:id="rId3"/>
    <sheet name="EVALUACIÓN 2026_lote_1_MES2" sheetId="30" r:id="rId4"/>
    <sheet name="EVAL PROP ARTIFI BAJA_MES2" sheetId="32" r:id="rId5"/>
    <sheet name="EVALUACIÓN PROPONENTES_MES2" sheetId="31" r:id="rId6"/>
    <sheet name="EVALUACIÓN 2026_lote_1_Total" sheetId="33" r:id="rId7"/>
    <sheet name="EVAL PROP ARTIFI BAJA_Total" sheetId="34" r:id="rId8"/>
    <sheet name="EVALUACIÓN PROPONENTES_Total" sheetId="35" r:id="rId9"/>
    <sheet name="VALOR CASA CRECER CASA 1 " sheetId="36" r:id="rId10"/>
    <sheet name="VALOR CASA CRECER CASA 2" sheetId="37" r:id="rId11"/>
    <sheet name="VALOR CASA FEZ" sheetId="38" r:id="rId12"/>
    <sheet name="VALOR CASA UTHOGARES" sheetId="39" r:id="rId13"/>
    <sheet name="VALOR CASA  (ACNN)" sheetId="40" r:id="rId14"/>
    <sheet name="VALOR CASA UTRVIDA" sheetId="41" r:id="rId15"/>
    <sheet name="VALOR CASA SOCIEDADPF" sheetId="42" r:id="rId16"/>
    <sheet name="VALOR CASA  (MULTIETNIAS)" sheetId="43" r:id="rId17"/>
    <sheet name="EVAL TH ARTIFI BAJA (ACNN)" sheetId="45" r:id="rId18"/>
    <sheet name="EVALUACIÓN TH (ACNN) " sheetId="44" r:id="rId19"/>
    <sheet name="EVAL ALIMENT ARTIFI BAJA (ACNN)" sheetId="48" r:id="rId20"/>
    <sheet name="EVALUACIÓN ALIMENT (ACNN) " sheetId="49" r:id="rId21"/>
    <sheet name="DIFERENCIAS " sheetId="52" r:id="rId22"/>
  </sheets>
  <externalReferences>
    <externalReference r:id="rId23"/>
  </externalReferences>
  <definedNames>
    <definedName name="a">#REF!</definedName>
    <definedName name="ABRIL">#REF!</definedName>
    <definedName name="add">#REF!</definedName>
    <definedName name="ADR">#REF!</definedName>
    <definedName name="ADRIANA">#REF!</definedName>
    <definedName name="AGOSTO">#REF!</definedName>
    <definedName name="ALEJA">#REF!</definedName>
    <definedName name="_xlnm.Print_Area" localSheetId="19">'EVAL ALIMENT ARTIFI BAJA (ACNN)'!$A$1:$L$70</definedName>
    <definedName name="_xlnm.Print_Area" localSheetId="1">'EVAL PROP ARTIFI BAJA_MES1'!$A$1:$L$70</definedName>
    <definedName name="_xlnm.Print_Area" localSheetId="4">'EVAL PROP ARTIFI BAJA_MES2'!$A$1:$L$70</definedName>
    <definedName name="_xlnm.Print_Area" localSheetId="7">'EVAL PROP ARTIFI BAJA_Total'!$A$1:$L$70</definedName>
    <definedName name="_xlnm.Print_Area" localSheetId="17">'EVAL TH ARTIFI BAJA (ACNN)'!$A$1:$L$70</definedName>
    <definedName name="Construccion_en_Sitio_Propio___CSP">#REF!</definedName>
    <definedName name="d">#REF!</definedName>
    <definedName name="DICIEMBRE">#REF!</definedName>
    <definedName name="e">#REF!</definedName>
    <definedName name="EFECTIVO">#REF!</definedName>
    <definedName name="ENERO">#REF!</definedName>
    <definedName name="FEBRERO">#REF!</definedName>
    <definedName name="H">#REF!</definedName>
    <definedName name="jsjsjsjsjsj">#REF!</definedName>
    <definedName name="JULIO">#REF!</definedName>
    <definedName name="JUNIO">#REF!</definedName>
    <definedName name="juun">#REF!</definedName>
    <definedName name="lulu">#REF!</definedName>
    <definedName name="MARZO">#REF!</definedName>
    <definedName name="MAYO">#REF!</definedName>
    <definedName name="migue">#REF!</definedName>
    <definedName name="MIGUEL">#REF!</definedName>
    <definedName name="NOVIEMBRE">#REF!</definedName>
    <definedName name="OCTUBRE">#REF!</definedName>
    <definedName name="OTROS_ACT_CORRIENTES">#REF!</definedName>
    <definedName name="PABLO">#REF!</definedName>
    <definedName name="Q">#REF!</definedName>
    <definedName name="QQQQ">#REF!</definedName>
    <definedName name="RACImayO">#REF!</definedName>
    <definedName name="RACIONESMayo">#REF!</definedName>
    <definedName name="racmayo2013">#REF!</definedName>
    <definedName name="ROBERTO">#REF!</definedName>
    <definedName name="S">#REF!</definedName>
    <definedName name="SANDRA">#REF!</definedName>
    <definedName name="SEPTIEMBRE">#REF!</definedName>
    <definedName name="ss">#REF!</definedName>
    <definedName name="SSSSSSSSSSS">#REF!</definedName>
    <definedName name="UNO">#REF!</definedName>
    <definedName name="Usuarios_">#REF!</definedName>
    <definedName name="USUARIOS_ACUEDUCTO">#REF!</definedName>
    <definedName name="VEINTE">#REF!</definedName>
    <definedName name="wrn.INFORME1.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12" l="1"/>
  <c r="E43" i="12"/>
  <c r="F17" i="13"/>
  <c r="F18" i="13"/>
  <c r="F19" i="13"/>
  <c r="F20" i="13"/>
  <c r="F21" i="13"/>
  <c r="F16" i="13"/>
  <c r="F17" i="31"/>
  <c r="F18" i="31"/>
  <c r="F19" i="31"/>
  <c r="F20" i="31"/>
  <c r="F21" i="31"/>
  <c r="F16" i="31"/>
  <c r="F17" i="35"/>
  <c r="F18" i="35"/>
  <c r="F19" i="35"/>
  <c r="F20" i="35"/>
  <c r="F21" i="35"/>
  <c r="F16" i="35"/>
  <c r="F15" i="49"/>
  <c r="F16" i="49"/>
  <c r="F17" i="49"/>
  <c r="F18" i="49"/>
  <c r="F19" i="49"/>
  <c r="F14" i="49"/>
  <c r="F15" i="44"/>
  <c r="F16" i="44"/>
  <c r="F17" i="44"/>
  <c r="F18" i="44"/>
  <c r="F19" i="44"/>
  <c r="F14" i="44"/>
  <c r="F28" i="32"/>
  <c r="F29" i="32"/>
  <c r="F30" i="32"/>
  <c r="F31" i="32"/>
  <c r="F32" i="32"/>
  <c r="F33" i="32"/>
  <c r="D52" i="48"/>
  <c r="D52" i="34"/>
  <c r="D52" i="32"/>
  <c r="D52" i="14"/>
  <c r="D52" i="45"/>
  <c r="B5" i="48" l="1"/>
  <c r="G19" i="49"/>
  <c r="E19" i="49"/>
  <c r="D19" i="49"/>
  <c r="G18" i="49"/>
  <c r="E18" i="49"/>
  <c r="D18" i="49"/>
  <c r="G17" i="49"/>
  <c r="E17" i="49"/>
  <c r="D17" i="49"/>
  <c r="G16" i="49"/>
  <c r="E16" i="49"/>
  <c r="D16" i="49"/>
  <c r="G15" i="49"/>
  <c r="E15" i="49"/>
  <c r="D15" i="49"/>
  <c r="G14" i="49"/>
  <c r="E14" i="49"/>
  <c r="D14" i="49"/>
  <c r="B2" i="49"/>
  <c r="B48" i="48"/>
  <c r="B67" i="48" s="1"/>
  <c r="B32" i="48"/>
  <c r="B49" i="48" s="1"/>
  <c r="B68" i="48" s="1"/>
  <c r="F31" i="48"/>
  <c r="F48" i="48" s="1"/>
  <c r="E31" i="48"/>
  <c r="E48" i="48" s="1"/>
  <c r="E67" i="48" s="1"/>
  <c r="B31" i="48"/>
  <c r="B30" i="48"/>
  <c r="B47" i="48" s="1"/>
  <c r="B66" i="48" s="1"/>
  <c r="B29" i="48"/>
  <c r="B46" i="48" s="1"/>
  <c r="B65" i="48" s="1"/>
  <c r="E28" i="48"/>
  <c r="E45" i="48" s="1"/>
  <c r="E64" i="48" s="1"/>
  <c r="D28" i="48"/>
  <c r="D45" i="48" s="1"/>
  <c r="D64" i="48" s="1"/>
  <c r="E20" i="48"/>
  <c r="E33" i="48" s="1"/>
  <c r="E50" i="48" s="1"/>
  <c r="E69" i="48" s="1"/>
  <c r="D20" i="48"/>
  <c r="D33" i="48" s="1"/>
  <c r="D50" i="48" s="1"/>
  <c r="D69" i="48" s="1"/>
  <c r="B20" i="48"/>
  <c r="B33" i="48" s="1"/>
  <c r="B50" i="48" s="1"/>
  <c r="F32" i="48"/>
  <c r="F49" i="48" s="1"/>
  <c r="E19" i="48"/>
  <c r="E32" i="48" s="1"/>
  <c r="E49" i="48" s="1"/>
  <c r="E68" i="48" s="1"/>
  <c r="D19" i="48"/>
  <c r="D32" i="48" s="1"/>
  <c r="D49" i="48" s="1"/>
  <c r="D68" i="48" s="1"/>
  <c r="B19" i="48"/>
  <c r="E18" i="48"/>
  <c r="D18" i="48"/>
  <c r="D31" i="48" s="1"/>
  <c r="D48" i="48" s="1"/>
  <c r="D67" i="48" s="1"/>
  <c r="B18" i="48"/>
  <c r="F30" i="48"/>
  <c r="F47" i="48" s="1"/>
  <c r="E17" i="48"/>
  <c r="E30" i="48" s="1"/>
  <c r="E47" i="48" s="1"/>
  <c r="E66" i="48" s="1"/>
  <c r="D17" i="48"/>
  <c r="D30" i="48" s="1"/>
  <c r="D47" i="48" s="1"/>
  <c r="D66" i="48" s="1"/>
  <c r="B17" i="48"/>
  <c r="F29" i="48"/>
  <c r="F46" i="48" s="1"/>
  <c r="E16" i="48"/>
  <c r="E29" i="48" s="1"/>
  <c r="E46" i="48" s="1"/>
  <c r="E65" i="48" s="1"/>
  <c r="D16" i="48"/>
  <c r="D29" i="48" s="1"/>
  <c r="D46" i="48" s="1"/>
  <c r="D65" i="48" s="1"/>
  <c r="B16" i="48"/>
  <c r="E15" i="48"/>
  <c r="D15" i="48"/>
  <c r="B15" i="48"/>
  <c r="B28" i="48" s="1"/>
  <c r="B45" i="48" s="1"/>
  <c r="B64" i="48" s="1"/>
  <c r="D5" i="48"/>
  <c r="B2" i="48"/>
  <c r="D15" i="44"/>
  <c r="E15" i="44"/>
  <c r="D16" i="44"/>
  <c r="E16" i="44"/>
  <c r="D17" i="44"/>
  <c r="E17" i="44"/>
  <c r="D18" i="44"/>
  <c r="E18" i="44"/>
  <c r="D19" i="44"/>
  <c r="E19" i="44"/>
  <c r="D14" i="44"/>
  <c r="E14" i="44"/>
  <c r="B20" i="45"/>
  <c r="B33" i="45" s="1"/>
  <c r="B50" i="45" s="1"/>
  <c r="B19" i="45"/>
  <c r="B32" i="45" s="1"/>
  <c r="B49" i="45" s="1"/>
  <c r="B68" i="45" s="1"/>
  <c r="B18" i="45"/>
  <c r="B31" i="45" s="1"/>
  <c r="B48" i="45" s="1"/>
  <c r="B67" i="45" s="1"/>
  <c r="B17" i="45"/>
  <c r="B30" i="45" s="1"/>
  <c r="B47" i="45" s="1"/>
  <c r="B66" i="45" s="1"/>
  <c r="B16" i="45"/>
  <c r="B29" i="45" s="1"/>
  <c r="B46" i="45" s="1"/>
  <c r="B65" i="45" s="1"/>
  <c r="B15" i="45"/>
  <c r="B28" i="45" s="1"/>
  <c r="B45" i="45" s="1"/>
  <c r="B64" i="45" s="1"/>
  <c r="D5" i="45"/>
  <c r="B5" i="45"/>
  <c r="B2" i="45"/>
  <c r="G19" i="44"/>
  <c r="E20" i="45"/>
  <c r="E33" i="45" s="1"/>
  <c r="E50" i="45" s="1"/>
  <c r="E69" i="45" s="1"/>
  <c r="D20" i="45"/>
  <c r="D33" i="45" s="1"/>
  <c r="D50" i="45" s="1"/>
  <c r="D69" i="45" s="1"/>
  <c r="G18" i="44"/>
  <c r="E19" i="45"/>
  <c r="E32" i="45" s="1"/>
  <c r="E49" i="45" s="1"/>
  <c r="E68" i="45" s="1"/>
  <c r="D19" i="45"/>
  <c r="D32" i="45" s="1"/>
  <c r="D49" i="45" s="1"/>
  <c r="D68" i="45" s="1"/>
  <c r="G17" i="44"/>
  <c r="E18" i="45"/>
  <c r="E31" i="45" s="1"/>
  <c r="E48" i="45" s="1"/>
  <c r="E67" i="45" s="1"/>
  <c r="D18" i="45"/>
  <c r="D31" i="45" s="1"/>
  <c r="D48" i="45" s="1"/>
  <c r="D67" i="45" s="1"/>
  <c r="G16" i="44"/>
  <c r="E17" i="45"/>
  <c r="E30" i="45" s="1"/>
  <c r="E47" i="45" s="1"/>
  <c r="E66" i="45" s="1"/>
  <c r="D17" i="45"/>
  <c r="D30" i="45" s="1"/>
  <c r="D47" i="45" s="1"/>
  <c r="D66" i="45" s="1"/>
  <c r="G15" i="44"/>
  <c r="E16" i="45"/>
  <c r="E29" i="45" s="1"/>
  <c r="E46" i="45" s="1"/>
  <c r="E65" i="45" s="1"/>
  <c r="D16" i="45"/>
  <c r="D29" i="45" s="1"/>
  <c r="D46" i="45" s="1"/>
  <c r="D65" i="45" s="1"/>
  <c r="G14" i="44"/>
  <c r="E15" i="45"/>
  <c r="E28" i="45" s="1"/>
  <c r="E45" i="45" s="1"/>
  <c r="E64" i="45" s="1"/>
  <c r="D15" i="45"/>
  <c r="D28" i="45" s="1"/>
  <c r="D45" i="45" s="1"/>
  <c r="D64" i="45" s="1"/>
  <c r="B2" i="44"/>
  <c r="B22" i="43"/>
  <c r="B8" i="43"/>
  <c r="B10" i="43" s="1"/>
  <c r="B7" i="43"/>
  <c r="B21" i="43" s="1"/>
  <c r="B23" i="42"/>
  <c r="B20" i="42"/>
  <c r="B19" i="42"/>
  <c r="B8" i="42"/>
  <c r="B7" i="42"/>
  <c r="B22" i="42" s="1"/>
  <c r="B5" i="42"/>
  <c r="B10" i="42" s="1"/>
  <c r="B23" i="41"/>
  <c r="B22" i="41"/>
  <c r="B10" i="41"/>
  <c r="B14" i="41" s="1"/>
  <c r="B15" i="41" s="1"/>
  <c r="B8" i="41"/>
  <c r="B7" i="41"/>
  <c r="B21" i="41" s="1"/>
  <c r="B20" i="40"/>
  <c r="B19" i="40"/>
  <c r="B8" i="40"/>
  <c r="B23" i="40" s="1"/>
  <c r="B7" i="40"/>
  <c r="B22" i="40" s="1"/>
  <c r="B23" i="39"/>
  <c r="B22" i="39"/>
  <c r="B10" i="39"/>
  <c r="B18" i="39" s="1"/>
  <c r="B8" i="39"/>
  <c r="B7" i="39"/>
  <c r="B21" i="39" s="1"/>
  <c r="B20" i="38"/>
  <c r="B19" i="38"/>
  <c r="B8" i="38"/>
  <c r="B23" i="38" s="1"/>
  <c r="B7" i="38"/>
  <c r="B22" i="38" s="1"/>
  <c r="B21" i="37"/>
  <c r="B20" i="37"/>
  <c r="B19" i="37"/>
  <c r="B18" i="37"/>
  <c r="B8" i="37"/>
  <c r="B22" i="37" s="1"/>
  <c r="B6" i="37"/>
  <c r="B21" i="36"/>
  <c r="B20" i="36"/>
  <c r="B19" i="36"/>
  <c r="B18" i="36"/>
  <c r="B17" i="36"/>
  <c r="B14" i="36"/>
  <c r="B10" i="36"/>
  <c r="B8" i="36"/>
  <c r="B22" i="36" s="1"/>
  <c r="B6" i="36"/>
  <c r="G21" i="35"/>
  <c r="C21" i="35"/>
  <c r="C20" i="34" s="1"/>
  <c r="G20" i="35"/>
  <c r="F32" i="34"/>
  <c r="F49" i="34" s="1"/>
  <c r="C20" i="35"/>
  <c r="C19" i="34" s="1"/>
  <c r="G19" i="35"/>
  <c r="F31" i="34"/>
  <c r="F48" i="34" s="1"/>
  <c r="C19" i="35"/>
  <c r="C18" i="34" s="1"/>
  <c r="G18" i="35"/>
  <c r="C18" i="35"/>
  <c r="C17" i="34" s="1"/>
  <c r="G17" i="35"/>
  <c r="F29" i="34"/>
  <c r="F46" i="34" s="1"/>
  <c r="C17" i="35"/>
  <c r="C16" i="34" s="1"/>
  <c r="G16" i="35"/>
  <c r="F28" i="34"/>
  <c r="C16" i="35"/>
  <c r="C15" i="34" s="1"/>
  <c r="D7" i="35"/>
  <c r="D5" i="34" s="1"/>
  <c r="B3" i="35"/>
  <c r="B2" i="34" s="1"/>
  <c r="B2" i="35"/>
  <c r="E20" i="34"/>
  <c r="E33" i="34" s="1"/>
  <c r="E50" i="34" s="1"/>
  <c r="E69" i="34" s="1"/>
  <c r="D20" i="34"/>
  <c r="D33" i="34" s="1"/>
  <c r="D50" i="34" s="1"/>
  <c r="D69" i="34" s="1"/>
  <c r="B20" i="34"/>
  <c r="B33" i="34" s="1"/>
  <c r="B50" i="34" s="1"/>
  <c r="E19" i="34"/>
  <c r="E32" i="34" s="1"/>
  <c r="E49" i="34" s="1"/>
  <c r="E68" i="34" s="1"/>
  <c r="D19" i="34"/>
  <c r="D32" i="34" s="1"/>
  <c r="D49" i="34" s="1"/>
  <c r="D68" i="34" s="1"/>
  <c r="B19" i="34"/>
  <c r="B32" i="34" s="1"/>
  <c r="B49" i="34" s="1"/>
  <c r="B68" i="34" s="1"/>
  <c r="E18" i="34"/>
  <c r="E31" i="34" s="1"/>
  <c r="E48" i="34" s="1"/>
  <c r="E67" i="34" s="1"/>
  <c r="D18" i="34"/>
  <c r="D31" i="34" s="1"/>
  <c r="D48" i="34" s="1"/>
  <c r="D67" i="34" s="1"/>
  <c r="B18" i="34"/>
  <c r="B31" i="34" s="1"/>
  <c r="B48" i="34" s="1"/>
  <c r="B67" i="34" s="1"/>
  <c r="E17" i="34"/>
  <c r="E30" i="34" s="1"/>
  <c r="E47" i="34" s="1"/>
  <c r="E66" i="34" s="1"/>
  <c r="D17" i="34"/>
  <c r="D30" i="34" s="1"/>
  <c r="D47" i="34" s="1"/>
  <c r="D66" i="34" s="1"/>
  <c r="B17" i="34"/>
  <c r="B30" i="34" s="1"/>
  <c r="B47" i="34" s="1"/>
  <c r="B66" i="34" s="1"/>
  <c r="E16" i="34"/>
  <c r="E29" i="34" s="1"/>
  <c r="E46" i="34" s="1"/>
  <c r="E65" i="34" s="1"/>
  <c r="D16" i="34"/>
  <c r="D29" i="34" s="1"/>
  <c r="D46" i="34" s="1"/>
  <c r="D65" i="34" s="1"/>
  <c r="B16" i="34"/>
  <c r="B29" i="34" s="1"/>
  <c r="B46" i="34" s="1"/>
  <c r="B65" i="34" s="1"/>
  <c r="E15" i="34"/>
  <c r="E28" i="34" s="1"/>
  <c r="E45" i="34" s="1"/>
  <c r="E64" i="34" s="1"/>
  <c r="D15" i="34"/>
  <c r="D28" i="34" s="1"/>
  <c r="D45" i="34" s="1"/>
  <c r="D64" i="34" s="1"/>
  <c r="B15" i="34"/>
  <c r="B28" i="34" s="1"/>
  <c r="B45" i="34" s="1"/>
  <c r="B64" i="34" s="1"/>
  <c r="B5" i="34"/>
  <c r="F41" i="33"/>
  <c r="E41" i="33"/>
  <c r="F17" i="33" s="1"/>
  <c r="E39" i="33"/>
  <c r="C31" i="34" l="1"/>
  <c r="C48" i="34" s="1"/>
  <c r="C67" i="34" s="1"/>
  <c r="C17" i="49"/>
  <c r="C18" i="48" s="1"/>
  <c r="C31" i="48" s="1"/>
  <c r="C48" i="48" s="1"/>
  <c r="C67" i="48" s="1"/>
  <c r="C17" i="44"/>
  <c r="C18" i="45" s="1"/>
  <c r="C31" i="45" s="1"/>
  <c r="C48" i="45" s="1"/>
  <c r="C67" i="45" s="1"/>
  <c r="C29" i="34"/>
  <c r="C46" i="34" s="1"/>
  <c r="C65" i="34" s="1"/>
  <c r="C15" i="44"/>
  <c r="C16" i="45" s="1"/>
  <c r="C29" i="45" s="1"/>
  <c r="C46" i="45" s="1"/>
  <c r="C65" i="45" s="1"/>
  <c r="C15" i="49"/>
  <c r="C16" i="48" s="1"/>
  <c r="C29" i="48" s="1"/>
  <c r="C46" i="48" s="1"/>
  <c r="C65" i="48" s="1"/>
  <c r="C32" i="34"/>
  <c r="C49" i="34" s="1"/>
  <c r="C68" i="34" s="1"/>
  <c r="C18" i="44"/>
  <c r="C19" i="45" s="1"/>
  <c r="C32" i="45" s="1"/>
  <c r="C49" i="45" s="1"/>
  <c r="C68" i="45" s="1"/>
  <c r="C18" i="49"/>
  <c r="C19" i="48" s="1"/>
  <c r="C32" i="48" s="1"/>
  <c r="C49" i="48" s="1"/>
  <c r="C68" i="48" s="1"/>
  <c r="C28" i="34"/>
  <c r="C45" i="34" s="1"/>
  <c r="C64" i="34" s="1"/>
  <c r="C14" i="44"/>
  <c r="C15" i="45" s="1"/>
  <c r="C28" i="45" s="1"/>
  <c r="C45" i="45" s="1"/>
  <c r="C64" i="45" s="1"/>
  <c r="C14" i="49"/>
  <c r="C15" i="48" s="1"/>
  <c r="C28" i="48" s="1"/>
  <c r="C45" i="48" s="1"/>
  <c r="C64" i="48" s="1"/>
  <c r="C30" i="34"/>
  <c r="C47" i="34" s="1"/>
  <c r="C66" i="34" s="1"/>
  <c r="C16" i="49"/>
  <c r="C17" i="48" s="1"/>
  <c r="C30" i="48" s="1"/>
  <c r="C47" i="48" s="1"/>
  <c r="C66" i="48" s="1"/>
  <c r="C16" i="44"/>
  <c r="C17" i="45" s="1"/>
  <c r="C30" i="45" s="1"/>
  <c r="C47" i="45" s="1"/>
  <c r="C66" i="45" s="1"/>
  <c r="C33" i="34"/>
  <c r="C50" i="34" s="1"/>
  <c r="C69" i="34" s="1"/>
  <c r="C19" i="44"/>
  <c r="C20" i="45" s="1"/>
  <c r="C33" i="45" s="1"/>
  <c r="C50" i="45" s="1"/>
  <c r="C69" i="45" s="1"/>
  <c r="C19" i="49"/>
  <c r="C20" i="48" s="1"/>
  <c r="C33" i="48" s="1"/>
  <c r="C50" i="48" s="1"/>
  <c r="C69" i="48" s="1"/>
  <c r="K20" i="48"/>
  <c r="J18" i="48"/>
  <c r="J20" i="48"/>
  <c r="F28" i="48"/>
  <c r="J15" i="48"/>
  <c r="F65" i="48"/>
  <c r="F67" i="48"/>
  <c r="F68" i="48"/>
  <c r="B69" i="48"/>
  <c r="F66" i="48"/>
  <c r="F33" i="48"/>
  <c r="F50" i="48" s="1"/>
  <c r="J16" i="48"/>
  <c r="J17" i="48"/>
  <c r="J19" i="48"/>
  <c r="K15" i="48"/>
  <c r="K16" i="48"/>
  <c r="K17" i="48"/>
  <c r="K18" i="48"/>
  <c r="K19" i="48"/>
  <c r="B69" i="45"/>
  <c r="F32" i="45"/>
  <c r="F49" i="45" s="1"/>
  <c r="J19" i="45"/>
  <c r="J18" i="45"/>
  <c r="F31" i="45"/>
  <c r="F48" i="45" s="1"/>
  <c r="J17" i="45"/>
  <c r="F30" i="45"/>
  <c r="F47" i="45" s="1"/>
  <c r="J16" i="45"/>
  <c r="F29" i="45"/>
  <c r="F46" i="45" s="1"/>
  <c r="J15" i="45"/>
  <c r="F28" i="45"/>
  <c r="K18" i="45"/>
  <c r="K20" i="45"/>
  <c r="K16" i="45"/>
  <c r="K19" i="45"/>
  <c r="K17" i="45"/>
  <c r="K15" i="45"/>
  <c r="J20" i="45"/>
  <c r="F33" i="45"/>
  <c r="F50" i="45" s="1"/>
  <c r="F18" i="33"/>
  <c r="F19" i="33"/>
  <c r="F20" i="33"/>
  <c r="F21" i="33"/>
  <c r="F65" i="34"/>
  <c r="J18" i="34"/>
  <c r="B23" i="36"/>
  <c r="F45" i="34"/>
  <c r="K20" i="34"/>
  <c r="K19" i="34"/>
  <c r="K18" i="34"/>
  <c r="K17" i="34"/>
  <c r="K16" i="34"/>
  <c r="K15" i="34"/>
  <c r="F68" i="34"/>
  <c r="B69" i="34"/>
  <c r="F67" i="34"/>
  <c r="B18" i="43"/>
  <c r="B14" i="43"/>
  <c r="B15" i="43" s="1"/>
  <c r="B18" i="42"/>
  <c r="B14" i="42"/>
  <c r="B15" i="42" s="1"/>
  <c r="B14" i="39"/>
  <c r="B15" i="39" s="1"/>
  <c r="B23" i="43"/>
  <c r="F33" i="34"/>
  <c r="F50" i="34" s="1"/>
  <c r="B21" i="38"/>
  <c r="B21" i="40"/>
  <c r="F23" i="33"/>
  <c r="J15" i="34"/>
  <c r="J16" i="34"/>
  <c r="J17" i="34"/>
  <c r="J19" i="34"/>
  <c r="J20" i="34"/>
  <c r="F30" i="34"/>
  <c r="F47" i="34" s="1"/>
  <c r="B18" i="41"/>
  <c r="B21" i="42"/>
  <c r="B10" i="37"/>
  <c r="F22" i="33"/>
  <c r="F24" i="33"/>
  <c r="B10" i="38"/>
  <c r="B19" i="39"/>
  <c r="B24" i="39" s="1"/>
  <c r="B10" i="40"/>
  <c r="B19" i="41"/>
  <c r="B20" i="39"/>
  <c r="B20" i="41"/>
  <c r="B19" i="43"/>
  <c r="B20" i="43"/>
  <c r="F69" i="48" l="1"/>
  <c r="F39" i="48"/>
  <c r="F37" i="48"/>
  <c r="F45" i="48"/>
  <c r="F68" i="45"/>
  <c r="F67" i="45"/>
  <c r="F66" i="45"/>
  <c r="F65" i="45"/>
  <c r="F37" i="45"/>
  <c r="F45" i="45"/>
  <c r="F39" i="45"/>
  <c r="G50" i="45" s="1"/>
  <c r="F69" i="45"/>
  <c r="F39" i="34"/>
  <c r="I17" i="34" s="1"/>
  <c r="F37" i="34"/>
  <c r="B24" i="41"/>
  <c r="B18" i="40"/>
  <c r="B24" i="40" s="1"/>
  <c r="B14" i="40"/>
  <c r="B15" i="40" s="1"/>
  <c r="F66" i="34"/>
  <c r="F64" i="34"/>
  <c r="F69" i="34"/>
  <c r="B24" i="43"/>
  <c r="B24" i="42"/>
  <c r="B18" i="38"/>
  <c r="B24" i="38" s="1"/>
  <c r="B14" i="38"/>
  <c r="B15" i="38" s="1"/>
  <c r="B17" i="37"/>
  <c r="B23" i="37" s="1"/>
  <c r="B14" i="37"/>
  <c r="I19" i="34" l="1"/>
  <c r="H15" i="48"/>
  <c r="I19" i="48"/>
  <c r="G47" i="48"/>
  <c r="G49" i="48"/>
  <c r="I20" i="48"/>
  <c r="I15" i="48"/>
  <c r="G46" i="48"/>
  <c r="I16" i="48"/>
  <c r="I17" i="48"/>
  <c r="G48" i="48"/>
  <c r="I18" i="48"/>
  <c r="G50" i="48"/>
  <c r="G45" i="48"/>
  <c r="F64" i="48"/>
  <c r="G15" i="48"/>
  <c r="G15" i="45"/>
  <c r="G45" i="45"/>
  <c r="F64" i="45"/>
  <c r="I20" i="45"/>
  <c r="H15" i="45"/>
  <c r="I15" i="45"/>
  <c r="I16" i="45"/>
  <c r="I17" i="45"/>
  <c r="I18" i="45"/>
  <c r="I19" i="45"/>
  <c r="G49" i="45"/>
  <c r="G48" i="45"/>
  <c r="G47" i="45"/>
  <c r="G46" i="45"/>
  <c r="G45" i="34"/>
  <c r="I16" i="34"/>
  <c r="I15" i="34"/>
  <c r="G49" i="34"/>
  <c r="H15" i="34"/>
  <c r="G47" i="34"/>
  <c r="G46" i="34"/>
  <c r="I18" i="34"/>
  <c r="G48" i="34"/>
  <c r="I20" i="34"/>
  <c r="G50" i="34"/>
  <c r="G15" i="34"/>
  <c r="G51" i="48" l="1"/>
  <c r="F54" i="48" s="1"/>
  <c r="F58" i="48" s="1"/>
  <c r="G51" i="45"/>
  <c r="F54" i="45" s="1"/>
  <c r="F58" i="45" s="1"/>
  <c r="G51" i="34"/>
  <c r="F54" i="34" s="1"/>
  <c r="F58" i="34" s="1"/>
  <c r="G64" i="34" s="1"/>
  <c r="H64" i="34" s="1"/>
  <c r="G65" i="34" l="1"/>
  <c r="H65" i="34" s="1"/>
  <c r="G69" i="34"/>
  <c r="H69" i="34" s="1"/>
  <c r="G66" i="34"/>
  <c r="H66" i="34" s="1"/>
  <c r="G68" i="34"/>
  <c r="H68" i="34" s="1"/>
  <c r="G67" i="34"/>
  <c r="H67" i="34" s="1"/>
  <c r="G68" i="48"/>
  <c r="H68" i="48" s="1"/>
  <c r="G65" i="48"/>
  <c r="H65" i="48" s="1"/>
  <c r="G69" i="48"/>
  <c r="H69" i="48" s="1"/>
  <c r="G64" i="48"/>
  <c r="H64" i="48" s="1"/>
  <c r="G66" i="48"/>
  <c r="H66" i="48" s="1"/>
  <c r="G67" i="48"/>
  <c r="H67" i="48" s="1"/>
  <c r="G64" i="45"/>
  <c r="H64" i="45" s="1"/>
  <c r="G65" i="45"/>
  <c r="H65" i="45" s="1"/>
  <c r="G66" i="45"/>
  <c r="H66" i="45" s="1"/>
  <c r="G67" i="45"/>
  <c r="H67" i="45" s="1"/>
  <c r="G68" i="45"/>
  <c r="H68" i="45" s="1"/>
  <c r="G69" i="45"/>
  <c r="H69" i="45" s="1"/>
  <c r="B17" i="14"/>
  <c r="B18" i="14"/>
  <c r="F19" i="12" l="1"/>
  <c r="F25" i="12"/>
  <c r="F20" i="12"/>
  <c r="F24" i="12"/>
  <c r="F21" i="12"/>
  <c r="F26" i="12"/>
  <c r="F22" i="12"/>
  <c r="F23" i="12"/>
  <c r="E20" i="32" l="1"/>
  <c r="E33" i="32" s="1"/>
  <c r="E50" i="32" s="1"/>
  <c r="E69" i="32" s="1"/>
  <c r="D20" i="32"/>
  <c r="D33" i="32" s="1"/>
  <c r="D50" i="32" s="1"/>
  <c r="D69" i="32" s="1"/>
  <c r="B20" i="32"/>
  <c r="B33" i="32" s="1"/>
  <c r="B50" i="32" s="1"/>
  <c r="E19" i="32"/>
  <c r="E32" i="32" s="1"/>
  <c r="E49" i="32" s="1"/>
  <c r="E68" i="32" s="1"/>
  <c r="D19" i="32"/>
  <c r="D32" i="32" s="1"/>
  <c r="D49" i="32" s="1"/>
  <c r="D68" i="32" s="1"/>
  <c r="B19" i="32"/>
  <c r="B32" i="32" s="1"/>
  <c r="B49" i="32" s="1"/>
  <c r="B68" i="32" s="1"/>
  <c r="E18" i="32"/>
  <c r="E31" i="32" s="1"/>
  <c r="E48" i="32" s="1"/>
  <c r="E67" i="32" s="1"/>
  <c r="D18" i="32"/>
  <c r="D31" i="32" s="1"/>
  <c r="D48" i="32" s="1"/>
  <c r="D67" i="32" s="1"/>
  <c r="B18" i="32"/>
  <c r="B31" i="32" s="1"/>
  <c r="B48" i="32" s="1"/>
  <c r="B67" i="32" s="1"/>
  <c r="E17" i="32"/>
  <c r="E30" i="32" s="1"/>
  <c r="E47" i="32" s="1"/>
  <c r="E66" i="32" s="1"/>
  <c r="D17" i="32"/>
  <c r="D30" i="32" s="1"/>
  <c r="D47" i="32" s="1"/>
  <c r="D66" i="32" s="1"/>
  <c r="B17" i="32"/>
  <c r="B30" i="32" s="1"/>
  <c r="B47" i="32" s="1"/>
  <c r="B66" i="32" s="1"/>
  <c r="E16" i="32"/>
  <c r="E29" i="32" s="1"/>
  <c r="E46" i="32" s="1"/>
  <c r="E65" i="32" s="1"/>
  <c r="D16" i="32"/>
  <c r="D29" i="32" s="1"/>
  <c r="D46" i="32" s="1"/>
  <c r="D65" i="32" s="1"/>
  <c r="B16" i="32"/>
  <c r="B29" i="32" s="1"/>
  <c r="B46" i="32" s="1"/>
  <c r="B65" i="32" s="1"/>
  <c r="E15" i="32"/>
  <c r="E28" i="32" s="1"/>
  <c r="E45" i="32" s="1"/>
  <c r="E64" i="32" s="1"/>
  <c r="D15" i="32"/>
  <c r="D28" i="32" s="1"/>
  <c r="D45" i="32" s="1"/>
  <c r="D64" i="32" s="1"/>
  <c r="B15" i="32"/>
  <c r="B28" i="32" s="1"/>
  <c r="B45" i="32" s="1"/>
  <c r="B64" i="32" s="1"/>
  <c r="B5" i="32"/>
  <c r="G21" i="31"/>
  <c r="F50" i="32"/>
  <c r="C21" i="31"/>
  <c r="C20" i="32" s="1"/>
  <c r="C33" i="32" s="1"/>
  <c r="C50" i="32" s="1"/>
  <c r="C69" i="32" s="1"/>
  <c r="G20" i="31"/>
  <c r="C20" i="31"/>
  <c r="C19" i="32" s="1"/>
  <c r="C32" i="32" s="1"/>
  <c r="C49" i="32" s="1"/>
  <c r="C68" i="32" s="1"/>
  <c r="G19" i="31"/>
  <c r="C19" i="31"/>
  <c r="C18" i="32" s="1"/>
  <c r="C31" i="32" s="1"/>
  <c r="C48" i="32" s="1"/>
  <c r="C67" i="32" s="1"/>
  <c r="G18" i="31"/>
  <c r="F47" i="32"/>
  <c r="C18" i="31"/>
  <c r="C17" i="32" s="1"/>
  <c r="C30" i="32" s="1"/>
  <c r="C47" i="32" s="1"/>
  <c r="C66" i="32" s="1"/>
  <c r="G17" i="31"/>
  <c r="C17" i="31"/>
  <c r="C16" i="32" s="1"/>
  <c r="C29" i="32" s="1"/>
  <c r="C46" i="32" s="1"/>
  <c r="C65" i="32" s="1"/>
  <c r="G16" i="31"/>
  <c r="C16" i="31"/>
  <c r="C15" i="32" s="1"/>
  <c r="C28" i="32" s="1"/>
  <c r="C45" i="32" s="1"/>
  <c r="C64" i="32" s="1"/>
  <c r="D7" i="31"/>
  <c r="D5" i="32" s="1"/>
  <c r="B3" i="31"/>
  <c r="B2" i="32" s="1"/>
  <c r="B2" i="31"/>
  <c r="F42" i="30"/>
  <c r="E42" i="30"/>
  <c r="F18" i="30" s="1"/>
  <c r="E40" i="30"/>
  <c r="J18" i="32" l="1"/>
  <c r="J15" i="32"/>
  <c r="J19" i="32"/>
  <c r="F49" i="32"/>
  <c r="F68" i="32" s="1"/>
  <c r="J16" i="32"/>
  <c r="F46" i="32"/>
  <c r="F65" i="32" s="1"/>
  <c r="F20" i="30"/>
  <c r="F21" i="30"/>
  <c r="F22" i="30"/>
  <c r="F19" i="30"/>
  <c r="F48" i="32"/>
  <c r="F67" i="32" s="1"/>
  <c r="F23" i="30"/>
  <c r="F24" i="30"/>
  <c r="F25" i="30"/>
  <c r="F69" i="32"/>
  <c r="B69" i="32"/>
  <c r="F66" i="32"/>
  <c r="J17" i="32"/>
  <c r="J20" i="32"/>
  <c r="K15" i="32"/>
  <c r="K16" i="32"/>
  <c r="K17" i="32"/>
  <c r="K18" i="32"/>
  <c r="K19" i="32"/>
  <c r="K20" i="32"/>
  <c r="F45" i="32" l="1"/>
  <c r="F39" i="32"/>
  <c r="F37" i="32"/>
  <c r="G15" i="32" l="1"/>
  <c r="H15" i="32"/>
  <c r="G47" i="32"/>
  <c r="I15" i="32"/>
  <c r="I17" i="32"/>
  <c r="G50" i="32"/>
  <c r="I16" i="32"/>
  <c r="I18" i="32"/>
  <c r="G48" i="32"/>
  <c r="G49" i="32"/>
  <c r="G46" i="32"/>
  <c r="I19" i="32"/>
  <c r="I20" i="32"/>
  <c r="G45" i="32"/>
  <c r="F64" i="32"/>
  <c r="G51" i="32" l="1"/>
  <c r="F54" i="32" s="1"/>
  <c r="F58" i="32" s="1"/>
  <c r="G67" i="32" s="1"/>
  <c r="H67" i="32" s="1"/>
  <c r="G68" i="32" l="1"/>
  <c r="H68" i="32" s="1"/>
  <c r="G66" i="32"/>
  <c r="H66" i="32" s="1"/>
  <c r="G69" i="32"/>
  <c r="H69" i="32" s="1"/>
  <c r="G64" i="32"/>
  <c r="H64" i="32" s="1"/>
  <c r="G65" i="32"/>
  <c r="H65" i="32" s="1"/>
  <c r="F31" i="14" l="1"/>
  <c r="F48" i="14" s="1"/>
  <c r="F67" i="14" s="1"/>
  <c r="F32" i="14"/>
  <c r="F49" i="14" s="1"/>
  <c r="F68" i="14" s="1"/>
  <c r="F33" i="14"/>
  <c r="F50" i="14" s="1"/>
  <c r="F69" i="14" s="1"/>
  <c r="C17" i="13"/>
  <c r="C16" i="14" s="1"/>
  <c r="C29" i="14" s="1"/>
  <c r="C46" i="14" s="1"/>
  <c r="C65" i="14" s="1"/>
  <c r="C18" i="13"/>
  <c r="C17" i="14" s="1"/>
  <c r="C30" i="14" s="1"/>
  <c r="C19" i="13"/>
  <c r="C18" i="14" s="1"/>
  <c r="C31" i="14" s="1"/>
  <c r="C48" i="14" s="1"/>
  <c r="C67" i="14" s="1"/>
  <c r="C20" i="13"/>
  <c r="C19" i="14" s="1"/>
  <c r="C32" i="14" s="1"/>
  <c r="C49" i="14" s="1"/>
  <c r="C68" i="14" s="1"/>
  <c r="C21" i="13"/>
  <c r="C20" i="14" s="1"/>
  <c r="C33" i="14" s="1"/>
  <c r="C50" i="14" s="1"/>
  <c r="C69" i="14" s="1"/>
  <c r="C16" i="13"/>
  <c r="C15" i="14" s="1"/>
  <c r="C28" i="14" s="1"/>
  <c r="C45" i="14" s="1"/>
  <c r="C64" i="14" s="1"/>
  <c r="B3" i="13"/>
  <c r="B2" i="13"/>
  <c r="G21" i="13"/>
  <c r="G17" i="13"/>
  <c r="G18" i="13"/>
  <c r="G19" i="13"/>
  <c r="G20" i="13"/>
  <c r="G16" i="13"/>
  <c r="B16" i="14"/>
  <c r="B29" i="14" s="1"/>
  <c r="B46" i="14" s="1"/>
  <c r="B65" i="14" s="1"/>
  <c r="D16" i="14"/>
  <c r="D29" i="14" s="1"/>
  <c r="D46" i="14" s="1"/>
  <c r="D65" i="14" s="1"/>
  <c r="E16" i="14"/>
  <c r="E29" i="14" s="1"/>
  <c r="E46" i="14" s="1"/>
  <c r="E65" i="14" s="1"/>
  <c r="D17" i="14"/>
  <c r="E17" i="14"/>
  <c r="B31" i="14"/>
  <c r="B48" i="14" s="1"/>
  <c r="B67" i="14" s="1"/>
  <c r="D18" i="14"/>
  <c r="D31" i="14" s="1"/>
  <c r="D48" i="14" s="1"/>
  <c r="D67" i="14" s="1"/>
  <c r="E18" i="14"/>
  <c r="E31" i="14" s="1"/>
  <c r="E48" i="14" s="1"/>
  <c r="E67" i="14" s="1"/>
  <c r="B19" i="14"/>
  <c r="B32" i="14" s="1"/>
  <c r="B49" i="14" s="1"/>
  <c r="B68" i="14" s="1"/>
  <c r="D19" i="14"/>
  <c r="D32" i="14" s="1"/>
  <c r="D49" i="14" s="1"/>
  <c r="D68" i="14" s="1"/>
  <c r="E19" i="14"/>
  <c r="E32" i="14" s="1"/>
  <c r="E49" i="14" s="1"/>
  <c r="E68" i="14" s="1"/>
  <c r="B20" i="14"/>
  <c r="B33" i="14" s="1"/>
  <c r="B50" i="14" s="1"/>
  <c r="D20" i="14"/>
  <c r="D33" i="14" s="1"/>
  <c r="D50" i="14" s="1"/>
  <c r="D69" i="14" s="1"/>
  <c r="E20" i="14"/>
  <c r="E33" i="14" s="1"/>
  <c r="E50" i="14" s="1"/>
  <c r="E69" i="14" s="1"/>
  <c r="D15" i="14"/>
  <c r="D28" i="14" s="1"/>
  <c r="D45" i="14" s="1"/>
  <c r="D64" i="14" s="1"/>
  <c r="E15" i="14"/>
  <c r="E28" i="14" s="1"/>
  <c r="E45" i="14" s="1"/>
  <c r="E64" i="14" s="1"/>
  <c r="B15" i="14"/>
  <c r="B28" i="14" s="1"/>
  <c r="B45" i="14" s="1"/>
  <c r="B64" i="14" s="1"/>
  <c r="B5" i="14"/>
  <c r="D7" i="13"/>
  <c r="D5" i="14" s="1"/>
  <c r="E30" i="14" l="1"/>
  <c r="E47" i="14" s="1"/>
  <c r="E66" i="14" s="1"/>
  <c r="F30" i="14"/>
  <c r="F47" i="14" s="1"/>
  <c r="F66" i="14" s="1"/>
  <c r="D30" i="14"/>
  <c r="D47" i="14" s="1"/>
  <c r="D66" i="14" s="1"/>
  <c r="B30" i="14"/>
  <c r="B47" i="14" s="1"/>
  <c r="B66" i="14" s="1"/>
  <c r="C47" i="14"/>
  <c r="C66" i="14" s="1"/>
  <c r="B2" i="14"/>
  <c r="F28" i="14"/>
  <c r="J15" i="14"/>
  <c r="K15" i="14"/>
  <c r="J16" i="14"/>
  <c r="B69" i="14"/>
  <c r="F29" i="14"/>
  <c r="K16" i="14"/>
  <c r="J19" i="14"/>
  <c r="K19" i="14"/>
  <c r="J20" i="14"/>
  <c r="K18" i="14"/>
  <c r="J17" i="14"/>
  <c r="K17" i="14"/>
  <c r="K20" i="14"/>
  <c r="J18" i="14"/>
  <c r="F45" i="14" l="1"/>
  <c r="F64" i="14" s="1"/>
  <c r="F39" i="14"/>
  <c r="F46" i="14"/>
  <c r="F65" i="14" s="1"/>
  <c r="F37" i="14"/>
  <c r="G15" i="14" l="1"/>
  <c r="G46" i="14"/>
  <c r="G49" i="14"/>
  <c r="G45" i="14"/>
  <c r="G48" i="14"/>
  <c r="G50" i="14"/>
  <c r="G47" i="14"/>
  <c r="I16" i="14"/>
  <c r="I17" i="14"/>
  <c r="I20" i="14"/>
  <c r="I18" i="14"/>
  <c r="I15" i="14"/>
  <c r="I19" i="14"/>
  <c r="H15" i="14"/>
  <c r="G51" i="14" l="1"/>
  <c r="F54" i="14" s="1"/>
  <c r="F58" i="14" s="1"/>
  <c r="G66" i="14" l="1"/>
  <c r="H66" i="14" s="1"/>
  <c r="G68" i="14"/>
  <c r="H68" i="14" s="1"/>
  <c r="G67" i="14"/>
  <c r="H67" i="14" s="1"/>
  <c r="G69" i="14"/>
  <c r="H69" i="14" s="1"/>
  <c r="G65" i="14"/>
  <c r="H65" i="14" s="1"/>
  <c r="G64" i="14"/>
  <c r="H64" i="14" s="1"/>
  <c r="E41" i="12" l="1"/>
</calcChain>
</file>

<file path=xl/sharedStrings.xml><?xml version="1.0" encoding="utf-8"?>
<sst xmlns="http://schemas.openxmlformats.org/spreadsheetml/2006/main" count="835" uniqueCount="147">
  <si>
    <t>EVALUACIÓN PROPUESTA ECONÓMICA</t>
  </si>
  <si>
    <t>SDMUJER-SAMC-001-2026</t>
  </si>
  <si>
    <r>
      <rPr>
        <b/>
        <i/>
        <sz val="12"/>
        <rFont val="Arial"/>
        <family val="2"/>
      </rPr>
      <t>Objeto: LOTE 1 MODALIDAD INTEGRAL:</t>
    </r>
    <r>
      <rPr>
        <i/>
        <sz val="12"/>
        <rFont val="Arial"/>
        <family val="2"/>
      </rPr>
      <t>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t>
    </r>
  </si>
  <si>
    <t>SECOP II</t>
  </si>
  <si>
    <t>PROPONENTES PRESENTADOS</t>
  </si>
  <si>
    <t>Proponente</t>
  </si>
  <si>
    <t>Nombre</t>
  </si>
  <si>
    <t>Valor Propuesta</t>
  </si>
  <si>
    <t>Proponente 1</t>
  </si>
  <si>
    <t>CORPORACIÓN ORIENTAR PARA CRECER (CASA 1)</t>
  </si>
  <si>
    <t>CORPORACIÓN ORIENTAR PARA CRECER (CASA 2)</t>
  </si>
  <si>
    <t>Proponente 2</t>
  </si>
  <si>
    <t>FEZ INVERSIONES SAS</t>
  </si>
  <si>
    <t>Proponente 3</t>
  </si>
  <si>
    <t>UNIÓN TEMPORAL HOGARES DE ESPERANZA</t>
  </si>
  <si>
    <t>Proponente 4</t>
  </si>
  <si>
    <t>ASOCIACION CRISTIANA NUEVO NACIMIENTO -ACNN</t>
  </si>
  <si>
    <t>Proponente 5</t>
  </si>
  <si>
    <t>UNIÓN TEMPORAL REFUGIO DE VIDA</t>
  </si>
  <si>
    <t>Proponente 6</t>
  </si>
  <si>
    <t>SOCIEDAD INVERSIONES PF SAS</t>
  </si>
  <si>
    <t>Proponente 7</t>
  </si>
  <si>
    <t>CORPORACION SOCIAL PARA EL DESARROLLO DE LOS GRUPOS ETNICOS Y CULTURALES MULTIETNIAS</t>
  </si>
  <si>
    <t>CASA</t>
  </si>
  <si>
    <t>Propuesta Habilitada</t>
  </si>
  <si>
    <t>Valor Propuesta Primer Mes</t>
  </si>
  <si>
    <t>Puntaje Factor Económico</t>
  </si>
  <si>
    <t>CASA 1</t>
  </si>
  <si>
    <t>HABILITADA</t>
  </si>
  <si>
    <t>CASA 2</t>
  </si>
  <si>
    <t>NO HABILITADA</t>
  </si>
  <si>
    <t xml:space="preserve">PLIEGO </t>
  </si>
  <si>
    <t>Asignación de método de evaluación según TRM</t>
  </si>
  <si>
    <t xml:space="preserve">Rango (inclusive) </t>
  </si>
  <si>
    <t xml:space="preserve">Número Método </t>
  </si>
  <si>
    <t>Método</t>
  </si>
  <si>
    <t>0.00 a 0.33</t>
  </si>
  <si>
    <t>Media aritmética</t>
  </si>
  <si>
    <t>0.34 a 0.66</t>
  </si>
  <si>
    <t>Media aritmética alta</t>
  </si>
  <si>
    <t>0.67 a 0.99</t>
  </si>
  <si>
    <t>Media geométrica con presupuesto oficial</t>
  </si>
  <si>
    <t>TRM</t>
  </si>
  <si>
    <t>Presupuesto Oficial mensual por casa MES 1</t>
  </si>
  <si>
    <t>DATOS PRESUPUESTALES DEL CONTRATO:</t>
  </si>
  <si>
    <t>VERIFICACIÓN COTIZACIONES QUE PUEDEN SER ARTIFICIALMENTE BAJAS</t>
  </si>
  <si>
    <t>INSUMOS PARA EL ANÁLISIS DE INFORMACIÓN</t>
  </si>
  <si>
    <t>N°</t>
  </si>
  <si>
    <t>PROPONENTE</t>
  </si>
  <si>
    <t>FECHA</t>
  </si>
  <si>
    <t>HORA</t>
  </si>
  <si>
    <t>VALOR PROPUESTA ECONÓMICA</t>
  </si>
  <si>
    <t>DIFERENCIA ENTRE EL COSTO ESTIMADO DEL CONTRATO Y LA MEDIANA DEL VALOR DE LAS OFERTAS.</t>
  </si>
  <si>
    <t>DIFERENCIA ENTRE EL COSTO ESTIMADO DEL CONTRATO Y EL PROMEDIO DEL VALOR DE LAS OFERTAS.</t>
  </si>
  <si>
    <t>DIFERENCIA ENTRE EL VALOR DE LA OFERTA QUE PUEDE SER ARTIFICIALMENTE BAJA Y EL PROMEDIO DEL VALOR DE LAS OFERTAS</t>
  </si>
  <si>
    <t>DIFERENCIA ENTRE EL VALOR DE LA OFERTA Y EL COSTO ESTIMADO DEL CONTRATO</t>
  </si>
  <si>
    <t>DIFERENCIA ENTRE EL VALOR DE LA OFERTA Y EL COSTO ESTIMADO DEL CONTRATO (PORCENTAJE)</t>
  </si>
  <si>
    <t>COMPROBACIÓN RELATIVA</t>
  </si>
  <si>
    <t>1. PASO. Se tomaron las propuestas que no sobrepasaron el costo estimado:</t>
  </si>
  <si>
    <t>2. PASO. Se calcula la mediana y el promedio con los datos relacionados en el paso 1:</t>
  </si>
  <si>
    <t>CÁLCULO DE LA MEDIANA</t>
  </si>
  <si>
    <t>PROMEDIO</t>
  </si>
  <si>
    <t>3. PASO. Se calcula la desviación estandar del conjunto con la siguiente fórmula:</t>
  </si>
  <si>
    <t>S</t>
  </si>
  <si>
    <t>Número de ofertas (n)</t>
  </si>
  <si>
    <t>DESVIACIÓN ESTÁNDAR DEL CONJUNTO</t>
  </si>
  <si>
    <t>4. PASO. Se determina el valor mínimo aceptable para la entidad con la siguiente fórmula: Mediana - desviación estándar</t>
  </si>
  <si>
    <t>VALOR MÍNIMO ACEPTABLE</t>
  </si>
  <si>
    <t>5. PASO. Se determinan las propuestas que pueden ser artificialmente bajas</t>
  </si>
  <si>
    <t>DIFERENCIA</t>
  </si>
  <si>
    <t>OBSERVACIÓN</t>
  </si>
  <si>
    <t>Propuesta incluida dentro de la minima aceptable</t>
  </si>
  <si>
    <t>Propuesta artificialmente baja</t>
  </si>
  <si>
    <t>VALOR PRESUPUESTO MENSUAL</t>
  </si>
  <si>
    <t>VERIFICACIÓN CONDICIONES DE LAS PROPUESTAS ECONÓMICAS MODALIDAD INTEGRAL</t>
  </si>
  <si>
    <t>Durante el proceso de contratación se recibieron 8 ofertas por parte de las siguientes empresas que se detallan a continuación:</t>
  </si>
  <si>
    <t xml:space="preserve">OBSERVACIONES </t>
  </si>
  <si>
    <t>7:28AM</t>
  </si>
  <si>
    <t>3:22PM</t>
  </si>
  <si>
    <t>6:11PM</t>
  </si>
  <si>
    <t>6:41PM</t>
  </si>
  <si>
    <t>9:07PM</t>
  </si>
  <si>
    <t>Valor Propuesta Segudo Mes en Adelante</t>
  </si>
  <si>
    <t>Presupuesto Oficial mensual por casa</t>
  </si>
  <si>
    <t>Valor Propuesta Total</t>
  </si>
  <si>
    <t>Presupuesto Oficial mensual por casa Total</t>
  </si>
  <si>
    <t>CASA 1:</t>
  </si>
  <si>
    <t>PARA CONTRATO ACTUAL INTEGRAL 2026:</t>
  </si>
  <si>
    <t>DETALLE</t>
  </si>
  <si>
    <t>AÑO 2026</t>
  </si>
  <si>
    <t>PRIMER MES (NO INCLUYE ELEMENTOS DE ÚNICO RECONOCIMIENTO)</t>
  </si>
  <si>
    <t>VALOR ÚNICO RECONOCIMIENTO</t>
  </si>
  <si>
    <t>VALOR TOTAL FUNCIONAMIENTO ESTIMADO PARA UNA CASA REFUGIO MODALIDAD INTEGRAL (PRIMER MES TOTAL)</t>
  </si>
  <si>
    <t>VALOR POR MES SEGUNDO MES EN ADELANTE</t>
  </si>
  <si>
    <t>VALOR POR DÍA</t>
  </si>
  <si>
    <t>DÍAS JUNIO 2026 EMPEZANDO EL 5 DE JUNIO 2026</t>
  </si>
  <si>
    <t>VALOR JUNIO 2026</t>
  </si>
  <si>
    <t>MESES</t>
  </si>
  <si>
    <t>DÍAS</t>
  </si>
  <si>
    <t>CANTIDAD CASAS</t>
  </si>
  <si>
    <t>VALOR POR 1 CASA</t>
  </si>
  <si>
    <t>Meses - días</t>
  </si>
  <si>
    <t xml:space="preserve">valor </t>
  </si>
  <si>
    <t xml:space="preserve">junio 26 días </t>
  </si>
  <si>
    <t>julio 30 días</t>
  </si>
  <si>
    <t>agosto 30 días</t>
  </si>
  <si>
    <t xml:space="preserve">septiembre 30 días </t>
  </si>
  <si>
    <t xml:space="preserve">octubre 30 días </t>
  </si>
  <si>
    <t>noviembre 4 días</t>
  </si>
  <si>
    <t xml:space="preserve">TOTAL CASA </t>
  </si>
  <si>
    <t>CASA 2:</t>
  </si>
  <si>
    <t xml:space="preserve">VALOR POR 4 CASAS CONTRATO </t>
  </si>
  <si>
    <t>VALOR PRESUPUESTO TALENTO HUMANO</t>
  </si>
  <si>
    <t>VALOR PRESUPUESTO ASISTENCIA ALIMENTARIA</t>
  </si>
  <si>
    <t xml:space="preserve">UNIÓN TEMPORAL HOGARES DE ESPERANZA </t>
  </si>
  <si>
    <t>CUADRO CONSOLIDADO – ELEMENTOS COMUNES CON DIFERENCIA DE VALOR UNITARIO OFERTADO</t>
  </si>
  <si>
    <t>ELEMENTO</t>
  </si>
  <si>
    <t>ESPECIFICACIONES (según anexo económico)</t>
  </si>
  <si>
    <t>VALOR UNITARIO ENTIDAD</t>
  </si>
  <si>
    <t>ASEO INSTITUCIONAL (Ofertado)</t>
  </si>
  <si>
    <t>ELEMENTOS DE HIGIENE Y ASEO PERSONAL DEMANDA (Ofertado)</t>
  </si>
  <si>
    <t>ORIENTACIÓN EN SALUD (Ofertado)</t>
  </si>
  <si>
    <t>ELEMENTOS PAPELERÍA PEDAGOGÍA (Ofertado)</t>
  </si>
  <si>
    <t>TAPABOCAS PAQUETE X 50 - AZUL</t>
  </si>
  <si>
    <t xml:space="preserve">Elaborado en tela no tejida 
Desechable. 
Con tiras elásticas
</t>
  </si>
  <si>
    <t>—</t>
  </si>
  <si>
    <t>Presenta diferencia frente a rubros equivalentes.</t>
  </si>
  <si>
    <t>JABÓN EN BARRA AZUL</t>
  </si>
  <si>
    <t>Jabón en barra para todo tipo de uso unidad x 300gr</t>
  </si>
  <si>
    <t>Diferencia en valor unitario entre rubros.</t>
  </si>
  <si>
    <t>PAPEL HIGIÉNICO BLANCO – TRIPLE HOJA X12 ROLLOS ENTRE 30 Y 36 METROS</t>
  </si>
  <si>
    <t>Rollo con longitud mínima entre 30 y 36 metros
Triple hoja blanca
Sin olor ni fragancia</t>
  </si>
  <si>
    <t>Mismo elemento con valores distintos.</t>
  </si>
  <si>
    <t>COFIAS PAQUETE X 100</t>
  </si>
  <si>
    <t>Gorro cofia desechable, Elaborado en tela no tejida
Borde elástico
Talla única
Paquete x 100</t>
  </si>
  <si>
    <t>Diferencia entre rubros equivalentes.</t>
  </si>
  <si>
    <t>POLAINAS ANTIDESLIZANTES PAQUETE X 50 PARES</t>
  </si>
  <si>
    <t>Material: tela quirúrgica. 
Elástico resistente.
Sistema antideslizante
Desechable.</t>
  </si>
  <si>
    <t>Valor unitario no uniforme.</t>
  </si>
  <si>
    <t>PAÑITOS HÚMEDOS PAQUETE X 100</t>
  </si>
  <si>
    <t xml:space="preserve">Paquete 100 unidades </t>
  </si>
  <si>
    <t>Diferencia frente al mismo bien.</t>
  </si>
  <si>
    <t>TOALLAS DE PAPEL EN Z</t>
  </si>
  <si>
    <t>Toallas de papel dobladas en Z x 150 unidades.
Doble hoja.</t>
  </si>
  <si>
    <t>Diferencia en valor ofertado.</t>
  </si>
  <si>
    <t>Diferencia en valor unitario.</t>
  </si>
  <si>
    <t>Paquete 100 unidades (para ser entregado por sistema familiar cuando se requiera) para higiene de bebes.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</si>
</sst>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&quot;$&quot;\ * #,##0.00_-;\-&quot;$&quot;\ * #,##0.00_-;_-&quot;$&quot;\ * &quot;-&quot;??_-;_-@_-"/>
    <numFmt numFmtId="165" formatCode="_-&quot;$&quot;* #,##0_-;\-&quot;$&quot;* #,##0_-;_-&quot;$&quot;* &quot;-&quot;_-;_-@_-"/>
    <numFmt numFmtId="166" formatCode="_-&quot;$&quot;* #,##0.00_-;\-&quot;$&quot;* #,##0.00_-;_-&quot;$&quot;* &quot;-&quot;_-;_-@_-"/>
    <numFmt numFmtId="167" formatCode="_-&quot;$&quot;\ * #,##0_-;\-&quot;$&quot;\ * #,##0_-;_-&quot;$&quot;\ * &quot;-&quot;??_-;_-@_-"/>
  </numFmts>
  <fonts count="25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4" tint="-0.499984740745262"/>
      <name val="Calibri"/>
      <family val="2"/>
      <scheme val="minor"/>
    </font>
    <font>
      <sz val="12"/>
      <color theme="0" tint="-0.14999847407452621"/>
      <name val="Arial"/>
      <family val="2"/>
    </font>
    <font>
      <sz val="11"/>
      <name val="Arial"/>
      <family val="1"/>
    </font>
    <font>
      <b/>
      <sz val="14"/>
      <name val="Arial"/>
      <family val="2"/>
    </font>
    <font>
      <b/>
      <sz val="11"/>
      <name val="Symbol"/>
      <family val="1"/>
      <charset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name val="Arial"/>
      <family val="2"/>
    </font>
    <font>
      <b/>
      <sz val="12"/>
      <color theme="1"/>
      <name val="Arial"/>
      <family val="2"/>
    </font>
    <font>
      <u val="singleAccounting"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B0C7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4" fontId="4" fillId="0" borderId="0"/>
    <xf numFmtId="9" fontId="1" fillId="0" borderId="0" applyFont="0" applyFill="0" applyBorder="0" applyAlignment="0" applyProtection="0"/>
  </cellStyleXfs>
  <cellXfs count="264">
    <xf numFmtId="0" fontId="0" fillId="0" borderId="0" xfId="0"/>
    <xf numFmtId="0" fontId="6" fillId="2" borderId="0" xfId="0" applyFont="1" applyFill="1"/>
    <xf numFmtId="0" fontId="6" fillId="2" borderId="0" xfId="0" applyFont="1" applyFill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9" fillId="4" borderId="0" xfId="0" applyFont="1" applyFill="1"/>
    <xf numFmtId="166" fontId="9" fillId="4" borderId="0" xfId="1" applyNumberFormat="1" applyFont="1" applyFill="1"/>
    <xf numFmtId="0" fontId="9" fillId="3" borderId="0" xfId="0" applyFont="1" applyFill="1" applyAlignment="1">
      <alignment horizontal="center" vertical="center" wrapText="1"/>
    </xf>
    <xf numFmtId="165" fontId="9" fillId="4" borderId="0" xfId="1" applyFont="1" applyFill="1" applyBorder="1"/>
    <xf numFmtId="0" fontId="9" fillId="5" borderId="0" xfId="0" applyFont="1" applyFill="1" applyAlignment="1">
      <alignment horizontal="center" vertical="center" wrapText="1"/>
    </xf>
    <xf numFmtId="165" fontId="6" fillId="2" borderId="0" xfId="0" applyNumberFormat="1" applyFont="1" applyFill="1"/>
    <xf numFmtId="0" fontId="6" fillId="2" borderId="0" xfId="0" applyFont="1" applyFill="1" applyAlignment="1">
      <alignment horizontal="left" vertical="center" wrapText="1"/>
    </xf>
    <xf numFmtId="165" fontId="9" fillId="6" borderId="0" xfId="0" applyNumberFormat="1" applyFont="1" applyFill="1"/>
    <xf numFmtId="41" fontId="12" fillId="3" borderId="0" xfId="2" applyFont="1" applyFill="1"/>
    <xf numFmtId="0" fontId="6" fillId="2" borderId="1" xfId="0" applyFont="1" applyFill="1" applyBorder="1" applyAlignment="1">
      <alignment horizontal="left" vertical="center" wrapText="1"/>
    </xf>
    <xf numFmtId="10" fontId="6" fillId="2" borderId="0" xfId="4" applyNumberFormat="1" applyFont="1" applyFill="1"/>
    <xf numFmtId="2" fontId="6" fillId="2" borderId="0" xfId="0" applyNumberFormat="1" applyFont="1" applyFill="1"/>
    <xf numFmtId="10" fontId="13" fillId="2" borderId="0" xfId="4" applyNumberFormat="1" applyFont="1" applyFill="1"/>
    <xf numFmtId="2" fontId="13" fillId="2" borderId="0" xfId="0" applyNumberFormat="1" applyFont="1" applyFill="1"/>
    <xf numFmtId="0" fontId="13" fillId="2" borderId="0" xfId="0" applyFont="1" applyFill="1"/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165" fontId="6" fillId="0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5" fillId="0" borderId="0" xfId="5" applyFont="1" applyAlignment="1">
      <alignment horizontal="center" wrapText="1"/>
    </xf>
    <xf numFmtId="0" fontId="14" fillId="0" borderId="0" xfId="5"/>
    <xf numFmtId="0" fontId="10" fillId="0" borderId="0" xfId="5" applyFont="1"/>
    <xf numFmtId="0" fontId="10" fillId="0" borderId="8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 wrapText="1"/>
    </xf>
    <xf numFmtId="0" fontId="15" fillId="2" borderId="0" xfId="5" applyFont="1" applyFill="1" applyAlignment="1">
      <alignment horizontal="center" wrapText="1"/>
    </xf>
    <xf numFmtId="0" fontId="14" fillId="2" borderId="0" xfId="5" applyFill="1"/>
    <xf numFmtId="164" fontId="14" fillId="2" borderId="0" xfId="5" applyNumberFormat="1" applyFill="1"/>
    <xf numFmtId="0" fontId="14" fillId="2" borderId="1" xfId="5" applyFill="1" applyBorder="1" applyAlignment="1">
      <alignment horizontal="center"/>
    </xf>
    <xf numFmtId="0" fontId="14" fillId="2" borderId="1" xfId="5" applyFill="1" applyBorder="1" applyAlignment="1">
      <alignment horizontal="left"/>
    </xf>
    <xf numFmtId="164" fontId="14" fillId="2" borderId="1" xfId="5" applyNumberFormat="1" applyFill="1" applyBorder="1"/>
    <xf numFmtId="164" fontId="14" fillId="2" borderId="1" xfId="5" applyNumberFormat="1" applyFill="1" applyBorder="1" applyAlignment="1">
      <alignment horizontal="center" vertical="center"/>
    </xf>
    <xf numFmtId="0" fontId="14" fillId="2" borderId="0" xfId="5" applyFill="1" applyAlignment="1">
      <alignment horizontal="center"/>
    </xf>
    <xf numFmtId="0" fontId="14" fillId="2" borderId="18" xfId="5" applyFill="1" applyBorder="1" applyAlignment="1">
      <alignment horizontal="left"/>
    </xf>
    <xf numFmtId="14" fontId="14" fillId="2" borderId="0" xfId="5" applyNumberFormat="1" applyFill="1" applyAlignment="1">
      <alignment horizontal="center"/>
    </xf>
    <xf numFmtId="164" fontId="0" fillId="2" borderId="0" xfId="6" applyFont="1" applyFill="1" applyBorder="1" applyAlignment="1">
      <alignment horizontal="center"/>
    </xf>
    <xf numFmtId="9" fontId="0" fillId="2" borderId="0" xfId="7" applyFont="1" applyFill="1"/>
    <xf numFmtId="0" fontId="14" fillId="2" borderId="0" xfId="5" applyFill="1" applyAlignment="1">
      <alignment horizontal="left"/>
    </xf>
    <xf numFmtId="0" fontId="10" fillId="2" borderId="0" xfId="5" applyFont="1" applyFill="1" applyAlignment="1">
      <alignment horizontal="left"/>
    </xf>
    <xf numFmtId="164" fontId="10" fillId="2" borderId="0" xfId="5" applyNumberFormat="1" applyFont="1" applyFill="1"/>
    <xf numFmtId="164" fontId="16" fillId="2" borderId="0" xfId="5" applyNumberFormat="1" applyFont="1" applyFill="1" applyAlignment="1">
      <alignment horizontal="right"/>
    </xf>
    <xf numFmtId="9" fontId="14" fillId="2" borderId="0" xfId="5" applyNumberFormat="1" applyFill="1"/>
    <xf numFmtId="164" fontId="0" fillId="2" borderId="0" xfId="6" applyFont="1" applyFill="1"/>
    <xf numFmtId="0" fontId="10" fillId="2" borderId="19" xfId="5" applyFont="1" applyFill="1" applyBorder="1" applyAlignment="1">
      <alignment horizontal="center" vertical="center"/>
    </xf>
    <xf numFmtId="0" fontId="10" fillId="2" borderId="20" xfId="5" applyFont="1" applyFill="1" applyBorder="1" applyAlignment="1">
      <alignment horizontal="center" vertical="center"/>
    </xf>
    <xf numFmtId="164" fontId="14" fillId="2" borderId="15" xfId="5" applyNumberFormat="1" applyFill="1" applyBorder="1"/>
    <xf numFmtId="14" fontId="14" fillId="0" borderId="1" xfId="5" applyNumberFormat="1" applyBorder="1" applyAlignment="1">
      <alignment horizontal="center"/>
    </xf>
    <xf numFmtId="0" fontId="10" fillId="0" borderId="19" xfId="5" applyFont="1" applyBorder="1" applyAlignment="1">
      <alignment horizontal="center" vertical="center"/>
    </xf>
    <xf numFmtId="0" fontId="10" fillId="0" borderId="20" xfId="5" applyFont="1" applyBorder="1" applyAlignment="1">
      <alignment horizontal="center" vertical="center"/>
    </xf>
    <xf numFmtId="0" fontId="10" fillId="0" borderId="21" xfId="5" applyFont="1" applyBorder="1" applyAlignment="1">
      <alignment horizontal="center" vertical="center" wrapText="1"/>
    </xf>
    <xf numFmtId="0" fontId="10" fillId="0" borderId="20" xfId="5" applyFont="1" applyBorder="1" applyAlignment="1">
      <alignment horizontal="center" vertical="center" wrapText="1"/>
    </xf>
    <xf numFmtId="0" fontId="10" fillId="2" borderId="20" xfId="5" applyFont="1" applyFill="1" applyBorder="1" applyAlignment="1">
      <alignment horizontal="center" vertical="center" wrapText="1"/>
    </xf>
    <xf numFmtId="0" fontId="10" fillId="2" borderId="21" xfId="5" applyFont="1" applyFill="1" applyBorder="1" applyAlignment="1">
      <alignment horizontal="center" vertical="center" wrapText="1"/>
    </xf>
    <xf numFmtId="0" fontId="14" fillId="2" borderId="12" xfId="5" applyFill="1" applyBorder="1" applyAlignment="1">
      <alignment horizontal="center"/>
    </xf>
    <xf numFmtId="10" fontId="0" fillId="2" borderId="15" xfId="7" applyNumberFormat="1" applyFont="1" applyFill="1" applyBorder="1" applyAlignment="1">
      <alignment horizontal="center" vertical="center"/>
    </xf>
    <xf numFmtId="10" fontId="0" fillId="2" borderId="14" xfId="7" applyNumberFormat="1" applyFont="1" applyFill="1" applyBorder="1" applyAlignment="1">
      <alignment horizontal="center" vertical="center"/>
    </xf>
    <xf numFmtId="164" fontId="14" fillId="2" borderId="15" xfId="3" applyFont="1" applyFill="1" applyBorder="1" applyAlignment="1">
      <alignment horizontal="center"/>
    </xf>
    <xf numFmtId="0" fontId="14" fillId="2" borderId="21" xfId="5" applyFill="1" applyBorder="1"/>
    <xf numFmtId="164" fontId="10" fillId="2" borderId="22" xfId="5" applyNumberFormat="1" applyFont="1" applyFill="1" applyBorder="1"/>
    <xf numFmtId="0" fontId="14" fillId="2" borderId="15" xfId="5" applyFill="1" applyBorder="1" applyAlignment="1">
      <alignment horizontal="center" vertical="center"/>
    </xf>
    <xf numFmtId="0" fontId="14" fillId="2" borderId="14" xfId="5" applyFill="1" applyBorder="1" applyAlignment="1">
      <alignment horizontal="center" vertical="center"/>
    </xf>
    <xf numFmtId="0" fontId="14" fillId="2" borderId="11" xfId="5" applyFill="1" applyBorder="1" applyAlignment="1">
      <alignment horizontal="center" vertical="center"/>
    </xf>
    <xf numFmtId="0" fontId="10" fillId="2" borderId="7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10" fillId="2" borderId="9" xfId="5" applyFont="1" applyFill="1" applyBorder="1" applyAlignment="1">
      <alignment horizontal="center" vertical="center"/>
    </xf>
    <xf numFmtId="0" fontId="14" fillId="2" borderId="1" xfId="5" applyFill="1" applyBorder="1" applyAlignment="1">
      <alignment horizontal="left" vertical="center" wrapText="1"/>
    </xf>
    <xf numFmtId="14" fontId="14" fillId="0" borderId="1" xfId="5" applyNumberFormat="1" applyBorder="1" applyAlignment="1">
      <alignment horizontal="center" vertical="center"/>
    </xf>
    <xf numFmtId="0" fontId="14" fillId="2" borderId="1" xfId="5" applyFill="1" applyBorder="1" applyAlignment="1">
      <alignment horizontal="center" vertical="center"/>
    </xf>
    <xf numFmtId="164" fontId="14" fillId="2" borderId="1" xfId="3" applyFont="1" applyFill="1" applyBorder="1" applyAlignment="1">
      <alignment horizontal="center" vertical="center"/>
    </xf>
    <xf numFmtId="164" fontId="14" fillId="2" borderId="1" xfId="5" applyNumberFormat="1" applyFill="1" applyBorder="1" applyAlignment="1">
      <alignment vertical="center"/>
    </xf>
    <xf numFmtId="0" fontId="10" fillId="2" borderId="8" xfId="5" applyFont="1" applyFill="1" applyBorder="1" applyAlignment="1">
      <alignment horizontal="center" vertical="center" wrapText="1"/>
    </xf>
    <xf numFmtId="164" fontId="14" fillId="2" borderId="15" xfId="3" applyFont="1" applyFill="1" applyBorder="1" applyAlignment="1">
      <alignment horizontal="center" vertical="center"/>
    </xf>
    <xf numFmtId="0" fontId="14" fillId="2" borderId="12" xfId="5" applyFill="1" applyBorder="1" applyAlignment="1">
      <alignment horizontal="center" vertical="center"/>
    </xf>
    <xf numFmtId="0" fontId="14" fillId="2" borderId="12" xfId="5" applyFill="1" applyBorder="1" applyAlignment="1">
      <alignment horizontal="center" vertical="center" wrapText="1"/>
    </xf>
    <xf numFmtId="164" fontId="14" fillId="2" borderId="13" xfId="5" applyNumberFormat="1" applyFill="1" applyBorder="1" applyAlignment="1">
      <alignment horizontal="center" vertical="center"/>
    </xf>
    <xf numFmtId="0" fontId="14" fillId="2" borderId="1" xfId="5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0" fontId="14" fillId="0" borderId="1" xfId="5" applyBorder="1" applyAlignment="1">
      <alignment horizontal="left" vertical="center"/>
    </xf>
    <xf numFmtId="0" fontId="14" fillId="0" borderId="12" xfId="5" applyBorder="1" applyAlignment="1">
      <alignment horizontal="center" vertical="center"/>
    </xf>
    <xf numFmtId="0" fontId="14" fillId="0" borderId="16" xfId="5" applyBorder="1" applyAlignment="1">
      <alignment horizontal="center" vertical="center"/>
    </xf>
    <xf numFmtId="0" fontId="14" fillId="0" borderId="13" xfId="5" applyBorder="1" applyAlignment="1">
      <alignment horizontal="left" vertical="center" wrapText="1"/>
    </xf>
    <xf numFmtId="0" fontId="10" fillId="0" borderId="28" xfId="5" applyFont="1" applyBorder="1" applyAlignment="1">
      <alignment horizontal="center" vertical="center" wrapText="1"/>
    </xf>
    <xf numFmtId="0" fontId="10" fillId="0" borderId="29" xfId="5" applyFont="1" applyBorder="1" applyAlignment="1">
      <alignment horizontal="left" vertical="center"/>
    </xf>
    <xf numFmtId="0" fontId="10" fillId="0" borderId="30" xfId="5" applyFont="1" applyBorder="1" applyAlignment="1">
      <alignment horizontal="left" vertical="center"/>
    </xf>
    <xf numFmtId="14" fontId="14" fillId="0" borderId="13" xfId="5" applyNumberFormat="1" applyBorder="1" applyAlignment="1">
      <alignment horizontal="center" vertical="center"/>
    </xf>
    <xf numFmtId="0" fontId="14" fillId="2" borderId="1" xfId="5" applyFill="1" applyBorder="1" applyAlignment="1">
      <alignment horizontal="left" vertical="center"/>
    </xf>
    <xf numFmtId="0" fontId="14" fillId="2" borderId="16" xfId="5" applyFill="1" applyBorder="1" applyAlignment="1">
      <alignment horizontal="center" vertical="center"/>
    </xf>
    <xf numFmtId="0" fontId="14" fillId="2" borderId="13" xfId="5" applyFill="1" applyBorder="1" applyAlignment="1">
      <alignment horizontal="center" vertical="center"/>
    </xf>
    <xf numFmtId="164" fontId="14" fillId="2" borderId="13" xfId="3" applyFont="1" applyFill="1" applyBorder="1" applyAlignment="1">
      <alignment horizontal="center" vertical="center"/>
    </xf>
    <xf numFmtId="0" fontId="14" fillId="2" borderId="13" xfId="5" applyFill="1" applyBorder="1" applyAlignment="1">
      <alignment horizontal="left" vertical="center" wrapText="1"/>
    </xf>
    <xf numFmtId="164" fontId="14" fillId="2" borderId="14" xfId="3" applyFont="1" applyFill="1" applyBorder="1" applyAlignment="1">
      <alignment horizontal="center" vertical="center"/>
    </xf>
    <xf numFmtId="164" fontId="14" fillId="2" borderId="14" xfId="5" applyNumberFormat="1" applyFill="1" applyBorder="1" applyAlignment="1">
      <alignment vertical="center"/>
    </xf>
    <xf numFmtId="14" fontId="14" fillId="0" borderId="1" xfId="5" applyNumberFormat="1" applyBorder="1" applyAlignment="1">
      <alignment horizontal="center" vertical="center" wrapText="1"/>
    </xf>
    <xf numFmtId="164" fontId="14" fillId="2" borderId="1" xfId="3" applyFont="1" applyFill="1" applyBorder="1" applyAlignment="1">
      <alignment horizontal="center" vertical="center" wrapText="1"/>
    </xf>
    <xf numFmtId="164" fontId="14" fillId="2" borderId="1" xfId="5" applyNumberFormat="1" applyFill="1" applyBorder="1" applyAlignment="1">
      <alignment vertical="center" wrapText="1"/>
    </xf>
    <xf numFmtId="0" fontId="14" fillId="2" borderId="10" xfId="5" applyFill="1" applyBorder="1" applyAlignment="1">
      <alignment horizontal="center" vertical="center"/>
    </xf>
    <xf numFmtId="0" fontId="14" fillId="2" borderId="6" xfId="5" applyFill="1" applyBorder="1" applyAlignment="1">
      <alignment horizontal="left" vertical="center"/>
    </xf>
    <xf numFmtId="14" fontId="14" fillId="0" borderId="6" xfId="5" applyNumberFormat="1" applyBorder="1" applyAlignment="1">
      <alignment horizontal="center" vertical="center"/>
    </xf>
    <xf numFmtId="0" fontId="14" fillId="2" borderId="6" xfId="5" applyFill="1" applyBorder="1" applyAlignment="1">
      <alignment horizontal="center" vertical="center"/>
    </xf>
    <xf numFmtId="164" fontId="14" fillId="2" borderId="6" xfId="3" applyFont="1" applyFill="1" applyBorder="1" applyAlignment="1">
      <alignment horizontal="center" vertical="center"/>
    </xf>
    <xf numFmtId="164" fontId="14" fillId="2" borderId="6" xfId="5" applyNumberFormat="1" applyFill="1" applyBorder="1" applyAlignment="1">
      <alignment vertical="center"/>
    </xf>
    <xf numFmtId="0" fontId="14" fillId="2" borderId="16" xfId="5" applyFill="1" applyBorder="1" applyAlignment="1">
      <alignment horizontal="center" vertical="center" wrapText="1"/>
    </xf>
    <xf numFmtId="14" fontId="14" fillId="0" borderId="13" xfId="5" applyNumberFormat="1" applyBorder="1" applyAlignment="1">
      <alignment horizontal="center" vertical="center" wrapText="1"/>
    </xf>
    <xf numFmtId="0" fontId="14" fillId="2" borderId="13" xfId="5" applyFill="1" applyBorder="1" applyAlignment="1">
      <alignment horizontal="center" vertical="center" wrapText="1"/>
    </xf>
    <xf numFmtId="164" fontId="14" fillId="2" borderId="13" xfId="3" applyFont="1" applyFill="1" applyBorder="1" applyAlignment="1">
      <alignment horizontal="center" vertical="center" wrapText="1"/>
    </xf>
    <xf numFmtId="164" fontId="14" fillId="2" borderId="13" xfId="5" applyNumberFormat="1" applyFill="1" applyBorder="1" applyAlignment="1">
      <alignment vertical="center" wrapText="1"/>
    </xf>
    <xf numFmtId="164" fontId="14" fillId="2" borderId="13" xfId="5" applyNumberFormat="1" applyFill="1" applyBorder="1" applyAlignment="1">
      <alignment vertical="center"/>
    </xf>
    <xf numFmtId="0" fontId="7" fillId="2" borderId="0" xfId="0" applyFont="1" applyFill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7" borderId="1" xfId="0" applyFont="1" applyFill="1" applyBorder="1"/>
    <xf numFmtId="0" fontId="6" fillId="7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wrapText="1"/>
    </xf>
    <xf numFmtId="0" fontId="6" fillId="7" borderId="1" xfId="0" applyFont="1" applyFill="1" applyBorder="1" applyAlignment="1">
      <alignment horizontal="center" vertical="center"/>
    </xf>
    <xf numFmtId="0" fontId="10" fillId="2" borderId="28" xfId="5" applyFont="1" applyFill="1" applyBorder="1" applyAlignment="1">
      <alignment horizontal="center" vertical="center" wrapText="1"/>
    </xf>
    <xf numFmtId="10" fontId="0" fillId="2" borderId="29" xfId="7" applyNumberFormat="1" applyFont="1" applyFill="1" applyBorder="1" applyAlignment="1">
      <alignment horizontal="center" vertical="center"/>
    </xf>
    <xf numFmtId="10" fontId="0" fillId="2" borderId="30" xfId="7" applyNumberFormat="1" applyFont="1" applyFill="1" applyBorder="1" applyAlignment="1">
      <alignment horizontal="center" vertical="center"/>
    </xf>
    <xf numFmtId="164" fontId="14" fillId="2" borderId="15" xfId="5" applyNumberFormat="1" applyFill="1" applyBorder="1" applyAlignment="1">
      <alignment horizontal="center" vertical="center"/>
    </xf>
    <xf numFmtId="164" fontId="14" fillId="2" borderId="14" xfId="5" applyNumberFormat="1" applyFill="1" applyBorder="1" applyAlignment="1">
      <alignment horizontal="center" vertical="center"/>
    </xf>
    <xf numFmtId="164" fontId="14" fillId="0" borderId="1" xfId="3" applyFont="1" applyFill="1" applyBorder="1" applyAlignment="1">
      <alignment horizontal="center" vertical="center" wrapText="1"/>
    </xf>
    <xf numFmtId="164" fontId="14" fillId="0" borderId="1" xfId="5" applyNumberFormat="1" applyBorder="1" applyAlignment="1">
      <alignment vertical="center" wrapText="1"/>
    </xf>
    <xf numFmtId="0" fontId="14" fillId="0" borderId="15" xfId="5" applyBorder="1" applyAlignment="1">
      <alignment horizontal="center" vertical="center"/>
    </xf>
    <xf numFmtId="10" fontId="0" fillId="2" borderId="15" xfId="9" applyNumberFormat="1" applyFont="1" applyFill="1" applyBorder="1" applyAlignment="1">
      <alignment horizontal="center" vertical="center"/>
    </xf>
    <xf numFmtId="10" fontId="0" fillId="2" borderId="14" xfId="9" applyNumberFormat="1" applyFont="1" applyFill="1" applyBorder="1" applyAlignment="1">
      <alignment horizontal="center" vertical="center"/>
    </xf>
    <xf numFmtId="9" fontId="0" fillId="2" borderId="0" xfId="9" applyFont="1" applyFill="1"/>
    <xf numFmtId="0" fontId="17" fillId="0" borderId="0" xfId="0" applyFont="1"/>
    <xf numFmtId="0" fontId="1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4" fillId="0" borderId="1" xfId="10" applyBorder="1" applyAlignment="1">
      <alignment horizontal="center" vertical="center"/>
    </xf>
    <xf numFmtId="164" fontId="21" fillId="0" borderId="1" xfId="10" applyFont="1" applyBorder="1" applyAlignment="1">
      <alignment horizontal="center" vertical="center"/>
    </xf>
    <xf numFmtId="164" fontId="17" fillId="0" borderId="1" xfId="10" applyFont="1" applyBorder="1" applyAlignment="1">
      <alignment horizontal="center" vertical="center"/>
    </xf>
    <xf numFmtId="0" fontId="4" fillId="0" borderId="1" xfId="10" applyNumberFormat="1" applyBorder="1"/>
    <xf numFmtId="167" fontId="4" fillId="0" borderId="0" xfId="10" applyNumberFormat="1"/>
    <xf numFmtId="167" fontId="0" fillId="0" borderId="0" xfId="0" applyNumberFormat="1"/>
    <xf numFmtId="164" fontId="0" fillId="0" borderId="0" xfId="0" applyNumberFormat="1"/>
    <xf numFmtId="164" fontId="4" fillId="0" borderId="1" xfId="10" applyBorder="1"/>
    <xf numFmtId="0" fontId="0" fillId="0" borderId="17" xfId="0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/>
    <xf numFmtId="17" fontId="0" fillId="0" borderId="1" xfId="0" applyNumberFormat="1" applyBorder="1"/>
    <xf numFmtId="0" fontId="0" fillId="0" borderId="1" xfId="0" applyBorder="1"/>
    <xf numFmtId="0" fontId="17" fillId="0" borderId="1" xfId="0" applyFont="1" applyBorder="1"/>
    <xf numFmtId="164" fontId="17" fillId="0" borderId="1" xfId="0" applyNumberFormat="1" applyFont="1" applyBorder="1"/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10" fillId="0" borderId="31" xfId="5" applyFont="1" applyBorder="1" applyAlignment="1">
      <alignment horizontal="center" vertical="center" wrapText="1"/>
    </xf>
    <xf numFmtId="165" fontId="6" fillId="0" borderId="1" xfId="1" applyFont="1" applyFill="1" applyBorder="1" applyAlignment="1">
      <alignment horizontal="center" vertical="center" wrapText="1"/>
    </xf>
    <xf numFmtId="0" fontId="14" fillId="2" borderId="11" xfId="5" applyFill="1" applyBorder="1" applyAlignment="1">
      <alignment horizontal="left" vertical="center"/>
    </xf>
    <xf numFmtId="0" fontId="14" fillId="2" borderId="15" xfId="5" applyFill="1" applyBorder="1" applyAlignment="1">
      <alignment horizontal="left" vertical="center"/>
    </xf>
    <xf numFmtId="0" fontId="14" fillId="0" borderId="15" xfId="5" applyBorder="1" applyAlignment="1">
      <alignment horizontal="left" vertical="center"/>
    </xf>
    <xf numFmtId="0" fontId="14" fillId="2" borderId="14" xfId="5" applyFill="1" applyBorder="1" applyAlignment="1">
      <alignment horizontal="left" vertical="center"/>
    </xf>
    <xf numFmtId="0" fontId="10" fillId="0" borderId="9" xfId="5" applyFont="1" applyBorder="1" applyAlignment="1">
      <alignment horizontal="center" vertical="center" wrapText="1"/>
    </xf>
    <xf numFmtId="164" fontId="14" fillId="2" borderId="1" xfId="3" applyFont="1" applyFill="1" applyBorder="1" applyAlignment="1">
      <alignment horizontal="center"/>
    </xf>
    <xf numFmtId="10" fontId="0" fillId="2" borderId="15" xfId="11" applyNumberFormat="1" applyFont="1" applyFill="1" applyBorder="1" applyAlignment="1">
      <alignment horizontal="center" vertical="center"/>
    </xf>
    <xf numFmtId="0" fontId="14" fillId="2" borderId="1" xfId="5" applyFill="1" applyBorder="1" applyAlignment="1">
      <alignment horizontal="left" wrapText="1"/>
    </xf>
    <xf numFmtId="10" fontId="0" fillId="2" borderId="14" xfId="11" applyNumberFormat="1" applyFont="1" applyFill="1" applyBorder="1" applyAlignment="1">
      <alignment horizontal="center" vertical="center"/>
    </xf>
    <xf numFmtId="0" fontId="14" fillId="2" borderId="0" xfId="5" applyFill="1" applyAlignment="1">
      <alignment vertical="center"/>
    </xf>
    <xf numFmtId="9" fontId="0" fillId="2" borderId="0" xfId="11" applyFont="1" applyFill="1"/>
    <xf numFmtId="0" fontId="14" fillId="2" borderId="16" xfId="5" applyFill="1" applyBorder="1" applyAlignment="1">
      <alignment horizontal="center"/>
    </xf>
    <xf numFmtId="0" fontId="14" fillId="2" borderId="13" xfId="5" applyFill="1" applyBorder="1" applyAlignment="1">
      <alignment horizontal="left"/>
    </xf>
    <xf numFmtId="14" fontId="14" fillId="0" borderId="13" xfId="5" applyNumberFormat="1" applyBorder="1" applyAlignment="1">
      <alignment horizontal="center"/>
    </xf>
    <xf numFmtId="0" fontId="14" fillId="2" borderId="13" xfId="5" applyFill="1" applyBorder="1" applyAlignment="1">
      <alignment horizontal="center"/>
    </xf>
    <xf numFmtId="164" fontId="14" fillId="2" borderId="14" xfId="3" applyFont="1" applyFill="1" applyBorder="1" applyAlignment="1">
      <alignment horizontal="center"/>
    </xf>
    <xf numFmtId="164" fontId="14" fillId="2" borderId="15" xfId="5" applyNumberFormat="1" applyFill="1" applyBorder="1" applyAlignment="1">
      <alignment vertical="center"/>
    </xf>
    <xf numFmtId="164" fontId="14" fillId="2" borderId="14" xfId="5" applyNumberFormat="1" applyFill="1" applyBorder="1"/>
    <xf numFmtId="0" fontId="14" fillId="2" borderId="19" xfId="5" applyFill="1" applyBorder="1" applyAlignment="1">
      <alignment horizontal="center"/>
    </xf>
    <xf numFmtId="0" fontId="14" fillId="2" borderId="20" xfId="5" applyFill="1" applyBorder="1" applyAlignment="1">
      <alignment horizontal="left"/>
    </xf>
    <xf numFmtId="14" fontId="14" fillId="0" borderId="20" xfId="5" applyNumberFormat="1" applyBorder="1" applyAlignment="1">
      <alignment horizontal="center"/>
    </xf>
    <xf numFmtId="0" fontId="14" fillId="2" borderId="20" xfId="5" applyFill="1" applyBorder="1" applyAlignment="1">
      <alignment horizontal="center"/>
    </xf>
    <xf numFmtId="164" fontId="14" fillId="2" borderId="20" xfId="3" applyFont="1" applyFill="1" applyBorder="1" applyAlignment="1">
      <alignment horizontal="center"/>
    </xf>
    <xf numFmtId="164" fontId="14" fillId="2" borderId="20" xfId="5" applyNumberFormat="1" applyFill="1" applyBorder="1"/>
    <xf numFmtId="0" fontId="14" fillId="2" borderId="21" xfId="5" applyFill="1" applyBorder="1" applyAlignment="1">
      <alignment horizontal="center" vertical="center"/>
    </xf>
    <xf numFmtId="164" fontId="14" fillId="2" borderId="13" xfId="3" applyFont="1" applyFill="1" applyBorder="1" applyAlignment="1">
      <alignment horizontal="center"/>
    </xf>
    <xf numFmtId="164" fontId="14" fillId="2" borderId="13" xfId="5" applyNumberFormat="1" applyFill="1" applyBorder="1"/>
    <xf numFmtId="15" fontId="14" fillId="0" borderId="1" xfId="5" applyNumberFormat="1" applyBorder="1" applyAlignment="1">
      <alignment horizontal="center" vertical="center"/>
    </xf>
    <xf numFmtId="0" fontId="10" fillId="0" borderId="15" xfId="5" applyFont="1" applyBorder="1" applyAlignment="1">
      <alignment horizontal="left" vertical="center"/>
    </xf>
    <xf numFmtId="0" fontId="10" fillId="0" borderId="14" xfId="5" applyFont="1" applyBorder="1" applyAlignment="1">
      <alignment horizontal="left" vertical="center"/>
    </xf>
    <xf numFmtId="15" fontId="14" fillId="0" borderId="13" xfId="5" applyNumberForma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4" fillId="0" borderId="1" xfId="5" applyBorder="1" applyAlignment="1">
      <alignment horizontal="left"/>
    </xf>
    <xf numFmtId="0" fontId="14" fillId="0" borderId="1" xfId="5" applyBorder="1" applyAlignment="1">
      <alignment horizontal="center"/>
    </xf>
    <xf numFmtId="164" fontId="14" fillId="0" borderId="1" xfId="3" applyFont="1" applyFill="1" applyBorder="1" applyAlignment="1">
      <alignment horizontal="center"/>
    </xf>
    <xf numFmtId="164" fontId="14" fillId="0" borderId="1" xfId="5" applyNumberFormat="1" applyBorder="1"/>
    <xf numFmtId="0" fontId="14" fillId="0" borderId="1" xfId="5" applyBorder="1" applyAlignment="1">
      <alignment horizontal="center" vertical="center"/>
    </xf>
    <xf numFmtId="0" fontId="14" fillId="0" borderId="13" xfId="5" applyBorder="1" applyAlignment="1">
      <alignment horizontal="center" vertical="center"/>
    </xf>
    <xf numFmtId="164" fontId="22" fillId="0" borderId="6" xfId="6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2" fillId="0" borderId="0" xfId="0" applyFont="1"/>
    <xf numFmtId="167" fontId="0" fillId="0" borderId="1" xfId="3" applyNumberFormat="1" applyFont="1" applyBorder="1" applyAlignment="1">
      <alignment horizontal="center" vertical="center" wrapText="1"/>
    </xf>
    <xf numFmtId="167" fontId="22" fillId="0" borderId="1" xfId="3" applyNumberFormat="1" applyFont="1" applyBorder="1" applyAlignment="1">
      <alignment horizontal="center" vertical="center" wrapText="1"/>
    </xf>
    <xf numFmtId="0" fontId="14" fillId="0" borderId="19" xfId="5" applyBorder="1" applyAlignment="1">
      <alignment horizontal="center" vertical="center"/>
    </xf>
    <xf numFmtId="0" fontId="14" fillId="0" borderId="20" xfId="5" applyBorder="1" applyAlignment="1">
      <alignment horizontal="left" vertical="center"/>
    </xf>
    <xf numFmtId="15" fontId="14" fillId="0" borderId="20" xfId="5" applyNumberFormat="1" applyBorder="1" applyAlignment="1">
      <alignment horizontal="center" vertical="center"/>
    </xf>
    <xf numFmtId="0" fontId="14" fillId="0" borderId="20" xfId="5" applyBorder="1" applyAlignment="1">
      <alignment horizontal="center" vertical="center"/>
    </xf>
    <xf numFmtId="164" fontId="22" fillId="0" borderId="20" xfId="6" applyFont="1" applyFill="1" applyBorder="1" applyAlignment="1">
      <alignment horizontal="center" vertical="center"/>
    </xf>
    <xf numFmtId="0" fontId="10" fillId="0" borderId="21" xfId="5" applyFont="1" applyBorder="1" applyAlignment="1">
      <alignment horizontal="left" vertical="center"/>
    </xf>
    <xf numFmtId="164" fontId="22" fillId="0" borderId="26" xfId="6" applyFont="1" applyFill="1" applyBorder="1" applyAlignment="1">
      <alignment horizontal="center" vertical="center"/>
    </xf>
    <xf numFmtId="164" fontId="22" fillId="0" borderId="15" xfId="6" applyFont="1" applyFill="1" applyBorder="1" applyAlignment="1">
      <alignment horizontal="center" vertical="center"/>
    </xf>
    <xf numFmtId="164" fontId="22" fillId="0" borderId="14" xfId="6" applyFont="1" applyFill="1" applyBorder="1" applyAlignment="1">
      <alignment horizontal="center" vertical="center"/>
    </xf>
    <xf numFmtId="167" fontId="22" fillId="0" borderId="15" xfId="6" applyNumberFormat="1" applyFont="1" applyFill="1" applyBorder="1" applyAlignment="1">
      <alignment horizontal="center" vertical="center"/>
    </xf>
    <xf numFmtId="167" fontId="22" fillId="0" borderId="14" xfId="6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wrapText="1"/>
    </xf>
    <xf numFmtId="0" fontId="17" fillId="0" borderId="0" xfId="0" applyFont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2" borderId="0" xfId="0" applyFont="1" applyFill="1" applyAlignment="1">
      <alignment horizontal="center" wrapText="1"/>
    </xf>
    <xf numFmtId="0" fontId="20" fillId="0" borderId="0" xfId="0" applyFont="1" applyAlignment="1">
      <alignment horizontal="center" wrapText="1"/>
    </xf>
    <xf numFmtId="0" fontId="9" fillId="2" borderId="1" xfId="0" applyFont="1" applyFill="1" applyBorder="1" applyAlignment="1">
      <alignment horizontal="center" vertical="center" wrapText="1"/>
    </xf>
    <xf numFmtId="0" fontId="15" fillId="2" borderId="0" xfId="5" applyFont="1" applyFill="1" applyAlignment="1">
      <alignment horizontal="center" wrapText="1"/>
    </xf>
    <xf numFmtId="164" fontId="14" fillId="2" borderId="5" xfId="5" applyNumberFormat="1" applyFill="1" applyBorder="1" applyAlignment="1">
      <alignment horizontal="center" vertical="center"/>
    </xf>
    <xf numFmtId="164" fontId="14" fillId="2" borderId="17" xfId="5" applyNumberFormat="1" applyFill="1" applyBorder="1" applyAlignment="1">
      <alignment horizontal="center" vertical="center"/>
    </xf>
    <xf numFmtId="164" fontId="14" fillId="2" borderId="26" xfId="5" applyNumberFormat="1" applyFill="1" applyBorder="1" applyAlignment="1">
      <alignment horizontal="center" vertical="center"/>
    </xf>
    <xf numFmtId="0" fontId="15" fillId="2" borderId="23" xfId="5" applyFont="1" applyFill="1" applyBorder="1" applyAlignment="1">
      <alignment horizontal="center" vertical="center" wrapText="1"/>
    </xf>
    <xf numFmtId="0" fontId="15" fillId="2" borderId="24" xfId="5" applyFont="1" applyFill="1" applyBorder="1" applyAlignment="1">
      <alignment horizontal="center" vertical="center" wrapText="1"/>
    </xf>
    <xf numFmtId="0" fontId="15" fillId="2" borderId="2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/>
    </xf>
    <xf numFmtId="0" fontId="14" fillId="2" borderId="1" xfId="5" applyFill="1" applyBorder="1" applyAlignment="1">
      <alignment horizontal="center" wrapText="1"/>
    </xf>
    <xf numFmtId="164" fontId="10" fillId="2" borderId="1" xfId="6" applyFont="1" applyFill="1" applyBorder="1" applyAlignment="1">
      <alignment horizontal="center"/>
    </xf>
    <xf numFmtId="0" fontId="19" fillId="0" borderId="27" xfId="5" applyFont="1" applyBorder="1" applyAlignment="1">
      <alignment horizontal="center"/>
    </xf>
    <xf numFmtId="0" fontId="10" fillId="0" borderId="23" xfId="5" applyFont="1" applyBorder="1" applyAlignment="1">
      <alignment horizontal="center" vertical="center" wrapText="1"/>
    </xf>
    <xf numFmtId="0" fontId="10" fillId="0" borderId="24" xfId="5" applyFont="1" applyBorder="1" applyAlignment="1">
      <alignment horizontal="center" vertical="center" wrapText="1"/>
    </xf>
    <xf numFmtId="0" fontId="10" fillId="0" borderId="25" xfId="5" applyFont="1" applyBorder="1" applyAlignment="1">
      <alignment horizontal="center" vertical="center" wrapText="1"/>
    </xf>
    <xf numFmtId="0" fontId="15" fillId="0" borderId="1" xfId="5" applyFont="1" applyBorder="1" applyAlignment="1">
      <alignment horizontal="center" vertical="center" wrapText="1"/>
    </xf>
    <xf numFmtId="0" fontId="14" fillId="0" borderId="2" xfId="5" applyBorder="1" applyAlignment="1">
      <alignment horizontal="center" wrapText="1"/>
    </xf>
    <xf numFmtId="0" fontId="14" fillId="0" borderId="3" xfId="5" applyBorder="1" applyAlignment="1">
      <alignment horizontal="center" wrapText="1"/>
    </xf>
    <xf numFmtId="164" fontId="10" fillId="0" borderId="3" xfId="6" applyFont="1" applyFill="1" applyBorder="1" applyAlignment="1">
      <alignment horizontal="center"/>
    </xf>
    <xf numFmtId="164" fontId="10" fillId="0" borderId="4" xfId="6" applyFont="1" applyFill="1" applyBorder="1" applyAlignment="1">
      <alignment horizontal="center"/>
    </xf>
    <xf numFmtId="0" fontId="15" fillId="0" borderId="0" xfId="5" applyFont="1" applyAlignment="1">
      <alignment horizontal="center" wrapText="1"/>
    </xf>
    <xf numFmtId="0" fontId="9" fillId="2" borderId="0" xfId="0" applyFont="1" applyFill="1" applyAlignment="1">
      <alignment horizontal="center" vertical="center"/>
    </xf>
    <xf numFmtId="0" fontId="10" fillId="0" borderId="7" xfId="5" applyFont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 wrapText="1"/>
    </xf>
    <xf numFmtId="0" fontId="10" fillId="0" borderId="9" xfId="5" applyFont="1" applyBorder="1" applyAlignment="1">
      <alignment horizontal="center" vertical="center" wrapText="1"/>
    </xf>
    <xf numFmtId="0" fontId="17" fillId="8" borderId="0" xfId="0" applyFont="1" applyFill="1" applyAlignment="1">
      <alignment horizontal="center" vertical="center" wrapText="1"/>
    </xf>
    <xf numFmtId="164" fontId="14" fillId="2" borderId="1" xfId="5" applyNumberFormat="1" applyFill="1" applyBorder="1" applyAlignment="1">
      <alignment horizontal="center" vertical="center"/>
    </xf>
    <xf numFmtId="164" fontId="14" fillId="2" borderId="13" xfId="5" applyNumberFormat="1" applyFill="1" applyBorder="1" applyAlignment="1">
      <alignment horizontal="center" vertical="center"/>
    </xf>
    <xf numFmtId="0" fontId="14" fillId="2" borderId="1" xfId="5" applyFill="1" applyBorder="1" applyAlignment="1">
      <alignment horizontal="center" vertical="center" wrapText="1"/>
    </xf>
    <xf numFmtId="164" fontId="10" fillId="2" borderId="1" xfId="6" applyFont="1" applyFill="1" applyBorder="1" applyAlignment="1">
      <alignment horizontal="center" vertical="center"/>
    </xf>
    <xf numFmtId="0" fontId="14" fillId="0" borderId="1" xfId="5" applyBorder="1" applyAlignment="1">
      <alignment horizontal="center" vertical="center" wrapText="1"/>
    </xf>
    <xf numFmtId="164" fontId="10" fillId="0" borderId="3" xfId="6" applyFont="1" applyFill="1" applyBorder="1" applyAlignment="1">
      <alignment horizontal="center" vertical="center"/>
    </xf>
    <xf numFmtId="164" fontId="10" fillId="0" borderId="4" xfId="6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horizontal="center" vertical="center" wrapText="1"/>
    </xf>
  </cellXfs>
  <cellStyles count="12">
    <cellStyle name="Millares [0]" xfId="2" builtinId="6"/>
    <cellStyle name="Moneda" xfId="3" builtinId="4"/>
    <cellStyle name="Moneda [0]" xfId="1" builtinId="7"/>
    <cellStyle name="Moneda 2" xfId="6" xr:uid="{BDF9A28D-FB2C-48F7-AD80-6A37B4F12174}"/>
    <cellStyle name="Moneda 3" xfId="10" xr:uid="{6A5E482E-5ECE-4E9F-8FB9-0AB9E50E74A3}"/>
    <cellStyle name="Normal" xfId="0" builtinId="0"/>
    <cellStyle name="Normal 2" xfId="5" xr:uid="{3D0641A2-FA9F-4A1A-AC6F-5B38A0D4DE09}"/>
    <cellStyle name="Normal 2 2" xfId="8" xr:uid="{5B7D1D9F-F05C-4E11-BDA6-86C974F05B13}"/>
    <cellStyle name="Porcentaje" xfId="4" builtinId="5"/>
    <cellStyle name="Porcentaje 2" xfId="7" xr:uid="{856768FC-3A04-4D33-8737-3B0D534F7BED}"/>
    <cellStyle name="Porcentaje 2 2" xfId="9" xr:uid="{D3E69315-383A-4045-A172-09282BE9EF79}"/>
    <cellStyle name="Porcentaje 2 3" xfId="11" xr:uid="{42D4B9B0-66DF-4F99-A5F6-9A58E6EF4E05}"/>
  </cellStyles>
  <dxfs count="0"/>
  <tableStyles count="0" defaultTableStyle="TableStyleMedium2" defaultPivotStyle="PivotStyleLight16"/>
  <colors>
    <mruColors>
      <color rgb="FFFFC4F9"/>
      <color rgb="FFFFB0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878416</xdr:colOff>
      <xdr:row>0</xdr:row>
      <xdr:rowOff>0</xdr:rowOff>
    </xdr:from>
    <xdr:to>
      <xdr:col>13</xdr:col>
      <xdr:colOff>232833</xdr:colOff>
      <xdr:row>9</xdr:row>
      <xdr:rowOff>159840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7C66194-C845-47D9-A6F4-DB504C2E2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20916" y="0"/>
          <a:ext cx="6011334" cy="3201641"/>
        </a:xfrm>
        <a:prstGeom prst="rect">
          <a:avLst/>
        </a:prstGeom>
      </xdr:spPr>
    </xdr:pic>
    <xdr:clientData/>
  </xdr:twoCellAnchor>
  <xdr:twoCellAnchor editAs="oneCell">
    <xdr:from>
      <xdr:col>7</xdr:col>
      <xdr:colOff>204108</xdr:colOff>
      <xdr:row>23</xdr:row>
      <xdr:rowOff>296745</xdr:rowOff>
    </xdr:from>
    <xdr:to>
      <xdr:col>12</xdr:col>
      <xdr:colOff>705536</xdr:colOff>
      <xdr:row>30</xdr:row>
      <xdr:rowOff>184909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8AE77FE-C01D-4031-AA0C-79800A8DB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94572" y="3807388"/>
          <a:ext cx="5400000" cy="2318400"/>
        </a:xfrm>
        <a:prstGeom prst="rect">
          <a:avLst/>
        </a:prstGeom>
      </xdr:spPr>
    </xdr:pic>
    <xdr:clientData/>
  </xdr:twoCellAnchor>
  <xdr:twoCellAnchor editAs="oneCell">
    <xdr:from>
      <xdr:col>7</xdr:col>
      <xdr:colOff>272143</xdr:colOff>
      <xdr:row>32</xdr:row>
      <xdr:rowOff>40822</xdr:rowOff>
    </xdr:from>
    <xdr:to>
      <xdr:col>12</xdr:col>
      <xdr:colOff>773571</xdr:colOff>
      <xdr:row>36</xdr:row>
      <xdr:rowOff>19144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19AD4D3-B048-454A-98B4-B80A0BB28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62607" y="6191251"/>
          <a:ext cx="5400000" cy="944429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952500</xdr:colOff>
      <xdr:row>22</xdr:row>
      <xdr:rowOff>137443</xdr:rowOff>
    </xdr:from>
    <xdr:to>
      <xdr:col>13</xdr:col>
      <xdr:colOff>692192</xdr:colOff>
      <xdr:row>23</xdr:row>
      <xdr:rowOff>228657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D0813FE-1627-4F79-98F1-604C5365A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42964" y="3403157"/>
          <a:ext cx="5454692" cy="336143"/>
        </a:xfrm>
        <a:prstGeom prst="rect">
          <a:avLst/>
        </a:prstGeom>
      </xdr:spPr>
    </xdr:pic>
    <xdr:clientData/>
  </xdr:twoCellAnchor>
  <xdr:twoCellAnchor editAs="oneCell">
    <xdr:from>
      <xdr:col>1</xdr:col>
      <xdr:colOff>145596</xdr:colOff>
      <xdr:row>36</xdr:row>
      <xdr:rowOff>131990</xdr:rowOff>
    </xdr:from>
    <xdr:to>
      <xdr:col>1</xdr:col>
      <xdr:colOff>2800720</xdr:colOff>
      <xdr:row>41</xdr:row>
      <xdr:rowOff>27412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53F1202-974B-469C-A3B4-AE4BCF231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02946" y="7256690"/>
          <a:ext cx="2655124" cy="14003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92927</xdr:colOff>
      <xdr:row>43</xdr:row>
      <xdr:rowOff>40980</xdr:rowOff>
    </xdr:from>
    <xdr:to>
      <xdr:col>6</xdr:col>
      <xdr:colOff>1893384</xdr:colOff>
      <xdr:row>43</xdr:row>
      <xdr:rowOff>296715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773E8A7-2EA4-4A70-B8BD-516D1FFE2C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015" t="3274" r="368"/>
        <a:stretch/>
      </xdr:blipFill>
      <xdr:spPr>
        <a:xfrm>
          <a:off x="8227277" y="8384880"/>
          <a:ext cx="1800457" cy="255735"/>
        </a:xfrm>
        <a:prstGeom prst="rect">
          <a:avLst/>
        </a:prstGeom>
      </xdr:spPr>
    </xdr:pic>
    <xdr:clientData/>
  </xdr:twoCellAnchor>
  <xdr:twoCellAnchor editAs="oneCell">
    <xdr:from>
      <xdr:col>4</xdr:col>
      <xdr:colOff>440531</xdr:colOff>
      <xdr:row>39</xdr:row>
      <xdr:rowOff>11905</xdr:rowOff>
    </xdr:from>
    <xdr:to>
      <xdr:col>6</xdr:col>
      <xdr:colOff>1932526</xdr:colOff>
      <xdr:row>42</xdr:row>
      <xdr:rowOff>100217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36B7F51-AA09-4D82-BF77-DE775FBC8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1781" y="10346530"/>
          <a:ext cx="4104000" cy="63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209852</xdr:colOff>
      <xdr:row>7</xdr:row>
      <xdr:rowOff>152508</xdr:rowOff>
    </xdr:from>
    <xdr:to>
      <xdr:col>12</xdr:col>
      <xdr:colOff>686481</xdr:colOff>
      <xdr:row>9</xdr:row>
      <xdr:rowOff>177648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C9B4CFF-01CA-4D78-95E0-BDB97F038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674495" y="2234401"/>
          <a:ext cx="1320272" cy="433354"/>
        </a:xfrm>
        <a:prstGeom prst="rect">
          <a:avLst/>
        </a:prstGeom>
      </xdr:spPr>
    </xdr:pic>
    <xdr:clientData/>
  </xdr:twoCellAnchor>
  <xdr:twoCellAnchor editAs="oneCell">
    <xdr:from>
      <xdr:col>11</xdr:col>
      <xdr:colOff>227089</xdr:colOff>
      <xdr:row>10</xdr:row>
      <xdr:rowOff>133553</xdr:rowOff>
    </xdr:from>
    <xdr:to>
      <xdr:col>14</xdr:col>
      <xdr:colOff>490611</xdr:colOff>
      <xdr:row>12</xdr:row>
      <xdr:rowOff>125486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55B8860-AF75-4826-BFB6-81A3BC97E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413160" y="2854982"/>
          <a:ext cx="2794451" cy="454575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571500</xdr:colOff>
      <xdr:row>28</xdr:row>
      <xdr:rowOff>48681</xdr:rowOff>
    </xdr:from>
    <xdr:to>
      <xdr:col>8</xdr:col>
      <xdr:colOff>808491</xdr:colOff>
      <xdr:row>31</xdr:row>
      <xdr:rowOff>140493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962F9A3-C5CC-43FF-8B90-B1E9C5543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60594" y="8966462"/>
          <a:ext cx="4040187" cy="6990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878416</xdr:colOff>
      <xdr:row>0</xdr:row>
      <xdr:rowOff>0</xdr:rowOff>
    </xdr:from>
    <xdr:to>
      <xdr:col>13</xdr:col>
      <xdr:colOff>232833</xdr:colOff>
      <xdr:row>8</xdr:row>
      <xdr:rowOff>67652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A482564-E1AB-4D32-8E95-3D12FC37A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216" y="0"/>
          <a:ext cx="6021917" cy="3226890"/>
        </a:xfrm>
        <a:prstGeom prst="rect">
          <a:avLst/>
        </a:prstGeom>
      </xdr:spPr>
    </xdr:pic>
    <xdr:clientData/>
  </xdr:twoCellAnchor>
  <xdr:twoCellAnchor editAs="oneCell">
    <xdr:from>
      <xdr:col>7</xdr:col>
      <xdr:colOff>204108</xdr:colOff>
      <xdr:row>22</xdr:row>
      <xdr:rowOff>296745</xdr:rowOff>
    </xdr:from>
    <xdr:to>
      <xdr:col>12</xdr:col>
      <xdr:colOff>705536</xdr:colOff>
      <xdr:row>28</xdr:row>
      <xdr:rowOff>320640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F070371-0651-4CB1-BCB4-07F314DDC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86408" y="3830520"/>
          <a:ext cx="5397278" cy="2317039"/>
        </a:xfrm>
        <a:prstGeom prst="rect">
          <a:avLst/>
        </a:prstGeom>
      </xdr:spPr>
    </xdr:pic>
    <xdr:clientData/>
  </xdr:twoCellAnchor>
  <xdr:twoCellAnchor editAs="oneCell">
    <xdr:from>
      <xdr:col>7</xdr:col>
      <xdr:colOff>272143</xdr:colOff>
      <xdr:row>31</xdr:row>
      <xdr:rowOff>40822</xdr:rowOff>
    </xdr:from>
    <xdr:to>
      <xdr:col>12</xdr:col>
      <xdr:colOff>773571</xdr:colOff>
      <xdr:row>35</xdr:row>
      <xdr:rowOff>19144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5335297-3E23-451C-8050-4BA3B5CB7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54443" y="6213022"/>
          <a:ext cx="5397278" cy="940347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952500</xdr:colOff>
      <xdr:row>21</xdr:row>
      <xdr:rowOff>137443</xdr:rowOff>
    </xdr:from>
    <xdr:to>
      <xdr:col>13</xdr:col>
      <xdr:colOff>692192</xdr:colOff>
      <xdr:row>21</xdr:row>
      <xdr:rowOff>478690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8EF7369-A1B0-410B-942A-6B35BDD97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34800" y="3423568"/>
          <a:ext cx="5454692" cy="338864"/>
        </a:xfrm>
        <a:prstGeom prst="rect">
          <a:avLst/>
        </a:prstGeom>
      </xdr:spPr>
    </xdr:pic>
    <xdr:clientData/>
  </xdr:twoCellAnchor>
  <xdr:twoCellAnchor editAs="oneCell">
    <xdr:from>
      <xdr:col>0</xdr:col>
      <xdr:colOff>1148103</xdr:colOff>
      <xdr:row>36</xdr:row>
      <xdr:rowOff>27215</xdr:rowOff>
    </xdr:from>
    <xdr:to>
      <xdr:col>1</xdr:col>
      <xdr:colOff>2145877</xdr:colOff>
      <xdr:row>40</xdr:row>
      <xdr:rowOff>115518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F39E541-69D0-4E5C-BC1E-769B5881E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8103" y="7563871"/>
          <a:ext cx="2652743" cy="139799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92927</xdr:colOff>
      <xdr:row>43</xdr:row>
      <xdr:rowOff>40980</xdr:rowOff>
    </xdr:from>
    <xdr:to>
      <xdr:col>6</xdr:col>
      <xdr:colOff>1893384</xdr:colOff>
      <xdr:row>43</xdr:row>
      <xdr:rowOff>296715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A44F88D-10F7-4208-9A4A-4BCBF9C039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015" t="3274" r="368"/>
        <a:stretch/>
      </xdr:blipFill>
      <xdr:spPr>
        <a:xfrm>
          <a:off x="8084402" y="12556830"/>
          <a:ext cx="1800457" cy="255735"/>
        </a:xfrm>
        <a:prstGeom prst="rect">
          <a:avLst/>
        </a:prstGeom>
      </xdr:spPr>
    </xdr:pic>
    <xdr:clientData/>
  </xdr:twoCellAnchor>
  <xdr:twoCellAnchor editAs="oneCell">
    <xdr:from>
      <xdr:col>4</xdr:col>
      <xdr:colOff>440531</xdr:colOff>
      <xdr:row>39</xdr:row>
      <xdr:rowOff>11905</xdr:rowOff>
    </xdr:from>
    <xdr:to>
      <xdr:col>7</xdr:col>
      <xdr:colOff>214624</xdr:colOff>
      <xdr:row>42</xdr:row>
      <xdr:rowOff>100217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E39D979-BF7E-404A-B09E-33C4A3EC9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12706" y="11784805"/>
          <a:ext cx="4103205" cy="640762"/>
        </a:xfrm>
        <a:prstGeom prst="rect">
          <a:avLst/>
        </a:prstGeom>
      </xdr:spPr>
    </xdr:pic>
    <xdr:clientData/>
  </xdr:twoCellAnchor>
  <xdr:twoCellAnchor editAs="oneCell">
    <xdr:from>
      <xdr:col>11</xdr:col>
      <xdr:colOff>327556</xdr:colOff>
      <xdr:row>8</xdr:row>
      <xdr:rowOff>98080</xdr:rowOff>
    </xdr:from>
    <xdr:to>
      <xdr:col>12</xdr:col>
      <xdr:colOff>814391</xdr:colOff>
      <xdr:row>10</xdr:row>
      <xdr:rowOff>68793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2F383C9-D61A-495E-A47E-D2A3A4CD6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103337" y="2360268"/>
          <a:ext cx="1320272" cy="423150"/>
        </a:xfrm>
        <a:prstGeom prst="rect">
          <a:avLst/>
        </a:prstGeom>
      </xdr:spPr>
    </xdr:pic>
    <xdr:clientData/>
  </xdr:twoCellAnchor>
  <xdr:twoCellAnchor editAs="oneCell">
    <xdr:from>
      <xdr:col>11</xdr:col>
      <xdr:colOff>269610</xdr:colOff>
      <xdr:row>10</xdr:row>
      <xdr:rowOff>211793</xdr:rowOff>
    </xdr:from>
    <xdr:to>
      <xdr:col>14</xdr:col>
      <xdr:colOff>533133</xdr:colOff>
      <xdr:row>13</xdr:row>
      <xdr:rowOff>13226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8B6E1F2-3B23-4F25-B974-F74CE6E8D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641079" y="2926418"/>
          <a:ext cx="2763835" cy="4443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878416</xdr:colOff>
      <xdr:row>0</xdr:row>
      <xdr:rowOff>0</xdr:rowOff>
    </xdr:from>
    <xdr:to>
      <xdr:col>13</xdr:col>
      <xdr:colOff>232833</xdr:colOff>
      <xdr:row>9</xdr:row>
      <xdr:rowOff>197074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E224271-9E71-4B70-87D7-C522E9480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216" y="0"/>
          <a:ext cx="6021917" cy="3207840"/>
        </a:xfrm>
        <a:prstGeom prst="rect">
          <a:avLst/>
        </a:prstGeom>
      </xdr:spPr>
    </xdr:pic>
    <xdr:clientData/>
  </xdr:twoCellAnchor>
  <xdr:twoCellAnchor editAs="oneCell">
    <xdr:from>
      <xdr:col>7</xdr:col>
      <xdr:colOff>204108</xdr:colOff>
      <xdr:row>21</xdr:row>
      <xdr:rowOff>296745</xdr:rowOff>
    </xdr:from>
    <xdr:to>
      <xdr:col>12</xdr:col>
      <xdr:colOff>705536</xdr:colOff>
      <xdr:row>27</xdr:row>
      <xdr:rowOff>295746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5993C52-E3E6-4A46-9894-2FBEA6CBB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86408" y="3811470"/>
          <a:ext cx="5397278" cy="2317039"/>
        </a:xfrm>
        <a:prstGeom prst="rect">
          <a:avLst/>
        </a:prstGeom>
      </xdr:spPr>
    </xdr:pic>
    <xdr:clientData/>
  </xdr:twoCellAnchor>
  <xdr:twoCellAnchor editAs="oneCell">
    <xdr:from>
      <xdr:col>7</xdr:col>
      <xdr:colOff>272143</xdr:colOff>
      <xdr:row>30</xdr:row>
      <xdr:rowOff>40822</xdr:rowOff>
    </xdr:from>
    <xdr:to>
      <xdr:col>12</xdr:col>
      <xdr:colOff>773571</xdr:colOff>
      <xdr:row>34</xdr:row>
      <xdr:rowOff>19144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9985F72-0C87-4627-BBD6-9555DE813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54443" y="6193972"/>
          <a:ext cx="5397278" cy="940347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952500</xdr:colOff>
      <xdr:row>20</xdr:row>
      <xdr:rowOff>137443</xdr:rowOff>
    </xdr:from>
    <xdr:to>
      <xdr:col>13</xdr:col>
      <xdr:colOff>692192</xdr:colOff>
      <xdr:row>20</xdr:row>
      <xdr:rowOff>479771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019AEA7-44D6-47E6-A817-8EFC403E67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34800" y="3404518"/>
          <a:ext cx="5454692" cy="338864"/>
        </a:xfrm>
        <a:prstGeom prst="rect">
          <a:avLst/>
        </a:prstGeom>
      </xdr:spPr>
    </xdr:pic>
    <xdr:clientData/>
  </xdr:twoCellAnchor>
  <xdr:twoCellAnchor editAs="oneCell">
    <xdr:from>
      <xdr:col>0</xdr:col>
      <xdr:colOff>941367</xdr:colOff>
      <xdr:row>34</xdr:row>
      <xdr:rowOff>44533</xdr:rowOff>
    </xdr:from>
    <xdr:to>
      <xdr:col>1</xdr:col>
      <xdr:colOff>1939142</xdr:colOff>
      <xdr:row>38</xdr:row>
      <xdr:rowOff>683771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1BC38DC-2F3B-46E6-97E5-511C35885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41367" y="7170965"/>
          <a:ext cx="2651661" cy="140123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92927</xdr:colOff>
      <xdr:row>43</xdr:row>
      <xdr:rowOff>40980</xdr:rowOff>
    </xdr:from>
    <xdr:to>
      <xdr:col>6</xdr:col>
      <xdr:colOff>1893384</xdr:colOff>
      <xdr:row>43</xdr:row>
      <xdr:rowOff>296715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1227D2-4677-4C93-BB92-7C0C5A5262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015" t="3274" r="368"/>
        <a:stretch/>
      </xdr:blipFill>
      <xdr:spPr>
        <a:xfrm>
          <a:off x="8246327" y="11566230"/>
          <a:ext cx="1800457" cy="255735"/>
        </a:xfrm>
        <a:prstGeom prst="rect">
          <a:avLst/>
        </a:prstGeom>
      </xdr:spPr>
    </xdr:pic>
    <xdr:clientData/>
  </xdr:twoCellAnchor>
  <xdr:twoCellAnchor editAs="oneCell">
    <xdr:from>
      <xdr:col>4</xdr:col>
      <xdr:colOff>440531</xdr:colOff>
      <xdr:row>39</xdr:row>
      <xdr:rowOff>11905</xdr:rowOff>
    </xdr:from>
    <xdr:to>
      <xdr:col>7</xdr:col>
      <xdr:colOff>321780</xdr:colOff>
      <xdr:row>42</xdr:row>
      <xdr:rowOff>100217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27FFE7-C8A9-4BBA-B7A7-9ACB5AF71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12706" y="10794205"/>
          <a:ext cx="4110349" cy="640762"/>
        </a:xfrm>
        <a:prstGeom prst="rect">
          <a:avLst/>
        </a:prstGeom>
      </xdr:spPr>
    </xdr:pic>
    <xdr:clientData/>
  </xdr:twoCellAnchor>
  <xdr:twoCellAnchor editAs="oneCell">
    <xdr:from>
      <xdr:col>11</xdr:col>
      <xdr:colOff>406136</xdr:colOff>
      <xdr:row>8</xdr:row>
      <xdr:rowOff>121892</xdr:rowOff>
    </xdr:from>
    <xdr:to>
      <xdr:col>13</xdr:col>
      <xdr:colOff>59533</xdr:colOff>
      <xdr:row>10</xdr:row>
      <xdr:rowOff>92605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C35BEA3-EEC6-498C-807C-8FE10712C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479574" y="2384080"/>
          <a:ext cx="1320272" cy="423150"/>
        </a:xfrm>
        <a:prstGeom prst="rect">
          <a:avLst/>
        </a:prstGeom>
      </xdr:spPr>
    </xdr:pic>
    <xdr:clientData/>
  </xdr:twoCellAnchor>
  <xdr:twoCellAnchor editAs="oneCell">
    <xdr:from>
      <xdr:col>11</xdr:col>
      <xdr:colOff>412486</xdr:colOff>
      <xdr:row>10</xdr:row>
      <xdr:rowOff>199887</xdr:rowOff>
    </xdr:from>
    <xdr:to>
      <xdr:col>14</xdr:col>
      <xdr:colOff>676008</xdr:colOff>
      <xdr:row>13</xdr:row>
      <xdr:rowOff>1320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9160576-F537-43E3-8CD6-C7D56725F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022080" y="2914512"/>
          <a:ext cx="2763835" cy="44437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92927</xdr:colOff>
      <xdr:row>43</xdr:row>
      <xdr:rowOff>40980</xdr:rowOff>
    </xdr:from>
    <xdr:to>
      <xdr:col>6</xdr:col>
      <xdr:colOff>1898486</xdr:colOff>
      <xdr:row>43</xdr:row>
      <xdr:rowOff>296715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BED87E-4802-47DD-9422-7BAB6DE699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015" t="3274" r="368"/>
        <a:stretch/>
      </xdr:blipFill>
      <xdr:spPr>
        <a:xfrm>
          <a:off x="8427302" y="11766255"/>
          <a:ext cx="1805559" cy="255735"/>
        </a:xfrm>
        <a:prstGeom prst="rect">
          <a:avLst/>
        </a:prstGeom>
      </xdr:spPr>
    </xdr:pic>
    <xdr:clientData/>
  </xdr:twoCellAnchor>
  <xdr:twoCellAnchor editAs="oneCell">
    <xdr:from>
      <xdr:col>4</xdr:col>
      <xdr:colOff>440531</xdr:colOff>
      <xdr:row>39</xdr:row>
      <xdr:rowOff>11905</xdr:rowOff>
    </xdr:from>
    <xdr:to>
      <xdr:col>7</xdr:col>
      <xdr:colOff>292297</xdr:colOff>
      <xdr:row>42</xdr:row>
      <xdr:rowOff>100215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2017D4F-0CEB-47E5-B012-D1D9FA7AB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1781" y="10994230"/>
          <a:ext cx="4118966" cy="640760"/>
        </a:xfrm>
        <a:prstGeom prst="rect">
          <a:avLst/>
        </a:prstGeom>
      </xdr:spPr>
    </xdr:pic>
    <xdr:clientData/>
  </xdr:twoCellAnchor>
  <xdr:twoCellAnchor editAs="oneCell">
    <xdr:from>
      <xdr:col>10</xdr:col>
      <xdr:colOff>317500</xdr:colOff>
      <xdr:row>10</xdr:row>
      <xdr:rowOff>150996</xdr:rowOff>
    </xdr:from>
    <xdr:to>
      <xdr:col>11</xdr:col>
      <xdr:colOff>7560</xdr:colOff>
      <xdr:row>12</xdr:row>
      <xdr:rowOff>121709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64D63C0-2E01-429D-A33C-F2C95EAE5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738850" y="3084696"/>
          <a:ext cx="1318835" cy="427913"/>
        </a:xfrm>
        <a:prstGeom prst="rect">
          <a:avLst/>
        </a:prstGeom>
      </xdr:spPr>
    </xdr:pic>
    <xdr:clientData/>
  </xdr:twoCellAnchor>
  <xdr:twoCellAnchor editAs="oneCell">
    <xdr:from>
      <xdr:col>10</xdr:col>
      <xdr:colOff>1979083</xdr:colOff>
      <xdr:row>10</xdr:row>
      <xdr:rowOff>71565</xdr:rowOff>
    </xdr:from>
    <xdr:to>
      <xdr:col>14</xdr:col>
      <xdr:colOff>252789</xdr:colOff>
      <xdr:row>12</xdr:row>
      <xdr:rowOff>63499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5E6C3B4-F4CF-446E-BDF5-D9DE6C638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048008" y="3005265"/>
          <a:ext cx="2769506" cy="449134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381000</xdr:colOff>
      <xdr:row>27</xdr:row>
      <xdr:rowOff>162640</xdr:rowOff>
    </xdr:from>
    <xdr:to>
      <xdr:col>8</xdr:col>
      <xdr:colOff>971399</xdr:colOff>
      <xdr:row>30</xdr:row>
      <xdr:rowOff>96459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F1C1F37-B590-4696-A7F0-4CF1A0216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715375" y="8801815"/>
          <a:ext cx="4067024" cy="5338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92927</xdr:colOff>
      <xdr:row>43</xdr:row>
      <xdr:rowOff>40980</xdr:rowOff>
    </xdr:from>
    <xdr:to>
      <xdr:col>6</xdr:col>
      <xdr:colOff>1898486</xdr:colOff>
      <xdr:row>43</xdr:row>
      <xdr:rowOff>296715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13875F-5815-4342-91F7-F1B164BC74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015" t="3274" r="368"/>
        <a:stretch/>
      </xdr:blipFill>
      <xdr:spPr>
        <a:xfrm>
          <a:off x="8427302" y="11766255"/>
          <a:ext cx="1805559" cy="255735"/>
        </a:xfrm>
        <a:prstGeom prst="rect">
          <a:avLst/>
        </a:prstGeom>
      </xdr:spPr>
    </xdr:pic>
    <xdr:clientData/>
  </xdr:twoCellAnchor>
  <xdr:twoCellAnchor editAs="oneCell">
    <xdr:from>
      <xdr:col>4</xdr:col>
      <xdr:colOff>440531</xdr:colOff>
      <xdr:row>39</xdr:row>
      <xdr:rowOff>11905</xdr:rowOff>
    </xdr:from>
    <xdr:to>
      <xdr:col>7</xdr:col>
      <xdr:colOff>292297</xdr:colOff>
      <xdr:row>42</xdr:row>
      <xdr:rowOff>100215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3920AB-CE48-444D-9CC6-1987CEBE6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1781" y="10994230"/>
          <a:ext cx="4118966" cy="640760"/>
        </a:xfrm>
        <a:prstGeom prst="rect">
          <a:avLst/>
        </a:prstGeom>
      </xdr:spPr>
    </xdr:pic>
    <xdr:clientData/>
  </xdr:twoCellAnchor>
  <xdr:twoCellAnchor editAs="oneCell">
    <xdr:from>
      <xdr:col>10</xdr:col>
      <xdr:colOff>317500</xdr:colOff>
      <xdr:row>10</xdr:row>
      <xdr:rowOff>150996</xdr:rowOff>
    </xdr:from>
    <xdr:to>
      <xdr:col>11</xdr:col>
      <xdr:colOff>7560</xdr:colOff>
      <xdr:row>12</xdr:row>
      <xdr:rowOff>121709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AA1DC4E-723E-4EEE-834F-8F5A15498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738850" y="3084696"/>
          <a:ext cx="1318835" cy="427913"/>
        </a:xfrm>
        <a:prstGeom prst="rect">
          <a:avLst/>
        </a:prstGeom>
      </xdr:spPr>
    </xdr:pic>
    <xdr:clientData/>
  </xdr:twoCellAnchor>
  <xdr:twoCellAnchor editAs="oneCell">
    <xdr:from>
      <xdr:col>10</xdr:col>
      <xdr:colOff>1979083</xdr:colOff>
      <xdr:row>10</xdr:row>
      <xdr:rowOff>71565</xdr:rowOff>
    </xdr:from>
    <xdr:to>
      <xdr:col>14</xdr:col>
      <xdr:colOff>252789</xdr:colOff>
      <xdr:row>12</xdr:row>
      <xdr:rowOff>63499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50160ED-0906-4A41-8691-F7CEE3A36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048008" y="3005265"/>
          <a:ext cx="2769506" cy="449134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381000</xdr:colOff>
      <xdr:row>27</xdr:row>
      <xdr:rowOff>162640</xdr:rowOff>
    </xdr:from>
    <xdr:to>
      <xdr:col>8</xdr:col>
      <xdr:colOff>971399</xdr:colOff>
      <xdr:row>30</xdr:row>
      <xdr:rowOff>96459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3947698-C2D6-40EE-B54D-31CEE5C94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715375" y="8801815"/>
          <a:ext cx="4067024" cy="53389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Users/Lenovo/Desktop/Modalidad%20Integral%202026%20SECOP%20II%2030%20DIC%202025/17.%20OFERTA%2020%20MAYO%202026/LOTE%201%20Y%202%20METODOS%20COMPLETOS/LOTE%201/0._Evaluacion_Propuestas_Economicas_CR_INTEGRAL_2026%20-6%20ofertas%20completa.xlsx" TargetMode="External"/><Relationship Id="rId2" Type="http://schemas.microsoft.com/office/2019/04/relationships/externalLinkLongPath" Target="/Users/Lenovo/Desktop/Modalidad%20Integral%202026%20SECOP%20II%2030%20DIC%202025/17.%20OFERTA%2020%20MAYO%202026/LOTE%201%20Y%202%20METODOS%20COMPLETOS/LOTE%201/0._Evaluacion_Propuestas_Economicas_CR_INTEGRAL_2026%20-6%20ofertas%20completa.xlsx?8EAF95EC" TargetMode="External"/><Relationship Id="rId1" Type="http://schemas.openxmlformats.org/officeDocument/2006/relationships/externalLinkPath" Target="file:///\\8EAF95EC\0._Evaluacion_Propuestas_Economicas_CR_INTEGRAL_2026%20-6%20ofertas%20comple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EVALUACIÓN 2026_lote_1_MES1"/>
      <sheetName val="EVAL PROP ARTIFI BAJA_MES1"/>
      <sheetName val="EVALUACIÓN PROPONENTES_MES1"/>
      <sheetName val="EVALUACIÓN 2026_lote_1_MES2"/>
      <sheetName val="EVAL PROP ARTIFI BAJA_MES2"/>
      <sheetName val="EVALUACIÓN PROPONENTES_MES2"/>
      <sheetName val="EVALUACIÓN TH"/>
      <sheetName val="EVAL TH ARTIFI BAJA"/>
    </sheetNames>
    <sheetDataSet>
      <sheetData sheetId="0">
        <row r="4">
          <cell r="A4" t="e">
            <v>#VALUE!</v>
          </cell>
        </row>
      </sheetData>
      <sheetData sheetId="1"/>
      <sheetData sheetId="2">
        <row r="3">
          <cell r="B3" t="e">
            <v>#VALUE!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4A9E5-56FC-4302-ABE5-F3DBF2613991}">
  <sheetPr>
    <tabColor rgb="FF7030A0"/>
  </sheetPr>
  <dimension ref="A1:J51"/>
  <sheetViews>
    <sheetView topLeftCell="A18" zoomScaleNormal="100" workbookViewId="0">
      <selection activeCell="D22" sqref="D22:D24"/>
    </sheetView>
  </sheetViews>
  <sheetFormatPr defaultColWidth="10.75" defaultRowHeight="15"/>
  <cols>
    <col min="1" max="1" width="21.75" style="1" customWidth="1"/>
    <col min="2" max="2" width="46.75" style="1" customWidth="1"/>
    <col min="3" max="3" width="20.75" style="1" customWidth="1"/>
    <col min="4" max="4" width="21.25" style="1" customWidth="1"/>
    <col min="5" max="5" width="20" style="1" customWidth="1"/>
    <col min="6" max="6" width="19.25" style="1" customWidth="1"/>
    <col min="7" max="7" width="12.5" style="1" bestFit="1" customWidth="1"/>
    <col min="8" max="8" width="16" style="1" customWidth="1"/>
    <col min="9" max="9" width="12.5" style="1" bestFit="1" customWidth="1"/>
    <col min="10" max="10" width="14.25" style="1" customWidth="1"/>
    <col min="11" max="16384" width="10.75" style="1"/>
  </cols>
  <sheetData>
    <row r="1" spans="1:10" ht="37.15" customHeight="1">
      <c r="A1" s="227" t="s">
        <v>0</v>
      </c>
      <c r="B1" s="227"/>
      <c r="C1" s="227"/>
      <c r="D1" s="227"/>
      <c r="E1" s="227"/>
      <c r="F1" s="227"/>
    </row>
    <row r="2" spans="1:10" ht="15.75">
      <c r="A2" s="218" t="s">
        <v>1</v>
      </c>
      <c r="B2" s="218"/>
      <c r="C2" s="218"/>
      <c r="D2" s="218"/>
      <c r="E2" s="218"/>
      <c r="F2" s="218"/>
    </row>
    <row r="4" spans="1:10" ht="71.25" customHeight="1">
      <c r="A4" s="224" t="s">
        <v>2</v>
      </c>
      <c r="B4" s="224"/>
      <c r="C4" s="224"/>
      <c r="D4" s="224"/>
      <c r="E4" s="224"/>
      <c r="F4" s="224"/>
      <c r="G4" s="2"/>
      <c r="H4" s="2" t="s">
        <v>3</v>
      </c>
      <c r="I4" s="2"/>
      <c r="J4" s="2"/>
    </row>
    <row r="5" spans="1:10" ht="23.25" customHeight="1">
      <c r="A5" s="229" t="s">
        <v>4</v>
      </c>
      <c r="B5" s="229"/>
      <c r="C5" s="229"/>
      <c r="D5" s="229"/>
      <c r="E5" s="113"/>
      <c r="F5" s="113"/>
      <c r="G5" s="2"/>
      <c r="H5" s="2"/>
      <c r="I5" s="2"/>
      <c r="J5" s="2"/>
    </row>
    <row r="6" spans="1:10" ht="20.100000000000001" customHeight="1">
      <c r="F6" s="113"/>
      <c r="G6" s="2"/>
      <c r="H6" s="2"/>
      <c r="I6" s="2"/>
      <c r="J6" s="2"/>
    </row>
    <row r="7" spans="1:10" ht="20.100000000000001" customHeight="1">
      <c r="A7" s="3" t="s">
        <v>5</v>
      </c>
      <c r="B7" s="3" t="s">
        <v>6</v>
      </c>
      <c r="C7" s="3" t="s">
        <v>7</v>
      </c>
      <c r="F7" s="113"/>
      <c r="G7" s="2"/>
      <c r="H7" s="2"/>
      <c r="I7" s="2"/>
      <c r="J7" s="2"/>
    </row>
    <row r="8" spans="1:10" ht="20.100000000000001" customHeight="1">
      <c r="A8" s="220" t="s">
        <v>8</v>
      </c>
      <c r="B8" s="22" t="s">
        <v>9</v>
      </c>
      <c r="C8" s="24">
        <v>229760870</v>
      </c>
      <c r="F8" s="113"/>
      <c r="G8" s="2"/>
      <c r="H8" s="2"/>
      <c r="I8" s="2"/>
      <c r="J8" s="2"/>
    </row>
    <row r="9" spans="1:10" ht="20.100000000000001" customHeight="1">
      <c r="A9" s="221"/>
      <c r="B9" s="22" t="s">
        <v>10</v>
      </c>
      <c r="C9" s="24">
        <v>229760870</v>
      </c>
      <c r="F9" s="113"/>
      <c r="G9" s="2"/>
      <c r="H9" s="2"/>
      <c r="I9" s="2"/>
      <c r="J9" s="2"/>
    </row>
    <row r="10" spans="1:10" ht="20.100000000000001" customHeight="1">
      <c r="A10" s="25" t="s">
        <v>11</v>
      </c>
      <c r="B10" s="22" t="s">
        <v>12</v>
      </c>
      <c r="C10" s="24">
        <v>229532870</v>
      </c>
      <c r="F10" s="113"/>
      <c r="G10" s="2"/>
      <c r="H10" s="2"/>
      <c r="I10" s="2"/>
      <c r="J10" s="2"/>
    </row>
    <row r="11" spans="1:10" ht="20.100000000000001" customHeight="1">
      <c r="A11" s="25" t="s">
        <v>13</v>
      </c>
      <c r="B11" s="114" t="s">
        <v>14</v>
      </c>
      <c r="C11" s="24">
        <v>228782904</v>
      </c>
      <c r="F11" s="113"/>
      <c r="G11" s="2"/>
      <c r="H11" s="2"/>
      <c r="I11" s="2"/>
      <c r="J11" s="2"/>
    </row>
    <row r="12" spans="1:10" ht="20.100000000000001" customHeight="1">
      <c r="A12" s="25" t="s">
        <v>15</v>
      </c>
      <c r="B12" s="22" t="s">
        <v>16</v>
      </c>
      <c r="C12" s="24">
        <v>218643020</v>
      </c>
      <c r="F12" s="113"/>
      <c r="G12" s="2"/>
      <c r="H12" s="2"/>
      <c r="I12" s="2"/>
      <c r="J12" s="2"/>
    </row>
    <row r="13" spans="1:10" ht="20.100000000000001" customHeight="1">
      <c r="A13" s="25" t="s">
        <v>17</v>
      </c>
      <c r="B13" s="114" t="s">
        <v>18</v>
      </c>
      <c r="C13" s="24">
        <v>228875996</v>
      </c>
      <c r="F13" s="113"/>
      <c r="G13" s="2"/>
      <c r="H13" s="2"/>
      <c r="I13" s="2"/>
      <c r="J13" s="2"/>
    </row>
    <row r="14" spans="1:10" ht="28.5" customHeight="1">
      <c r="A14" s="25" t="s">
        <v>19</v>
      </c>
      <c r="B14" s="22" t="s">
        <v>20</v>
      </c>
      <c r="C14" s="24">
        <v>221055475</v>
      </c>
      <c r="F14" s="113"/>
      <c r="G14" s="2"/>
      <c r="H14" s="2"/>
      <c r="I14" s="2"/>
      <c r="J14" s="2"/>
    </row>
    <row r="15" spans="1:10" ht="42" customHeight="1">
      <c r="A15" s="25" t="s">
        <v>21</v>
      </c>
      <c r="B15" s="22" t="s">
        <v>22</v>
      </c>
      <c r="C15" s="24">
        <v>226649570</v>
      </c>
      <c r="F15" s="113"/>
      <c r="G15" s="2"/>
      <c r="H15" s="2"/>
      <c r="I15" s="2"/>
      <c r="J15" s="2"/>
    </row>
    <row r="16" spans="1:10" ht="20.100000000000001" customHeight="1">
      <c r="A16" s="113"/>
      <c r="B16" s="113"/>
      <c r="C16" s="113"/>
      <c r="E16" s="113"/>
      <c r="F16" s="113"/>
      <c r="G16" s="2"/>
      <c r="H16" s="2"/>
      <c r="I16" s="2"/>
      <c r="J16" s="2"/>
    </row>
    <row r="18" spans="1:8" s="5" customFormat="1" ht="31.5">
      <c r="A18" s="3" t="s">
        <v>5</v>
      </c>
      <c r="B18" s="3" t="s">
        <v>6</v>
      </c>
      <c r="C18" s="3" t="s">
        <v>23</v>
      </c>
      <c r="D18" s="3" t="s">
        <v>24</v>
      </c>
      <c r="E18" s="3" t="s">
        <v>25</v>
      </c>
      <c r="F18" s="4" t="s">
        <v>26</v>
      </c>
    </row>
    <row r="19" spans="1:8" s="5" customFormat="1" ht="20.25" customHeight="1">
      <c r="A19" s="220" t="s">
        <v>8</v>
      </c>
      <c r="B19" s="22" t="s">
        <v>9</v>
      </c>
      <c r="C19" s="23" t="s">
        <v>27</v>
      </c>
      <c r="D19" s="24" t="s">
        <v>28</v>
      </c>
      <c r="E19" s="24">
        <v>229760870</v>
      </c>
      <c r="F19" s="82">
        <f t="shared" ref="F19:F26" si="0">IF(E19&lt;=$E$43,(30*(1-(($E$43-E19)/$E$43))),(30*(1-(2*(ABS($E$43-E19)/$E$43)))))</f>
        <v>29.683805967184018</v>
      </c>
    </row>
    <row r="20" spans="1:8" s="5" customFormat="1" ht="19.899999999999999" customHeight="1">
      <c r="A20" s="221"/>
      <c r="B20" s="22" t="s">
        <v>10</v>
      </c>
      <c r="C20" s="23" t="s">
        <v>29</v>
      </c>
      <c r="D20" s="24" t="s">
        <v>28</v>
      </c>
      <c r="E20" s="24">
        <v>229760870</v>
      </c>
      <c r="F20" s="82">
        <f t="shared" si="0"/>
        <v>29.683805967184018</v>
      </c>
    </row>
    <row r="21" spans="1:8" s="5" customFormat="1">
      <c r="A21" s="25" t="s">
        <v>11</v>
      </c>
      <c r="B21" s="22" t="s">
        <v>12</v>
      </c>
      <c r="C21" s="23" t="s">
        <v>27</v>
      </c>
      <c r="D21" s="24" t="s">
        <v>28</v>
      </c>
      <c r="E21" s="24">
        <v>229532870</v>
      </c>
      <c r="F21" s="82">
        <f t="shared" si="0"/>
        <v>29.74365990244933</v>
      </c>
    </row>
    <row r="22" spans="1:8" s="5" customFormat="1" ht="48.75" customHeight="1">
      <c r="A22" s="25" t="s">
        <v>13</v>
      </c>
      <c r="B22" s="114" t="s">
        <v>14</v>
      </c>
      <c r="C22" s="115" t="s">
        <v>27</v>
      </c>
      <c r="D22" s="158" t="s">
        <v>30</v>
      </c>
      <c r="E22" s="24"/>
      <c r="F22" s="82">
        <f t="shared" si="0"/>
        <v>0</v>
      </c>
    </row>
    <row r="23" spans="1:8" s="5" customFormat="1" ht="19.899999999999999" customHeight="1">
      <c r="A23" s="25" t="s">
        <v>15</v>
      </c>
      <c r="B23" s="114" t="s">
        <v>16</v>
      </c>
      <c r="C23" s="115" t="s">
        <v>27</v>
      </c>
      <c r="D23" s="158" t="s">
        <v>30</v>
      </c>
      <c r="E23" s="24"/>
      <c r="F23" s="82">
        <f t="shared" si="0"/>
        <v>0</v>
      </c>
    </row>
    <row r="24" spans="1:8" s="5" customFormat="1" ht="45.75" customHeight="1">
      <c r="A24" s="25" t="s">
        <v>17</v>
      </c>
      <c r="B24" s="114" t="s">
        <v>18</v>
      </c>
      <c r="C24" s="115" t="s">
        <v>27</v>
      </c>
      <c r="D24" s="158" t="s">
        <v>30</v>
      </c>
      <c r="E24" s="24"/>
      <c r="F24" s="82">
        <f t="shared" si="0"/>
        <v>0</v>
      </c>
      <c r="H24" s="5" t="s">
        <v>31</v>
      </c>
    </row>
    <row r="25" spans="1:8" s="5" customFormat="1" ht="19.5" customHeight="1">
      <c r="A25" s="25" t="s">
        <v>19</v>
      </c>
      <c r="B25" s="22" t="s">
        <v>20</v>
      </c>
      <c r="C25" s="23" t="s">
        <v>27</v>
      </c>
      <c r="D25" s="24" t="s">
        <v>28</v>
      </c>
      <c r="E25" s="24">
        <v>221055475</v>
      </c>
      <c r="F25" s="82">
        <f t="shared" si="0"/>
        <v>29.015438795379524</v>
      </c>
    </row>
    <row r="26" spans="1:8" s="5" customFormat="1" ht="40.5" customHeight="1">
      <c r="A26" s="25" t="s">
        <v>21</v>
      </c>
      <c r="B26" s="22" t="s">
        <v>22</v>
      </c>
      <c r="C26" s="23" t="s">
        <v>27</v>
      </c>
      <c r="D26" s="24" t="s">
        <v>28</v>
      </c>
      <c r="E26" s="24">
        <v>226649570</v>
      </c>
      <c r="F26" s="82">
        <f t="shared" si="0"/>
        <v>29.749712040989202</v>
      </c>
    </row>
    <row r="27" spans="1:8" ht="25.15" customHeight="1">
      <c r="H27" s="5"/>
    </row>
    <row r="28" spans="1:8" ht="15.75">
      <c r="A28" s="223" t="s">
        <v>32</v>
      </c>
      <c r="B28" s="223"/>
      <c r="C28" s="223"/>
    </row>
    <row r="29" spans="1:8">
      <c r="F29" s="17"/>
      <c r="G29" s="18"/>
    </row>
    <row r="30" spans="1:8" s="6" customFormat="1" ht="30" customHeight="1">
      <c r="A30" s="116" t="s">
        <v>33</v>
      </c>
      <c r="B30" s="116" t="s">
        <v>34</v>
      </c>
      <c r="C30" s="116" t="s">
        <v>35</v>
      </c>
      <c r="E30" s="17"/>
      <c r="F30" s="17"/>
      <c r="G30" s="18"/>
    </row>
    <row r="31" spans="1:8">
      <c r="A31" s="25" t="s">
        <v>36</v>
      </c>
      <c r="B31" s="25">
        <v>1</v>
      </c>
      <c r="C31" s="117" t="s">
        <v>37</v>
      </c>
      <c r="E31" s="17"/>
      <c r="F31" s="17"/>
      <c r="G31" s="18"/>
    </row>
    <row r="32" spans="1:8">
      <c r="A32" s="122" t="s">
        <v>38</v>
      </c>
      <c r="B32" s="122">
        <v>2</v>
      </c>
      <c r="C32" s="119" t="s">
        <v>39</v>
      </c>
      <c r="E32" s="17"/>
      <c r="F32" s="17"/>
      <c r="G32" s="18"/>
    </row>
    <row r="33" spans="1:7" ht="30">
      <c r="A33" s="25" t="s">
        <v>40</v>
      </c>
      <c r="B33" s="25">
        <v>3</v>
      </c>
      <c r="C33" s="121" t="s">
        <v>41</v>
      </c>
      <c r="E33" s="17"/>
      <c r="F33" s="17"/>
      <c r="G33" s="18"/>
    </row>
    <row r="34" spans="1:7">
      <c r="E34" s="17"/>
      <c r="F34" s="17"/>
      <c r="G34" s="18"/>
    </row>
    <row r="35" spans="1:7" ht="15.75">
      <c r="A35" s="7" t="s">
        <v>42</v>
      </c>
      <c r="B35" s="8">
        <v>3730.49</v>
      </c>
      <c r="C35" s="8"/>
      <c r="F35" s="17"/>
      <c r="G35" s="18"/>
    </row>
    <row r="36" spans="1:7">
      <c r="F36" s="19"/>
      <c r="G36" s="20"/>
    </row>
    <row r="37" spans="1:7">
      <c r="F37" s="21"/>
      <c r="G37" s="21"/>
    </row>
    <row r="41" spans="1:7" ht="58.9" customHeight="1">
      <c r="E41" s="9" t="str">
        <f>+C32</f>
        <v>Media aritmética alta</v>
      </c>
    </row>
    <row r="43" spans="1:7" ht="15.75">
      <c r="E43" s="14">
        <f>AVERAGE(E19,AVERAGE(E19:E26))</f>
        <v>228556400.5</v>
      </c>
      <c r="F43" s="15">
        <f>(MAX(E19:E26)+AVERAGE(E19:E26))/2</f>
        <v>228556400.5</v>
      </c>
    </row>
    <row r="45" spans="1:7" ht="47.25">
      <c r="E45" s="11" t="s">
        <v>43</v>
      </c>
    </row>
    <row r="46" spans="1:7" ht="15.75">
      <c r="E46" s="10">
        <v>229760870</v>
      </c>
    </row>
    <row r="47" spans="1:7">
      <c r="F47" s="12"/>
    </row>
    <row r="49" spans="1:3" ht="15.75">
      <c r="A49" s="218"/>
      <c r="B49" s="218"/>
      <c r="C49" s="218"/>
    </row>
    <row r="51" spans="1:3" ht="15.75">
      <c r="A51" s="228"/>
      <c r="B51" s="228"/>
      <c r="C51" s="228"/>
    </row>
  </sheetData>
  <mergeCells count="9">
    <mergeCell ref="A1:F1"/>
    <mergeCell ref="A2:F2"/>
    <mergeCell ref="A49:C49"/>
    <mergeCell ref="A51:C51"/>
    <mergeCell ref="A5:D5"/>
    <mergeCell ref="A28:C28"/>
    <mergeCell ref="A8:A9"/>
    <mergeCell ref="A4:F4"/>
    <mergeCell ref="A19:A20"/>
  </mergeCells>
  <phoneticPr fontId="18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D2D58-DDC5-43C6-8C42-58EE019DE6A5}">
  <sheetPr>
    <tabColor rgb="FF7030A0"/>
  </sheetPr>
  <dimension ref="B1:K69"/>
  <sheetViews>
    <sheetView topLeftCell="A33" zoomScale="70" zoomScaleNormal="70" zoomScaleSheetLayoutView="100" workbookViewId="0">
      <selection activeCell="I54" sqref="I54"/>
    </sheetView>
  </sheetViews>
  <sheetFormatPr defaultColWidth="11" defaultRowHeight="14.25"/>
  <cols>
    <col min="1" max="1" width="11" style="32"/>
    <col min="2" max="2" width="5.125" style="32" customWidth="1"/>
    <col min="3" max="3" width="51.625" style="32" customWidth="1"/>
    <col min="4" max="4" width="10.625" style="32" customWidth="1"/>
    <col min="5" max="5" width="13.25" style="32" customWidth="1"/>
    <col min="6" max="6" width="21.125" style="32" customWidth="1"/>
    <col min="7" max="7" width="33.75" style="32" customWidth="1"/>
    <col min="8" max="8" width="16.25" style="32" bestFit="1" customWidth="1"/>
    <col min="9" max="9" width="41.5" style="32" customWidth="1"/>
    <col min="10" max="10" width="24.875" style="32" customWidth="1"/>
    <col min="11" max="11" width="14" style="32" customWidth="1"/>
    <col min="12" max="16384" width="11" style="32"/>
  </cols>
  <sheetData>
    <row r="1" spans="2:11" ht="15" thickBot="1"/>
    <row r="2" spans="2:11" ht="78" customHeight="1" thickBot="1">
      <c r="B2" s="234" t="str">
        <f>+'EVALUACIÓN PROPONENTES_MES1'!B3</f>
        <v>Objeto: LOTE 1 MODALIDAD INTEGRAL:“Prestar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v>
      </c>
      <c r="C2" s="235"/>
      <c r="D2" s="235"/>
      <c r="E2" s="235"/>
      <c r="F2" s="235"/>
      <c r="G2" s="235"/>
      <c r="H2" s="235"/>
      <c r="I2" s="235"/>
      <c r="J2" s="236"/>
    </row>
    <row r="4" spans="2:11" ht="14.25" customHeight="1">
      <c r="B4" s="237" t="s">
        <v>44</v>
      </c>
      <c r="C4" s="237"/>
      <c r="D4" s="237"/>
      <c r="E4" s="237"/>
    </row>
    <row r="5" spans="2:11" ht="15">
      <c r="B5" s="238" t="str">
        <f>+'EVALUACIÓN PROPONENTES_MES1'!B7</f>
        <v>VALOR PRESUPUESTO MENSUAL</v>
      </c>
      <c r="C5" s="238"/>
      <c r="D5" s="239">
        <f>+'EVALUACIÓN PROPONENTES_MES1'!D7</f>
        <v>229760870</v>
      </c>
      <c r="E5" s="239"/>
    </row>
    <row r="9" spans="2:11" ht="18" customHeight="1">
      <c r="B9" s="230" t="s">
        <v>45</v>
      </c>
      <c r="C9" s="230"/>
      <c r="D9" s="230"/>
      <c r="E9" s="230"/>
      <c r="F9" s="230"/>
      <c r="G9" s="230"/>
      <c r="H9" s="230"/>
      <c r="I9" s="230"/>
      <c r="J9" s="230"/>
      <c r="K9" s="230"/>
    </row>
    <row r="10" spans="2:11" ht="18">
      <c r="B10" s="230"/>
      <c r="C10" s="230"/>
      <c r="D10" s="230"/>
      <c r="E10" s="230"/>
      <c r="F10" s="230"/>
      <c r="G10" s="230"/>
      <c r="H10" s="230"/>
      <c r="I10" s="230"/>
      <c r="J10" s="230"/>
      <c r="K10" s="230"/>
    </row>
    <row r="11" spans="2:11" ht="18" customHeight="1">
      <c r="B11" s="230" t="s">
        <v>46</v>
      </c>
      <c r="C11" s="230"/>
      <c r="D11" s="230"/>
      <c r="E11" s="230"/>
      <c r="F11" s="230"/>
      <c r="G11" s="230"/>
      <c r="H11" s="230"/>
      <c r="I11" s="230"/>
      <c r="J11" s="230"/>
      <c r="K11" s="230"/>
    </row>
    <row r="12" spans="2:11" ht="18">
      <c r="B12" s="31"/>
      <c r="C12" s="31"/>
      <c r="D12" s="31"/>
      <c r="E12" s="31"/>
      <c r="F12" s="31"/>
      <c r="G12" s="31"/>
      <c r="H12" s="31"/>
      <c r="I12" s="31"/>
      <c r="J12" s="31"/>
    </row>
    <row r="13" spans="2:11" ht="15" thickBot="1">
      <c r="F13" s="33"/>
    </row>
    <row r="14" spans="2:11" ht="150">
      <c r="B14" s="49" t="s">
        <v>47</v>
      </c>
      <c r="C14" s="50" t="s">
        <v>48</v>
      </c>
      <c r="D14" s="54" t="s">
        <v>49</v>
      </c>
      <c r="E14" s="54" t="s">
        <v>50</v>
      </c>
      <c r="F14" s="56" t="s">
        <v>51</v>
      </c>
      <c r="G14" s="57" t="s">
        <v>52</v>
      </c>
      <c r="H14" s="57" t="s">
        <v>53</v>
      </c>
      <c r="I14" s="57" t="s">
        <v>54</v>
      </c>
      <c r="J14" s="58" t="s">
        <v>55</v>
      </c>
      <c r="K14" s="123" t="s">
        <v>56</v>
      </c>
    </row>
    <row r="15" spans="2:11" ht="15.75">
      <c r="B15" s="78">
        <f>+'EVALUACIÓN PROPONENTES_MES1'!B16</f>
        <v>1</v>
      </c>
      <c r="C15" s="91" t="str">
        <f>+'EVALUACIÓN PROPONENTES_MES1'!C16</f>
        <v>CORPORACIÓN ORIENTAR PARA CRECER (CASA 1)</v>
      </c>
      <c r="D15" s="72">
        <f>+'EVALUACIÓN PROPONENTES_MES1'!D16</f>
        <v>46161</v>
      </c>
      <c r="E15" s="73" t="str">
        <f>+'EVALUACIÓN PROPONENTES_MES1'!E16</f>
        <v>7:28AM</v>
      </c>
      <c r="F15" s="74">
        <v>229760870</v>
      </c>
      <c r="G15" s="231">
        <f>+D5-F37</f>
        <v>1669650</v>
      </c>
      <c r="H15" s="231">
        <f>+D5-F39</f>
        <v>3860424.1666666567</v>
      </c>
      <c r="I15" s="36">
        <f t="shared" ref="I15:I20" si="0">+F15-$F$39</f>
        <v>3860424.1666666567</v>
      </c>
      <c r="J15" s="126">
        <f>+F15-$D$5</f>
        <v>0</v>
      </c>
      <c r="K15" s="124">
        <f>-($D$5-F15)/$D$5</f>
        <v>0</v>
      </c>
    </row>
    <row r="16" spans="2:11" ht="15.75">
      <c r="B16" s="78">
        <f>+'EVALUACIÓN PROPONENTES_MES1'!B17</f>
        <v>2</v>
      </c>
      <c r="C16" s="91" t="str">
        <f>+'EVALUACIÓN PROPONENTES_MES1'!C17</f>
        <v>CORPORACIÓN ORIENTAR PARA CRECER (CASA 2)</v>
      </c>
      <c r="D16" s="72">
        <f>+'EVALUACIÓN PROPONENTES_MES1'!D17</f>
        <v>46161</v>
      </c>
      <c r="E16" s="73" t="str">
        <f>+'EVALUACIÓN PROPONENTES_MES1'!E17</f>
        <v>7:28AM</v>
      </c>
      <c r="F16" s="74">
        <v>229760870</v>
      </c>
      <c r="G16" s="232"/>
      <c r="H16" s="232"/>
      <c r="I16" s="36">
        <f t="shared" si="0"/>
        <v>3860424.1666666567</v>
      </c>
      <c r="J16" s="126">
        <f t="shared" ref="J16:J20" si="1">+F16-$D$5</f>
        <v>0</v>
      </c>
      <c r="K16" s="124">
        <f t="shared" ref="K16:K20" si="2">-($D$5-F16)/$D$5</f>
        <v>0</v>
      </c>
    </row>
    <row r="17" spans="2:11" ht="15.75">
      <c r="B17" s="78">
        <f>+'EVALUACIÓN PROPONENTES_MES1'!B18</f>
        <v>3</v>
      </c>
      <c r="C17" s="71" t="str">
        <f>+'EVALUACIÓN PROPONENTES_MES1'!C18</f>
        <v>FEZ INVERSIONES SAS</v>
      </c>
      <c r="D17" s="72">
        <f>+'EVALUACIÓN PROPONENTES_MES1'!D18</f>
        <v>46161</v>
      </c>
      <c r="E17" s="73" t="str">
        <f>+'EVALUACIÓN PROPONENTES_MES1'!E18</f>
        <v>3:22PM</v>
      </c>
      <c r="F17" s="74">
        <v>229532870</v>
      </c>
      <c r="G17" s="232"/>
      <c r="H17" s="232"/>
      <c r="I17" s="36">
        <f t="shared" si="0"/>
        <v>3632424.1666666567</v>
      </c>
      <c r="J17" s="126">
        <f t="shared" si="1"/>
        <v>-228000</v>
      </c>
      <c r="K17" s="124">
        <f t="shared" si="2"/>
        <v>-9.9233607532910203E-4</v>
      </c>
    </row>
    <row r="18" spans="2:11" ht="15.75">
      <c r="B18" s="78">
        <f>+'EVALUACIÓN PROPONENTES_MES1'!B19</f>
        <v>5</v>
      </c>
      <c r="C18" s="91" t="str">
        <f>+'EVALUACIÓN PROPONENTES_MES1'!C19</f>
        <v>ASOCIACION CRISTIANA NUEVO NACIMIENTO -ACNN</v>
      </c>
      <c r="D18" s="72">
        <f>+'EVALUACIÓN PROPONENTES_MES1'!D19</f>
        <v>46161</v>
      </c>
      <c r="E18" s="73" t="str">
        <f>+'EVALUACIÓN PROPONENTES_MES1'!E19</f>
        <v>6:11PM</v>
      </c>
      <c r="F18" s="74">
        <v>218643020</v>
      </c>
      <c r="G18" s="232"/>
      <c r="H18" s="232"/>
      <c r="I18" s="36">
        <f t="shared" si="0"/>
        <v>-7257425.8333333433</v>
      </c>
      <c r="J18" s="126">
        <f t="shared" si="1"/>
        <v>-11117850</v>
      </c>
      <c r="K18" s="124">
        <f t="shared" si="2"/>
        <v>-4.8388787873235334E-2</v>
      </c>
    </row>
    <row r="19" spans="2:11" ht="15.75">
      <c r="B19" s="78">
        <f>+'EVALUACIÓN PROPONENTES_MES1'!B20</f>
        <v>7</v>
      </c>
      <c r="C19" s="91" t="str">
        <f>+'EVALUACIÓN PROPONENTES_MES1'!C20</f>
        <v>SOCIEDAD INVERSIONES PF SAS</v>
      </c>
      <c r="D19" s="72">
        <f>+'EVALUACIÓN PROPONENTES_MES1'!D20</f>
        <v>46161</v>
      </c>
      <c r="E19" s="73" t="str">
        <f>+'EVALUACIÓN PROPONENTES_MES1'!E20</f>
        <v>6:41PM</v>
      </c>
      <c r="F19" s="74">
        <v>221055475</v>
      </c>
      <c r="G19" s="232"/>
      <c r="H19" s="232"/>
      <c r="I19" s="36">
        <f t="shared" si="0"/>
        <v>-4844970.8333333433</v>
      </c>
      <c r="J19" s="126">
        <f t="shared" si="1"/>
        <v>-8705395</v>
      </c>
      <c r="K19" s="124">
        <f t="shared" si="2"/>
        <v>-3.7888936440743808E-2</v>
      </c>
    </row>
    <row r="20" spans="2:11" ht="29.25" thickBot="1">
      <c r="B20" s="92">
        <f>+'EVALUACIÓN PROPONENTES_MES1'!B21</f>
        <v>8</v>
      </c>
      <c r="C20" s="95" t="str">
        <f>+'EVALUACIÓN PROPONENTES_MES1'!C21</f>
        <v>CORPORACION SOCIAL PARA EL DESARROLLO DE LOS GRUPOS ETNICOS Y CULTURALES MULTIETNIAS</v>
      </c>
      <c r="D20" s="90">
        <f>+'EVALUACIÓN PROPONENTES_MES1'!D21</f>
        <v>46161</v>
      </c>
      <c r="E20" s="93" t="str">
        <f>+'EVALUACIÓN PROPONENTES_MES1'!E21</f>
        <v>9:07PM</v>
      </c>
      <c r="F20" s="94">
        <v>226649570</v>
      </c>
      <c r="G20" s="233"/>
      <c r="H20" s="233"/>
      <c r="I20" s="112">
        <f t="shared" si="0"/>
        <v>749124.16666665673</v>
      </c>
      <c r="J20" s="127">
        <f t="shared" si="1"/>
        <v>-3111300</v>
      </c>
      <c r="K20" s="125">
        <f t="shared" si="2"/>
        <v>-1.3541470312155416E-2</v>
      </c>
    </row>
    <row r="21" spans="2:11" ht="15.75">
      <c r="B21" s="38"/>
      <c r="C21" s="43"/>
      <c r="D21" s="38"/>
      <c r="E21" s="40"/>
      <c r="F21" s="41"/>
      <c r="G21" s="41"/>
      <c r="I21" s="42"/>
      <c r="J21" s="33"/>
    </row>
    <row r="22" spans="2:11" ht="15.75">
      <c r="B22" s="38"/>
      <c r="C22" s="43"/>
      <c r="D22" s="38"/>
      <c r="E22" s="40"/>
      <c r="F22" s="41"/>
      <c r="G22" s="41"/>
      <c r="I22" s="42"/>
      <c r="J22" s="33"/>
    </row>
    <row r="23" spans="2:11" ht="18" customHeight="1">
      <c r="B23" s="230" t="s">
        <v>57</v>
      </c>
      <c r="C23" s="230"/>
      <c r="D23" s="230"/>
      <c r="E23" s="230"/>
      <c r="F23" s="230"/>
      <c r="G23" s="230"/>
      <c r="H23" s="230"/>
      <c r="I23" s="230"/>
      <c r="J23" s="230"/>
      <c r="K23" s="230"/>
    </row>
    <row r="24" spans="2:11" ht="15.75">
      <c r="B24" s="38"/>
      <c r="C24" s="43"/>
      <c r="D24" s="38"/>
      <c r="E24" s="40"/>
      <c r="F24" s="41"/>
      <c r="G24" s="41"/>
      <c r="I24" s="42"/>
      <c r="J24" s="33"/>
    </row>
    <row r="25" spans="2:11" ht="15.75">
      <c r="B25" s="32" t="s">
        <v>58</v>
      </c>
      <c r="F25" s="33"/>
      <c r="G25" s="41"/>
      <c r="I25" s="42"/>
      <c r="J25" s="33"/>
    </row>
    <row r="26" spans="2:11" ht="16.5" thickBot="1">
      <c r="F26" s="33"/>
      <c r="G26" s="41"/>
      <c r="I26" s="42"/>
      <c r="J26" s="33"/>
    </row>
    <row r="27" spans="2:11" ht="30">
      <c r="B27" s="49" t="s">
        <v>47</v>
      </c>
      <c r="C27" s="50" t="s">
        <v>48</v>
      </c>
      <c r="D27" s="54" t="s">
        <v>49</v>
      </c>
      <c r="E27" s="54" t="s">
        <v>50</v>
      </c>
      <c r="F27" s="55" t="s">
        <v>51</v>
      </c>
      <c r="G27" s="41"/>
      <c r="I27" s="42"/>
      <c r="J27" s="33"/>
    </row>
    <row r="28" spans="2:11" ht="15.75">
      <c r="B28" s="78">
        <f t="shared" ref="B28:F33" si="3">+B15</f>
        <v>1</v>
      </c>
      <c r="C28" s="91" t="str">
        <f t="shared" si="3"/>
        <v>CORPORACIÓN ORIENTAR PARA CRECER (CASA 1)</v>
      </c>
      <c r="D28" s="72">
        <f t="shared" si="3"/>
        <v>46161</v>
      </c>
      <c r="E28" s="73" t="str">
        <f t="shared" si="3"/>
        <v>7:28AM</v>
      </c>
      <c r="F28" s="77">
        <f t="shared" si="3"/>
        <v>229760870</v>
      </c>
      <c r="G28" s="41"/>
      <c r="I28" s="42"/>
      <c r="J28" s="33"/>
    </row>
    <row r="29" spans="2:11" ht="15.75">
      <c r="B29" s="78">
        <f t="shared" si="3"/>
        <v>2</v>
      </c>
      <c r="C29" s="91" t="str">
        <f t="shared" si="3"/>
        <v>CORPORACIÓN ORIENTAR PARA CRECER (CASA 2)</v>
      </c>
      <c r="D29" s="72">
        <f t="shared" si="3"/>
        <v>46161</v>
      </c>
      <c r="E29" s="73" t="str">
        <f t="shared" si="3"/>
        <v>7:28AM</v>
      </c>
      <c r="F29" s="77">
        <f t="shared" si="3"/>
        <v>229760870</v>
      </c>
      <c r="G29" s="41"/>
      <c r="I29" s="42"/>
      <c r="J29" s="33"/>
    </row>
    <row r="30" spans="2:11" ht="15.75">
      <c r="B30" s="78">
        <f t="shared" si="3"/>
        <v>3</v>
      </c>
      <c r="C30" s="71" t="str">
        <f>+C17</f>
        <v>FEZ INVERSIONES SAS</v>
      </c>
      <c r="D30" s="72">
        <f t="shared" si="3"/>
        <v>46161</v>
      </c>
      <c r="E30" s="73" t="str">
        <f t="shared" si="3"/>
        <v>3:22PM</v>
      </c>
      <c r="F30" s="77">
        <f t="shared" si="3"/>
        <v>229532870</v>
      </c>
      <c r="G30" s="41"/>
      <c r="I30" s="42"/>
      <c r="J30" s="33"/>
    </row>
    <row r="31" spans="2:11" ht="15.75">
      <c r="B31" s="78">
        <f t="shared" si="3"/>
        <v>5</v>
      </c>
      <c r="C31" s="91" t="str">
        <f t="shared" si="3"/>
        <v>ASOCIACION CRISTIANA NUEVO NACIMIENTO -ACNN</v>
      </c>
      <c r="D31" s="72">
        <f t="shared" si="3"/>
        <v>46161</v>
      </c>
      <c r="E31" s="73" t="str">
        <f t="shared" si="3"/>
        <v>6:11PM</v>
      </c>
      <c r="F31" s="77">
        <f t="shared" si="3"/>
        <v>218643020</v>
      </c>
      <c r="G31" s="41"/>
      <c r="I31" s="42"/>
      <c r="J31" s="33"/>
    </row>
    <row r="32" spans="2:11" ht="15.75">
      <c r="B32" s="78">
        <f t="shared" si="3"/>
        <v>7</v>
      </c>
      <c r="C32" s="91" t="str">
        <f t="shared" si="3"/>
        <v>SOCIEDAD INVERSIONES PF SAS</v>
      </c>
      <c r="D32" s="72">
        <f t="shared" si="3"/>
        <v>46161</v>
      </c>
      <c r="E32" s="73" t="str">
        <f t="shared" si="3"/>
        <v>6:41PM</v>
      </c>
      <c r="F32" s="77">
        <f t="shared" si="3"/>
        <v>221055475</v>
      </c>
      <c r="G32" s="41"/>
      <c r="I32" s="42"/>
      <c r="J32" s="33"/>
    </row>
    <row r="33" spans="2:10" ht="29.25" thickBot="1">
      <c r="B33" s="92">
        <f t="shared" si="3"/>
        <v>8</v>
      </c>
      <c r="C33" s="95" t="str">
        <f t="shared" si="3"/>
        <v>CORPORACION SOCIAL PARA EL DESARROLLO DE LOS GRUPOS ETNICOS Y CULTURALES MULTIETNIAS</v>
      </c>
      <c r="D33" s="90">
        <f t="shared" si="3"/>
        <v>46161</v>
      </c>
      <c r="E33" s="93" t="str">
        <f t="shared" si="3"/>
        <v>9:07PM</v>
      </c>
      <c r="F33" s="96">
        <f t="shared" si="3"/>
        <v>226649570</v>
      </c>
      <c r="G33" s="41"/>
      <c r="I33" s="42"/>
      <c r="J33" s="33"/>
    </row>
    <row r="34" spans="2:10" ht="15.75">
      <c r="B34" s="38"/>
      <c r="C34" s="43"/>
      <c r="D34" s="38"/>
      <c r="E34" s="40"/>
      <c r="F34" s="41"/>
      <c r="G34" s="41"/>
      <c r="I34" s="42"/>
      <c r="J34" s="33"/>
    </row>
    <row r="35" spans="2:10">
      <c r="B35" s="32" t="s">
        <v>59</v>
      </c>
      <c r="F35" s="33"/>
    </row>
    <row r="36" spans="2:10">
      <c r="F36" s="33"/>
    </row>
    <row r="37" spans="2:10" ht="15.75">
      <c r="C37" s="44" t="s">
        <v>60</v>
      </c>
      <c r="E37" s="33"/>
      <c r="F37" s="45">
        <f>MEDIAN(F28:F33)</f>
        <v>228091220</v>
      </c>
      <c r="H37" s="42"/>
    </row>
    <row r="38" spans="2:10">
      <c r="C38" s="43"/>
      <c r="E38" s="33"/>
      <c r="F38" s="33"/>
    </row>
    <row r="39" spans="2:10" ht="15">
      <c r="C39" s="44" t="s">
        <v>61</v>
      </c>
      <c r="E39" s="33"/>
      <c r="F39" s="45">
        <f>AVERAGE(F28:F33)</f>
        <v>225900445.83333334</v>
      </c>
    </row>
    <row r="40" spans="2:10" ht="15" customHeight="1">
      <c r="C40" s="43"/>
      <c r="E40" s="33"/>
      <c r="F40" s="33"/>
    </row>
    <row r="41" spans="2:10">
      <c r="B41" s="32" t="s">
        <v>62</v>
      </c>
      <c r="C41" s="43"/>
      <c r="E41" s="33"/>
      <c r="F41" s="33"/>
    </row>
    <row r="42" spans="2:10">
      <c r="C42" s="43"/>
      <c r="E42" s="33"/>
      <c r="F42" s="33"/>
    </row>
    <row r="43" spans="2:10" ht="15" thickBot="1">
      <c r="C43" s="43"/>
      <c r="E43" s="33"/>
      <c r="F43" s="33"/>
    </row>
    <row r="44" spans="2:10" ht="30">
      <c r="B44" s="49" t="s">
        <v>47</v>
      </c>
      <c r="C44" s="50" t="s">
        <v>48</v>
      </c>
      <c r="D44" s="54" t="s">
        <v>49</v>
      </c>
      <c r="E44" s="54" t="s">
        <v>50</v>
      </c>
      <c r="F44" s="55" t="s">
        <v>51</v>
      </c>
      <c r="G44" s="63"/>
      <c r="H44" s="33"/>
    </row>
    <row r="45" spans="2:10">
      <c r="B45" s="59">
        <f t="shared" ref="B45:F50" si="4">+B28</f>
        <v>1</v>
      </c>
      <c r="C45" s="35" t="str">
        <f t="shared" si="4"/>
        <v>CORPORACIÓN ORIENTAR PARA CRECER (CASA 1)</v>
      </c>
      <c r="D45" s="52">
        <f t="shared" si="4"/>
        <v>46161</v>
      </c>
      <c r="E45" s="34" t="str">
        <f t="shared" si="4"/>
        <v>7:28AM</v>
      </c>
      <c r="F45" s="62">
        <f t="shared" si="4"/>
        <v>229760870</v>
      </c>
      <c r="G45" s="51">
        <f t="shared" ref="G45:G50" si="5">+(F45-$F$39)^2</f>
        <v>14902874746583.951</v>
      </c>
      <c r="H45" s="33"/>
    </row>
    <row r="46" spans="2:10">
      <c r="B46" s="59">
        <f t="shared" si="4"/>
        <v>2</v>
      </c>
      <c r="C46" s="35" t="str">
        <f t="shared" si="4"/>
        <v>CORPORACIÓN ORIENTAR PARA CRECER (CASA 2)</v>
      </c>
      <c r="D46" s="52">
        <f t="shared" si="4"/>
        <v>46161</v>
      </c>
      <c r="E46" s="34" t="str">
        <f t="shared" si="4"/>
        <v>7:28AM</v>
      </c>
      <c r="F46" s="62">
        <f t="shared" si="4"/>
        <v>229760870</v>
      </c>
      <c r="G46" s="51">
        <f t="shared" si="5"/>
        <v>14902874746583.951</v>
      </c>
      <c r="H46" s="33"/>
    </row>
    <row r="47" spans="2:10">
      <c r="B47" s="59">
        <f t="shared" si="4"/>
        <v>3</v>
      </c>
      <c r="C47" s="35" t="str">
        <f t="shared" si="4"/>
        <v>FEZ INVERSIONES SAS</v>
      </c>
      <c r="D47" s="52">
        <f t="shared" si="4"/>
        <v>46161</v>
      </c>
      <c r="E47" s="34" t="str">
        <f t="shared" si="4"/>
        <v>3:22PM</v>
      </c>
      <c r="F47" s="62">
        <f t="shared" si="4"/>
        <v>229532870</v>
      </c>
      <c r="G47" s="51">
        <f t="shared" si="5"/>
        <v>13194505326583.955</v>
      </c>
      <c r="H47" s="33"/>
    </row>
    <row r="48" spans="2:10">
      <c r="B48" s="59">
        <f t="shared" si="4"/>
        <v>5</v>
      </c>
      <c r="C48" s="35" t="str">
        <f t="shared" si="4"/>
        <v>ASOCIACION CRISTIANA NUEVO NACIMIENTO -ACNN</v>
      </c>
      <c r="D48" s="52">
        <f t="shared" si="4"/>
        <v>46161</v>
      </c>
      <c r="E48" s="34" t="str">
        <f t="shared" si="4"/>
        <v>6:11PM</v>
      </c>
      <c r="F48" s="62">
        <f t="shared" si="4"/>
        <v>218643020</v>
      </c>
      <c r="G48" s="51">
        <f t="shared" si="5"/>
        <v>52670229726334.172</v>
      </c>
      <c r="H48" s="33"/>
    </row>
    <row r="49" spans="2:10">
      <c r="B49" s="59">
        <f t="shared" si="4"/>
        <v>7</v>
      </c>
      <c r="C49" s="35" t="str">
        <f t="shared" si="4"/>
        <v>SOCIEDAD INVERSIONES PF SAS</v>
      </c>
      <c r="D49" s="52">
        <f t="shared" si="4"/>
        <v>46161</v>
      </c>
      <c r="E49" s="34" t="str">
        <f t="shared" si="4"/>
        <v>6:41PM</v>
      </c>
      <c r="F49" s="62">
        <f t="shared" si="4"/>
        <v>221055475</v>
      </c>
      <c r="G49" s="51">
        <f t="shared" si="5"/>
        <v>23473742375850.789</v>
      </c>
      <c r="H49" s="33"/>
    </row>
    <row r="50" spans="2:10" ht="29.25" thickBot="1">
      <c r="B50" s="92">
        <f t="shared" si="4"/>
        <v>8</v>
      </c>
      <c r="C50" s="95" t="str">
        <f t="shared" si="4"/>
        <v>CORPORACION SOCIAL PARA EL DESARROLLO DE LOS GRUPOS ETNICOS Y CULTURALES MULTIETNIAS</v>
      </c>
      <c r="D50" s="90">
        <f t="shared" si="4"/>
        <v>46161</v>
      </c>
      <c r="E50" s="93" t="str">
        <f t="shared" si="4"/>
        <v>9:07PM</v>
      </c>
      <c r="F50" s="96">
        <f t="shared" si="4"/>
        <v>226649570</v>
      </c>
      <c r="G50" s="97">
        <f t="shared" si="5"/>
        <v>561187017084.01294</v>
      </c>
      <c r="H50" s="33"/>
    </row>
    <row r="51" spans="2:10" ht="15.75" thickBot="1">
      <c r="C51" s="43"/>
      <c r="E51" s="33"/>
      <c r="F51" s="46" t="s">
        <v>63</v>
      </c>
      <c r="G51" s="64">
        <f>SUM(G45:G50)/(D52)</f>
        <v>19950902323170.137</v>
      </c>
      <c r="H51" s="33"/>
    </row>
    <row r="52" spans="2:10">
      <c r="C52" s="43" t="s">
        <v>64</v>
      </c>
      <c r="D52" s="38">
        <f>COUNT(B45:B50)</f>
        <v>6</v>
      </c>
      <c r="E52" s="33"/>
      <c r="F52" s="33"/>
      <c r="H52" s="33"/>
    </row>
    <row r="53" spans="2:10">
      <c r="C53" s="43"/>
      <c r="E53" s="33"/>
      <c r="F53" s="33"/>
      <c r="H53" s="33"/>
    </row>
    <row r="54" spans="2:10" ht="15">
      <c r="C54" s="44" t="s">
        <v>65</v>
      </c>
      <c r="F54" s="45">
        <f>SQRT(G51)</f>
        <v>4466643.2948210826</v>
      </c>
    </row>
    <row r="55" spans="2:10">
      <c r="F55" s="33"/>
    </row>
    <row r="56" spans="2:10">
      <c r="B56" s="32" t="s">
        <v>66</v>
      </c>
      <c r="C56" s="43"/>
      <c r="E56" s="33"/>
      <c r="F56" s="33"/>
    </row>
    <row r="57" spans="2:10">
      <c r="C57" s="43"/>
      <c r="E57" s="33"/>
      <c r="F57" s="33"/>
    </row>
    <row r="58" spans="2:10" ht="15">
      <c r="C58" s="44" t="s">
        <v>67</v>
      </c>
      <c r="F58" s="45">
        <f>+F37-F54</f>
        <v>223624576.70517892</v>
      </c>
    </row>
    <row r="59" spans="2:10">
      <c r="F59" s="33"/>
    </row>
    <row r="60" spans="2:10">
      <c r="F60" s="33"/>
    </row>
    <row r="61" spans="2:10" ht="15.75">
      <c r="B61" s="32" t="s">
        <v>68</v>
      </c>
      <c r="H61" s="47"/>
      <c r="I61" s="48"/>
      <c r="J61" s="33"/>
    </row>
    <row r="62" spans="2:10" ht="15" thickBot="1"/>
    <row r="63" spans="2:10" ht="44.25" customHeight="1" thickBot="1">
      <c r="B63" s="68" t="s">
        <v>47</v>
      </c>
      <c r="C63" s="69" t="s">
        <v>48</v>
      </c>
      <c r="D63" s="29" t="s">
        <v>49</v>
      </c>
      <c r="E63" s="29" t="s">
        <v>50</v>
      </c>
      <c r="F63" s="30" t="s">
        <v>51</v>
      </c>
      <c r="G63" s="76" t="s">
        <v>67</v>
      </c>
      <c r="H63" s="69" t="s">
        <v>69</v>
      </c>
      <c r="I63" s="70" t="s">
        <v>70</v>
      </c>
    </row>
    <row r="64" spans="2:10" ht="30" customHeight="1">
      <c r="B64" s="101">
        <f t="shared" ref="B64:F69" si="6">+B45</f>
        <v>1</v>
      </c>
      <c r="C64" s="102" t="str">
        <f t="shared" si="6"/>
        <v>CORPORACIÓN ORIENTAR PARA CRECER (CASA 1)</v>
      </c>
      <c r="D64" s="103">
        <f t="shared" si="6"/>
        <v>46161</v>
      </c>
      <c r="E64" s="104" t="str">
        <f t="shared" si="6"/>
        <v>7:28AM</v>
      </c>
      <c r="F64" s="105">
        <f t="shared" si="6"/>
        <v>229760870</v>
      </c>
      <c r="G64" s="106">
        <f>+$F$58</f>
        <v>223624576.70517892</v>
      </c>
      <c r="H64" s="106">
        <f>+F64-G64</f>
        <v>6136293.2948210835</v>
      </c>
      <c r="I64" s="159" t="s">
        <v>71</v>
      </c>
    </row>
    <row r="65" spans="2:9" ht="30" customHeight="1">
      <c r="B65" s="78">
        <f t="shared" si="6"/>
        <v>2</v>
      </c>
      <c r="C65" s="91" t="str">
        <f t="shared" si="6"/>
        <v>CORPORACIÓN ORIENTAR PARA CRECER (CASA 2)</v>
      </c>
      <c r="D65" s="72">
        <f t="shared" si="6"/>
        <v>46161</v>
      </c>
      <c r="E65" s="73" t="str">
        <f t="shared" si="6"/>
        <v>7:28AM</v>
      </c>
      <c r="F65" s="74">
        <f t="shared" si="6"/>
        <v>229760870</v>
      </c>
      <c r="G65" s="75">
        <f t="shared" ref="G65:G69" si="7">+$F$58</f>
        <v>223624576.70517892</v>
      </c>
      <c r="H65" s="75">
        <f t="shared" ref="H65:H68" si="8">+F65-G65</f>
        <v>6136293.2948210835</v>
      </c>
      <c r="I65" s="160" t="s">
        <v>71</v>
      </c>
    </row>
    <row r="66" spans="2:9" ht="30" customHeight="1">
      <c r="B66" s="79">
        <f t="shared" si="6"/>
        <v>3</v>
      </c>
      <c r="C66" s="71" t="str">
        <f t="shared" si="6"/>
        <v>FEZ INVERSIONES SAS</v>
      </c>
      <c r="D66" s="98">
        <f t="shared" si="6"/>
        <v>46161</v>
      </c>
      <c r="E66" s="81" t="str">
        <f t="shared" si="6"/>
        <v>3:22PM</v>
      </c>
      <c r="F66" s="99">
        <f t="shared" si="6"/>
        <v>229532870</v>
      </c>
      <c r="G66" s="100">
        <f t="shared" si="7"/>
        <v>223624576.70517892</v>
      </c>
      <c r="H66" s="100">
        <f t="shared" si="8"/>
        <v>5908293.2948210835</v>
      </c>
      <c r="I66" s="160" t="s">
        <v>71</v>
      </c>
    </row>
    <row r="67" spans="2:9" ht="30" customHeight="1">
      <c r="B67" s="79">
        <f t="shared" si="6"/>
        <v>5</v>
      </c>
      <c r="C67" s="71" t="str">
        <f t="shared" si="6"/>
        <v>ASOCIACION CRISTIANA NUEVO NACIMIENTO -ACNN</v>
      </c>
      <c r="D67" s="98">
        <f t="shared" si="6"/>
        <v>46161</v>
      </c>
      <c r="E67" s="81" t="str">
        <f t="shared" si="6"/>
        <v>6:11PM</v>
      </c>
      <c r="F67" s="128">
        <f t="shared" si="6"/>
        <v>218643020</v>
      </c>
      <c r="G67" s="129">
        <f t="shared" si="7"/>
        <v>223624576.70517892</v>
      </c>
      <c r="H67" s="129">
        <f>+F67-G67</f>
        <v>-4981556.7051789165</v>
      </c>
      <c r="I67" s="161" t="s">
        <v>72</v>
      </c>
    </row>
    <row r="68" spans="2:9" ht="30" customHeight="1">
      <c r="B68" s="79">
        <f t="shared" si="6"/>
        <v>7</v>
      </c>
      <c r="C68" s="71" t="str">
        <f t="shared" si="6"/>
        <v>SOCIEDAD INVERSIONES PF SAS</v>
      </c>
      <c r="D68" s="98">
        <f t="shared" si="6"/>
        <v>46161</v>
      </c>
      <c r="E68" s="81" t="str">
        <f t="shared" si="6"/>
        <v>6:41PM</v>
      </c>
      <c r="F68" s="128">
        <f t="shared" si="6"/>
        <v>221055475</v>
      </c>
      <c r="G68" s="129">
        <f t="shared" si="7"/>
        <v>223624576.70517892</v>
      </c>
      <c r="H68" s="129">
        <f t="shared" si="8"/>
        <v>-2569101.7051789165</v>
      </c>
      <c r="I68" s="161" t="s">
        <v>72</v>
      </c>
    </row>
    <row r="69" spans="2:9" ht="30" customHeight="1" thickBot="1">
      <c r="B69" s="107">
        <f t="shared" si="6"/>
        <v>8</v>
      </c>
      <c r="C69" s="95" t="str">
        <f t="shared" si="6"/>
        <v>CORPORACION SOCIAL PARA EL DESARROLLO DE LOS GRUPOS ETNICOS Y CULTURALES MULTIETNIAS</v>
      </c>
      <c r="D69" s="108">
        <f t="shared" si="6"/>
        <v>46161</v>
      </c>
      <c r="E69" s="109" t="str">
        <f t="shared" si="6"/>
        <v>9:07PM</v>
      </c>
      <c r="F69" s="110">
        <f t="shared" si="6"/>
        <v>226649570</v>
      </c>
      <c r="G69" s="111">
        <f t="shared" si="7"/>
        <v>223624576.70517892</v>
      </c>
      <c r="H69" s="111">
        <f t="shared" ref="H69" si="9">+F69-G69</f>
        <v>3024993.2948210835</v>
      </c>
      <c r="I69" s="162" t="s">
        <v>71</v>
      </c>
    </row>
  </sheetData>
  <mergeCells count="10">
    <mergeCell ref="B2:J2"/>
    <mergeCell ref="B4:E4"/>
    <mergeCell ref="B5:C5"/>
    <mergeCell ref="D5:E5"/>
    <mergeCell ref="B9:K9"/>
    <mergeCell ref="B10:K10"/>
    <mergeCell ref="B11:K11"/>
    <mergeCell ref="G15:G20"/>
    <mergeCell ref="H15:H20"/>
    <mergeCell ref="B23:K23"/>
  </mergeCells>
  <pageMargins left="0.7" right="0.7" top="0.75" bottom="0.75" header="0.3" footer="0.3"/>
  <pageSetup paperSize="9" scale="2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B58FD-C56C-46E6-9C05-D9B14A61AB25}">
  <sheetPr>
    <tabColor rgb="FF7030A0"/>
  </sheetPr>
  <dimension ref="B2:G21"/>
  <sheetViews>
    <sheetView zoomScale="80" zoomScaleNormal="80" workbookViewId="0">
      <selection activeCell="F25" sqref="F25"/>
    </sheetView>
  </sheetViews>
  <sheetFormatPr defaultColWidth="11" defaultRowHeight="14.25"/>
  <cols>
    <col min="1" max="1" width="11" style="27"/>
    <col min="2" max="2" width="5.125" style="27" customWidth="1"/>
    <col min="3" max="3" width="54" style="27" bestFit="1" customWidth="1"/>
    <col min="4" max="5" width="10.75" style="27" bestFit="1" customWidth="1"/>
    <col min="6" max="6" width="18.875" style="27" customWidth="1"/>
    <col min="7" max="7" width="45.75" style="27" bestFit="1" customWidth="1"/>
    <col min="8" max="16384" width="11" style="27"/>
  </cols>
  <sheetData>
    <row r="2" spans="2:7" ht="20.25">
      <c r="B2" s="240" t="str">
        <f>+'EVALUACIÓN 2026_lote_1_MES1'!A2</f>
        <v>SDMUJER-SAMC-001-2026</v>
      </c>
      <c r="C2" s="240"/>
      <c r="D2" s="240"/>
      <c r="E2" s="240"/>
      <c r="F2" s="240"/>
      <c r="G2" s="240"/>
    </row>
    <row r="3" spans="2:7" ht="78.75" customHeight="1">
      <c r="B3" s="244" t="str">
        <f>+'EVALUACIÓN 2026_lote_1_MES1'!A4</f>
        <v>Objeto: LOTE 1 MODALIDAD INTEGRAL:“Prestar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v>
      </c>
      <c r="C3" s="244"/>
      <c r="D3" s="244"/>
      <c r="E3" s="244"/>
      <c r="F3" s="244"/>
      <c r="G3" s="244"/>
    </row>
    <row r="4" spans="2:7" ht="18">
      <c r="B4" s="26"/>
      <c r="C4" s="26"/>
      <c r="D4" s="26"/>
      <c r="E4" s="26"/>
      <c r="F4" s="26"/>
      <c r="G4" s="26"/>
    </row>
    <row r="5" spans="2:7" ht="15">
      <c r="B5" s="28" t="s">
        <v>44</v>
      </c>
    </row>
    <row r="6" spans="2:7" ht="15">
      <c r="B6" s="28"/>
    </row>
    <row r="7" spans="2:7" ht="15" customHeight="1">
      <c r="B7" s="245" t="s">
        <v>73</v>
      </c>
      <c r="C7" s="246"/>
      <c r="D7" s="247">
        <f>+'EVALUACIÓN 2026_lote_1_MES1'!E46</f>
        <v>229760870</v>
      </c>
      <c r="E7" s="248"/>
    </row>
    <row r="10" spans="2:7" ht="18">
      <c r="B10" s="249" t="s">
        <v>74</v>
      </c>
      <c r="C10" s="249"/>
      <c r="D10" s="249"/>
      <c r="E10" s="249"/>
      <c r="F10" s="249"/>
      <c r="G10" s="249"/>
    </row>
    <row r="12" spans="2:7">
      <c r="B12" s="27" t="s">
        <v>75</v>
      </c>
    </row>
    <row r="13" spans="2:7" ht="15" thickBot="1"/>
    <row r="14" spans="2:7" ht="15.75" thickBot="1">
      <c r="B14" s="241" t="s">
        <v>57</v>
      </c>
      <c r="C14" s="242"/>
      <c r="D14" s="242"/>
      <c r="E14" s="242"/>
      <c r="F14" s="242"/>
      <c r="G14" s="243"/>
    </row>
    <row r="15" spans="2:7" ht="45">
      <c r="B15" s="53" t="s">
        <v>47</v>
      </c>
      <c r="C15" s="54" t="s">
        <v>48</v>
      </c>
      <c r="D15" s="54" t="s">
        <v>49</v>
      </c>
      <c r="E15" s="54" t="s">
        <v>50</v>
      </c>
      <c r="F15" s="55" t="s">
        <v>51</v>
      </c>
      <c r="G15" s="87" t="s">
        <v>76</v>
      </c>
    </row>
    <row r="16" spans="2:7" ht="15">
      <c r="B16" s="84">
        <v>1</v>
      </c>
      <c r="C16" s="83" t="str">
        <f>+'EVALUACIÓN 2026_lote_1_MES1'!B19</f>
        <v>CORPORACIÓN ORIENTAR PARA CRECER (CASA 1)</v>
      </c>
      <c r="D16" s="72">
        <v>46161</v>
      </c>
      <c r="E16" s="72" t="s">
        <v>77</v>
      </c>
      <c r="F16" s="216">
        <f>+'EVAL PROP ARTIFI BAJA_MES1'!F15</f>
        <v>229760870</v>
      </c>
      <c r="G16" s="88" t="str">
        <f>+'EVAL PROP ARTIFI BAJA_MES1'!I64</f>
        <v>Propuesta incluida dentro de la minima aceptable</v>
      </c>
    </row>
    <row r="17" spans="2:7" ht="15">
      <c r="B17" s="84">
        <v>2</v>
      </c>
      <c r="C17" s="83" t="str">
        <f>+'EVALUACIÓN 2026_lote_1_MES1'!B20</f>
        <v>CORPORACIÓN ORIENTAR PARA CRECER (CASA 2)</v>
      </c>
      <c r="D17" s="72">
        <v>46161</v>
      </c>
      <c r="E17" s="72" t="s">
        <v>77</v>
      </c>
      <c r="F17" s="216">
        <f>+'EVAL PROP ARTIFI BAJA_MES1'!F16</f>
        <v>229760870</v>
      </c>
      <c r="G17" s="88" t="str">
        <f>+'EVAL PROP ARTIFI BAJA_MES1'!I65</f>
        <v>Propuesta incluida dentro de la minima aceptable</v>
      </c>
    </row>
    <row r="18" spans="2:7" ht="15">
      <c r="B18" s="84">
        <v>3</v>
      </c>
      <c r="C18" s="83" t="str">
        <f>+'EVALUACIÓN 2026_lote_1_MES1'!B21</f>
        <v>FEZ INVERSIONES SAS</v>
      </c>
      <c r="D18" s="72">
        <v>46161</v>
      </c>
      <c r="E18" s="72" t="s">
        <v>78</v>
      </c>
      <c r="F18" s="216">
        <f>+'EVAL PROP ARTIFI BAJA_MES1'!F17</f>
        <v>229532870</v>
      </c>
      <c r="G18" s="88" t="str">
        <f>+'EVAL PROP ARTIFI BAJA_MES1'!I66</f>
        <v>Propuesta incluida dentro de la minima aceptable</v>
      </c>
    </row>
    <row r="19" spans="2:7" ht="15">
      <c r="B19" s="84">
        <v>5</v>
      </c>
      <c r="C19" s="83" t="str">
        <f>+'EVALUACIÓN 2026_lote_1_MES1'!B23</f>
        <v>ASOCIACION CRISTIANA NUEVO NACIMIENTO -ACNN</v>
      </c>
      <c r="D19" s="72">
        <v>46161</v>
      </c>
      <c r="E19" s="72" t="s">
        <v>79</v>
      </c>
      <c r="F19" s="216">
        <f>+'EVAL PROP ARTIFI BAJA_MES1'!F18</f>
        <v>218643020</v>
      </c>
      <c r="G19" s="88" t="str">
        <f>+'EVAL PROP ARTIFI BAJA_MES1'!I67</f>
        <v>Propuesta artificialmente baja</v>
      </c>
    </row>
    <row r="20" spans="2:7" ht="15">
      <c r="B20" s="84">
        <v>7</v>
      </c>
      <c r="C20" s="83" t="str">
        <f>+'EVALUACIÓN 2026_lote_1_MES1'!B25</f>
        <v>SOCIEDAD INVERSIONES PF SAS</v>
      </c>
      <c r="D20" s="72">
        <v>46161</v>
      </c>
      <c r="E20" s="72" t="s">
        <v>80</v>
      </c>
      <c r="F20" s="216">
        <f>+'EVAL PROP ARTIFI BAJA_MES1'!F19</f>
        <v>221055475</v>
      </c>
      <c r="G20" s="88" t="str">
        <f>+'EVAL PROP ARTIFI BAJA_MES1'!I68</f>
        <v>Propuesta artificialmente baja</v>
      </c>
    </row>
    <row r="21" spans="2:7" ht="29.25" thickBot="1">
      <c r="B21" s="85">
        <v>8</v>
      </c>
      <c r="C21" s="86" t="str">
        <f>+'EVALUACIÓN 2026_lote_1_MES1'!B26</f>
        <v>CORPORACION SOCIAL PARA EL DESARROLLO DE LOS GRUPOS ETNICOS Y CULTURALES MULTIETNIAS</v>
      </c>
      <c r="D21" s="90">
        <v>46161</v>
      </c>
      <c r="E21" s="90" t="s">
        <v>81</v>
      </c>
      <c r="F21" s="217">
        <f>+'EVAL PROP ARTIFI BAJA_MES1'!F20</f>
        <v>226649570</v>
      </c>
      <c r="G21" s="89" t="str">
        <f>+'EVAL PROP ARTIFI BAJA_MES1'!I69</f>
        <v>Propuesta incluida dentro de la minima aceptable</v>
      </c>
    </row>
  </sheetData>
  <mergeCells count="6">
    <mergeCell ref="B2:G2"/>
    <mergeCell ref="B14:G14"/>
    <mergeCell ref="B3:G3"/>
    <mergeCell ref="B7:C7"/>
    <mergeCell ref="D7:E7"/>
    <mergeCell ref="B10:G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176B7-34EB-4E7A-90CA-F92EE966E853}">
  <sheetPr>
    <tabColor rgb="FF92D050"/>
  </sheetPr>
  <dimension ref="A1:J50"/>
  <sheetViews>
    <sheetView topLeftCell="A18" zoomScale="80" zoomScaleNormal="80" workbookViewId="0">
      <selection activeCell="D21" sqref="D21:D23"/>
    </sheetView>
  </sheetViews>
  <sheetFormatPr defaultColWidth="10.75" defaultRowHeight="15"/>
  <cols>
    <col min="1" max="1" width="21.75" style="1" customWidth="1"/>
    <col min="2" max="2" width="46.75" style="1" customWidth="1"/>
    <col min="3" max="3" width="20.75" style="1" hidden="1" customWidth="1"/>
    <col min="4" max="4" width="21.25" style="1" customWidth="1"/>
    <col min="5" max="5" width="20" style="1" customWidth="1"/>
    <col min="6" max="6" width="19.25" style="1" customWidth="1"/>
    <col min="7" max="7" width="12.5" style="1" bestFit="1" customWidth="1"/>
    <col min="8" max="8" width="16" style="1" customWidth="1"/>
    <col min="9" max="9" width="12.5" style="1" bestFit="1" customWidth="1"/>
    <col min="10" max="10" width="14.25" style="1" customWidth="1"/>
    <col min="11" max="16384" width="10.75" style="1"/>
  </cols>
  <sheetData>
    <row r="1" spans="1:10" ht="37.15" customHeight="1">
      <c r="A1" s="227" t="s">
        <v>0</v>
      </c>
      <c r="B1" s="227"/>
      <c r="C1" s="227"/>
      <c r="D1" s="227"/>
      <c r="E1" s="227"/>
      <c r="F1" s="227"/>
    </row>
    <row r="2" spans="1:10" ht="15.75">
      <c r="A2" s="250" t="s">
        <v>1</v>
      </c>
      <c r="B2" s="250"/>
      <c r="C2" s="250"/>
      <c r="D2" s="250"/>
      <c r="E2" s="250"/>
      <c r="F2" s="250"/>
    </row>
    <row r="4" spans="1:10" ht="71.25" customHeight="1">
      <c r="A4" s="224" t="s">
        <v>2</v>
      </c>
      <c r="B4" s="224"/>
      <c r="C4" s="224"/>
      <c r="D4" s="224"/>
      <c r="E4" s="224"/>
      <c r="F4" s="224"/>
      <c r="G4" s="2"/>
      <c r="H4" s="2" t="s">
        <v>3</v>
      </c>
      <c r="I4" s="2"/>
      <c r="J4" s="2"/>
    </row>
    <row r="5" spans="1:10" ht="20.100000000000001" customHeight="1">
      <c r="A5" s="113"/>
      <c r="B5" s="113"/>
      <c r="C5" s="113"/>
      <c r="D5" s="113"/>
      <c r="E5" s="113"/>
      <c r="F5" s="113"/>
      <c r="G5" s="2"/>
      <c r="H5" s="2"/>
      <c r="I5" s="2"/>
      <c r="J5" s="2"/>
    </row>
    <row r="6" spans="1:10" ht="30" customHeight="1">
      <c r="A6" s="3" t="s">
        <v>5</v>
      </c>
      <c r="B6" s="3" t="s">
        <v>6</v>
      </c>
      <c r="C6" s="3" t="s">
        <v>23</v>
      </c>
      <c r="D6" s="3" t="s">
        <v>7</v>
      </c>
      <c r="F6" s="113"/>
      <c r="G6" s="2"/>
      <c r="H6" s="2"/>
      <c r="I6" s="2"/>
      <c r="J6" s="2"/>
    </row>
    <row r="7" spans="1:10" ht="30" customHeight="1">
      <c r="A7" s="220" t="s">
        <v>8</v>
      </c>
      <c r="B7" s="22" t="s">
        <v>9</v>
      </c>
      <c r="C7" s="23" t="s">
        <v>27</v>
      </c>
      <c r="D7" s="24">
        <v>228044070</v>
      </c>
      <c r="F7" s="113"/>
      <c r="G7" s="2"/>
      <c r="H7" s="2"/>
      <c r="I7" s="2"/>
      <c r="J7" s="2"/>
    </row>
    <row r="8" spans="1:10" ht="30" customHeight="1">
      <c r="A8" s="221"/>
      <c r="B8" s="22" t="s">
        <v>10</v>
      </c>
      <c r="C8" s="23" t="s">
        <v>29</v>
      </c>
      <c r="D8" s="24">
        <v>228044070</v>
      </c>
      <c r="F8" s="113"/>
      <c r="G8" s="2"/>
      <c r="H8" s="2"/>
      <c r="I8" s="2"/>
      <c r="J8" s="2"/>
    </row>
    <row r="9" spans="1:10" ht="30" customHeight="1">
      <c r="A9" s="25" t="s">
        <v>11</v>
      </c>
      <c r="B9" s="16" t="s">
        <v>12</v>
      </c>
      <c r="C9" s="23" t="s">
        <v>27</v>
      </c>
      <c r="D9" s="24">
        <v>227816070</v>
      </c>
      <c r="F9" s="113"/>
      <c r="G9" s="2"/>
      <c r="H9" s="2"/>
      <c r="I9" s="2"/>
      <c r="J9" s="2"/>
    </row>
    <row r="10" spans="1:10" ht="30" customHeight="1">
      <c r="A10" s="25" t="s">
        <v>13</v>
      </c>
      <c r="B10" s="22" t="s">
        <v>14</v>
      </c>
      <c r="C10" s="23" t="s">
        <v>27</v>
      </c>
      <c r="D10" s="24">
        <v>227066104</v>
      </c>
      <c r="F10" s="113"/>
      <c r="G10" s="2"/>
      <c r="H10" s="2"/>
      <c r="I10" s="2"/>
      <c r="J10" s="2"/>
    </row>
    <row r="11" spans="1:10" ht="30" customHeight="1">
      <c r="A11" s="25" t="s">
        <v>15</v>
      </c>
      <c r="B11" s="22" t="s">
        <v>16</v>
      </c>
      <c r="C11" s="23" t="s">
        <v>27</v>
      </c>
      <c r="D11" s="24">
        <v>216926220</v>
      </c>
      <c r="F11" s="113"/>
      <c r="G11" s="2"/>
      <c r="H11" s="2"/>
      <c r="I11" s="2"/>
      <c r="J11" s="2"/>
    </row>
    <row r="12" spans="1:10" ht="30" customHeight="1">
      <c r="A12" s="25" t="s">
        <v>17</v>
      </c>
      <c r="B12" s="22" t="s">
        <v>18</v>
      </c>
      <c r="C12" s="23" t="s">
        <v>27</v>
      </c>
      <c r="D12" s="24">
        <v>227159196</v>
      </c>
      <c r="F12" s="113"/>
      <c r="G12" s="2"/>
      <c r="H12" s="2"/>
      <c r="I12" s="2"/>
      <c r="J12" s="2"/>
    </row>
    <row r="13" spans="1:10" ht="30" customHeight="1">
      <c r="A13" s="25" t="s">
        <v>19</v>
      </c>
      <c r="B13" s="22" t="s">
        <v>20</v>
      </c>
      <c r="C13" s="23" t="s">
        <v>27</v>
      </c>
      <c r="D13" s="24">
        <v>219424515</v>
      </c>
      <c r="F13" s="113"/>
      <c r="G13" s="2"/>
      <c r="H13" s="2"/>
      <c r="I13" s="2"/>
      <c r="J13" s="2"/>
    </row>
    <row r="14" spans="1:10" ht="57" customHeight="1">
      <c r="A14" s="25" t="s">
        <v>21</v>
      </c>
      <c r="B14" s="22" t="s">
        <v>22</v>
      </c>
      <c r="C14" s="23" t="s">
        <v>27</v>
      </c>
      <c r="D14" s="24">
        <v>224932770</v>
      </c>
      <c r="F14" s="113"/>
      <c r="G14" s="2"/>
      <c r="H14" s="2"/>
      <c r="I14" s="2"/>
      <c r="J14" s="2"/>
    </row>
    <row r="15" spans="1:10" ht="20.100000000000001" customHeight="1">
      <c r="A15" s="113"/>
      <c r="B15" s="113"/>
      <c r="C15" s="113"/>
      <c r="D15" s="113"/>
      <c r="E15" s="113"/>
      <c r="F15" s="113"/>
      <c r="G15" s="2"/>
      <c r="H15" s="2"/>
      <c r="I15" s="2"/>
      <c r="J15" s="2"/>
    </row>
    <row r="17" spans="1:8" s="5" customFormat="1" ht="47.25">
      <c r="A17" s="3" t="s">
        <v>5</v>
      </c>
      <c r="B17" s="3" t="s">
        <v>6</v>
      </c>
      <c r="C17" s="3" t="s">
        <v>23</v>
      </c>
      <c r="D17" s="3" t="s">
        <v>24</v>
      </c>
      <c r="E17" s="3" t="s">
        <v>82</v>
      </c>
      <c r="F17" s="4" t="s">
        <v>26</v>
      </c>
    </row>
    <row r="18" spans="1:8" s="5" customFormat="1" ht="39.950000000000003" customHeight="1">
      <c r="A18" s="220" t="s">
        <v>8</v>
      </c>
      <c r="B18" s="22" t="s">
        <v>9</v>
      </c>
      <c r="C18" s="23" t="s">
        <v>27</v>
      </c>
      <c r="D18" s="24" t="s">
        <v>28</v>
      </c>
      <c r="E18" s="24">
        <v>228044070</v>
      </c>
      <c r="F18" s="82">
        <f t="shared" ref="F18:F25" si="0">IF(E18&lt;=$E$42,(30*(1-(($E$42-E18)/$E$42))),(30*(1-(2*(ABS($E$42-E18)/$E$42)))))</f>
        <v>29.68369537469232</v>
      </c>
      <c r="G18" s="13"/>
    </row>
    <row r="19" spans="1:8" s="5" customFormat="1" ht="39.950000000000003" customHeight="1">
      <c r="A19" s="221"/>
      <c r="B19" s="22" t="s">
        <v>10</v>
      </c>
      <c r="C19" s="23" t="s">
        <v>29</v>
      </c>
      <c r="D19" s="24" t="s">
        <v>28</v>
      </c>
      <c r="E19" s="24">
        <v>228044070</v>
      </c>
      <c r="F19" s="82">
        <f t="shared" si="0"/>
        <v>29.68369537469232</v>
      </c>
      <c r="G19" s="13"/>
    </row>
    <row r="20" spans="1:8" s="5" customFormat="1" ht="39.950000000000003" customHeight="1">
      <c r="A20" s="25" t="s">
        <v>11</v>
      </c>
      <c r="B20" s="16" t="s">
        <v>12</v>
      </c>
      <c r="C20" s="23" t="s">
        <v>27</v>
      </c>
      <c r="D20" s="24" t="s">
        <v>28</v>
      </c>
      <c r="E20" s="24">
        <v>227816070</v>
      </c>
      <c r="F20" s="82">
        <f t="shared" si="0"/>
        <v>29.744000023063883</v>
      </c>
      <c r="G20" s="13"/>
    </row>
    <row r="21" spans="1:8" s="5" customFormat="1" ht="47.25" customHeight="1">
      <c r="A21" s="25" t="s">
        <v>13</v>
      </c>
      <c r="B21" s="114" t="s">
        <v>14</v>
      </c>
      <c r="C21" s="23" t="s">
        <v>27</v>
      </c>
      <c r="D21" s="158" t="s">
        <v>30</v>
      </c>
      <c r="E21" s="24"/>
      <c r="F21" s="82">
        <f t="shared" si="0"/>
        <v>0</v>
      </c>
      <c r="G21" s="13"/>
    </row>
    <row r="22" spans="1:8" s="5" customFormat="1" ht="39.950000000000003" customHeight="1">
      <c r="A22" s="25" t="s">
        <v>15</v>
      </c>
      <c r="B22" s="114" t="s">
        <v>16</v>
      </c>
      <c r="C22" s="23" t="s">
        <v>27</v>
      </c>
      <c r="D22" s="158" t="s">
        <v>30</v>
      </c>
      <c r="E22" s="24"/>
      <c r="F22" s="82">
        <f t="shared" si="0"/>
        <v>0</v>
      </c>
      <c r="G22" s="13"/>
    </row>
    <row r="23" spans="1:8" s="5" customFormat="1" ht="45.75" customHeight="1">
      <c r="A23" s="25" t="s">
        <v>17</v>
      </c>
      <c r="B23" s="114" t="s">
        <v>18</v>
      </c>
      <c r="C23" s="23" t="s">
        <v>27</v>
      </c>
      <c r="D23" s="158" t="s">
        <v>30</v>
      </c>
      <c r="E23" s="24"/>
      <c r="F23" s="82">
        <f t="shared" si="0"/>
        <v>0</v>
      </c>
      <c r="G23" s="13"/>
      <c r="H23" s="5" t="s">
        <v>31</v>
      </c>
    </row>
    <row r="24" spans="1:8" s="5" customFormat="1" ht="39.950000000000003" customHeight="1">
      <c r="A24" s="25" t="s">
        <v>19</v>
      </c>
      <c r="B24" s="22" t="s">
        <v>20</v>
      </c>
      <c r="C24" s="23" t="s">
        <v>27</v>
      </c>
      <c r="D24" s="24" t="s">
        <v>28</v>
      </c>
      <c r="E24" s="24">
        <v>219424515</v>
      </c>
      <c r="F24" s="82">
        <f t="shared" si="0"/>
        <v>29.018241713104828</v>
      </c>
      <c r="G24" s="13"/>
    </row>
    <row r="25" spans="1:8" s="5" customFormat="1" ht="39.950000000000003" customHeight="1">
      <c r="A25" s="25" t="s">
        <v>21</v>
      </c>
      <c r="B25" s="22" t="s">
        <v>22</v>
      </c>
      <c r="C25" s="23" t="s">
        <v>27</v>
      </c>
      <c r="D25" s="24" t="s">
        <v>28</v>
      </c>
      <c r="E25" s="24">
        <v>224932770</v>
      </c>
      <c r="F25" s="82">
        <f t="shared" si="0"/>
        <v>29.746692109850233</v>
      </c>
      <c r="G25" s="13"/>
    </row>
    <row r="26" spans="1:8" ht="25.15" customHeight="1">
      <c r="H26" s="5"/>
    </row>
    <row r="27" spans="1:8" ht="15.75">
      <c r="A27" s="250" t="s">
        <v>32</v>
      </c>
      <c r="B27" s="250"/>
      <c r="C27" s="250"/>
      <c r="D27" s="250"/>
      <c r="E27" s="250"/>
    </row>
    <row r="28" spans="1:8">
      <c r="F28" s="17"/>
      <c r="G28" s="18"/>
    </row>
    <row r="29" spans="1:8" s="6" customFormat="1" ht="30" customHeight="1">
      <c r="A29" s="116" t="s">
        <v>33</v>
      </c>
      <c r="B29" s="116" t="s">
        <v>34</v>
      </c>
      <c r="C29" s="116"/>
      <c r="D29" s="116" t="s">
        <v>35</v>
      </c>
      <c r="E29" s="17"/>
      <c r="F29" s="17"/>
      <c r="G29" s="18"/>
    </row>
    <row r="30" spans="1:8">
      <c r="A30" s="25" t="s">
        <v>36</v>
      </c>
      <c r="B30" s="25">
        <v>1</v>
      </c>
      <c r="C30" s="118"/>
      <c r="D30" s="117" t="s">
        <v>37</v>
      </c>
      <c r="E30" s="17"/>
      <c r="F30" s="17"/>
      <c r="G30" s="18"/>
    </row>
    <row r="31" spans="1:8">
      <c r="A31" s="25" t="s">
        <v>38</v>
      </c>
      <c r="B31" s="25">
        <v>2</v>
      </c>
      <c r="C31" s="118"/>
      <c r="D31" s="117" t="s">
        <v>39</v>
      </c>
      <c r="E31" s="17"/>
      <c r="F31" s="17"/>
      <c r="G31" s="18"/>
    </row>
    <row r="32" spans="1:8" ht="30">
      <c r="A32" s="25" t="s">
        <v>40</v>
      </c>
      <c r="B32" s="25">
        <v>3</v>
      </c>
      <c r="C32" s="118"/>
      <c r="D32" s="121" t="s">
        <v>41</v>
      </c>
      <c r="E32" s="17"/>
      <c r="F32" s="17"/>
      <c r="G32" s="18"/>
    </row>
    <row r="33" spans="1:7">
      <c r="F33" s="17"/>
      <c r="G33" s="18"/>
    </row>
    <row r="34" spans="1:7" ht="15.75">
      <c r="A34" s="7" t="s">
        <v>42</v>
      </c>
      <c r="B34" s="8">
        <v>3730.49</v>
      </c>
      <c r="C34" s="8"/>
      <c r="F34" s="17"/>
      <c r="G34" s="18"/>
    </row>
    <row r="35" spans="1:7">
      <c r="F35" s="19"/>
      <c r="G35" s="20"/>
    </row>
    <row r="36" spans="1:7">
      <c r="F36" s="21"/>
      <c r="G36" s="21"/>
    </row>
    <row r="40" spans="1:7" ht="58.9" customHeight="1">
      <c r="E40" s="9" t="str">
        <f>+D31</f>
        <v>Media aritmética alta</v>
      </c>
    </row>
    <row r="42" spans="1:7" ht="15.75">
      <c r="E42" s="14">
        <f>AVERAGE(E18,AVERAGE(E18:E25))</f>
        <v>226848184.5</v>
      </c>
      <c r="F42" s="15">
        <f>(MAX(E18:E25)+AVERAGE(E18:E25))/2</f>
        <v>226848184.5</v>
      </c>
    </row>
    <row r="44" spans="1:7" ht="31.5">
      <c r="E44" s="11" t="s">
        <v>83</v>
      </c>
    </row>
    <row r="45" spans="1:7" ht="15.75">
      <c r="E45" s="10">
        <v>228044070</v>
      </c>
    </row>
    <row r="46" spans="1:7">
      <c r="F46" s="12"/>
    </row>
    <row r="48" spans="1:7" ht="15.75">
      <c r="A48" s="218"/>
      <c r="B48" s="218"/>
      <c r="C48" s="218"/>
      <c r="D48" s="218"/>
    </row>
    <row r="50" spans="1:4" ht="15.75">
      <c r="A50" s="228"/>
      <c r="B50" s="228"/>
      <c r="C50" s="228"/>
      <c r="D50" s="228"/>
    </row>
  </sheetData>
  <mergeCells count="8">
    <mergeCell ref="A48:D48"/>
    <mergeCell ref="A50:D50"/>
    <mergeCell ref="A4:F4"/>
    <mergeCell ref="A18:A19"/>
    <mergeCell ref="A1:F1"/>
    <mergeCell ref="A2:F2"/>
    <mergeCell ref="A27:E27"/>
    <mergeCell ref="A7:A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DDB51-99EB-436B-AB87-63BECF0B6B42}">
  <sheetPr>
    <tabColor rgb="FF92D050"/>
  </sheetPr>
  <dimension ref="B1:K71"/>
  <sheetViews>
    <sheetView topLeftCell="A46" zoomScale="80" zoomScaleNormal="80" zoomScaleSheetLayoutView="100" workbookViewId="0">
      <selection activeCell="B10" sqref="B10:K10"/>
    </sheetView>
  </sheetViews>
  <sheetFormatPr defaultColWidth="11" defaultRowHeight="14.25"/>
  <cols>
    <col min="1" max="1" width="11" style="32"/>
    <col min="2" max="2" width="5.125" style="32" customWidth="1"/>
    <col min="3" max="3" width="51.625" style="32" customWidth="1"/>
    <col min="4" max="4" width="10.625" style="32" customWidth="1"/>
    <col min="5" max="5" width="8.75" style="32" customWidth="1"/>
    <col min="6" max="6" width="17.75" style="32" customWidth="1"/>
    <col min="7" max="7" width="30.25" style="32" customWidth="1"/>
    <col min="8" max="8" width="16.25" style="32" bestFit="1" customWidth="1"/>
    <col min="9" max="9" width="43.25" style="32" customWidth="1"/>
    <col min="10" max="10" width="25.875" style="32" customWidth="1"/>
    <col min="11" max="11" width="14" style="32" customWidth="1"/>
    <col min="12" max="16384" width="11" style="32"/>
  </cols>
  <sheetData>
    <row r="1" spans="2:11" ht="15" thickBot="1"/>
    <row r="2" spans="2:11" ht="78" customHeight="1" thickBot="1">
      <c r="B2" s="234" t="str">
        <f>+'EVALUACIÓN PROPONENTES_MES2'!B3</f>
        <v>Objeto: LOTE 1 MODALIDAD INTEGRAL:“Prestar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v>
      </c>
      <c r="C2" s="235"/>
      <c r="D2" s="235"/>
      <c r="E2" s="235"/>
      <c r="F2" s="235"/>
      <c r="G2" s="235"/>
      <c r="H2" s="235"/>
      <c r="I2" s="235"/>
      <c r="J2" s="236"/>
    </row>
    <row r="4" spans="2:11" ht="14.25" customHeight="1">
      <c r="B4" s="237" t="s">
        <v>44</v>
      </c>
      <c r="C4" s="237"/>
      <c r="D4" s="237"/>
      <c r="E4" s="237"/>
    </row>
    <row r="5" spans="2:11" ht="15">
      <c r="B5" s="238" t="str">
        <f>+'EVALUACIÓN PROPONENTES_MES2'!B7</f>
        <v>VALOR PRESUPUESTO MENSUAL</v>
      </c>
      <c r="C5" s="238"/>
      <c r="D5" s="239">
        <f>+'EVALUACIÓN PROPONENTES_MES2'!D7</f>
        <v>228044070</v>
      </c>
      <c r="E5" s="239"/>
    </row>
    <row r="9" spans="2:11" ht="18" customHeight="1">
      <c r="B9" s="230" t="s">
        <v>45</v>
      </c>
      <c r="C9" s="230"/>
      <c r="D9" s="230"/>
      <c r="E9" s="230"/>
      <c r="F9" s="230"/>
      <c r="G9" s="230"/>
      <c r="H9" s="230"/>
      <c r="I9" s="230"/>
      <c r="J9" s="230"/>
      <c r="K9" s="230"/>
    </row>
    <row r="10" spans="2:11" ht="18">
      <c r="B10" s="230"/>
      <c r="C10" s="230"/>
      <c r="D10" s="230"/>
      <c r="E10" s="230"/>
      <c r="F10" s="230"/>
      <c r="G10" s="230"/>
      <c r="H10" s="230"/>
      <c r="I10" s="230"/>
      <c r="J10" s="230"/>
      <c r="K10" s="230"/>
    </row>
    <row r="11" spans="2:11" ht="18" customHeight="1">
      <c r="B11" s="230" t="s">
        <v>46</v>
      </c>
      <c r="C11" s="230"/>
      <c r="D11" s="230"/>
      <c r="E11" s="230"/>
      <c r="F11" s="230"/>
      <c r="G11" s="230"/>
      <c r="H11" s="230"/>
      <c r="I11" s="230"/>
      <c r="J11" s="230"/>
      <c r="K11" s="230"/>
    </row>
    <row r="12" spans="2:11" ht="18">
      <c r="B12" s="31"/>
      <c r="C12" s="31"/>
      <c r="D12" s="31"/>
      <c r="E12" s="31"/>
      <c r="F12" s="31"/>
      <c r="G12" s="31"/>
      <c r="H12" s="31"/>
      <c r="I12" s="31"/>
      <c r="J12" s="31"/>
    </row>
    <row r="13" spans="2:11" ht="15" thickBot="1">
      <c r="F13" s="33"/>
    </row>
    <row r="14" spans="2:11" ht="150">
      <c r="B14" s="49" t="s">
        <v>47</v>
      </c>
      <c r="C14" s="50" t="s">
        <v>48</v>
      </c>
      <c r="D14" s="54" t="s">
        <v>49</v>
      </c>
      <c r="E14" s="54" t="s">
        <v>50</v>
      </c>
      <c r="F14" s="56" t="s">
        <v>51</v>
      </c>
      <c r="G14" s="57" t="s">
        <v>52</v>
      </c>
      <c r="H14" s="57" t="s">
        <v>53</v>
      </c>
      <c r="I14" s="57" t="s">
        <v>54</v>
      </c>
      <c r="J14" s="57" t="s">
        <v>55</v>
      </c>
      <c r="K14" s="58" t="s">
        <v>56</v>
      </c>
    </row>
    <row r="15" spans="2:11" ht="15.75">
      <c r="B15" s="78">
        <f>+'EVALUACIÓN PROPONENTES_MES2'!B16</f>
        <v>1</v>
      </c>
      <c r="C15" s="91" t="str">
        <f>+'EVALUACIÓN PROPONENTES_MES2'!C16</f>
        <v>CORPORACIÓN ORIENTAR PARA CRECER (CASA 1)</v>
      </c>
      <c r="D15" s="72">
        <f>+'EVALUACIÓN PROPONENTES_MES2'!D16</f>
        <v>46161</v>
      </c>
      <c r="E15" s="73" t="str">
        <f>+'EVALUACIÓN PROPONENTES_MES2'!E16</f>
        <v>7:28AM</v>
      </c>
      <c r="F15" s="74">
        <v>228044070</v>
      </c>
      <c r="G15" s="231">
        <f>+D5-F37</f>
        <v>1669650</v>
      </c>
      <c r="H15" s="231">
        <f>+D5-F39</f>
        <v>3846117.5</v>
      </c>
      <c r="I15" s="36">
        <f t="shared" ref="I15:I20" si="0">+F15-$F$39</f>
        <v>3846117.5</v>
      </c>
      <c r="J15" s="37">
        <f>+F15-$D$5</f>
        <v>0</v>
      </c>
      <c r="K15" s="60">
        <f>-($D$5-F15)/$D$5</f>
        <v>0</v>
      </c>
    </row>
    <row r="16" spans="2:11" ht="15.75">
      <c r="B16" s="78">
        <f>+'EVALUACIÓN PROPONENTES_MES2'!B17</f>
        <v>2</v>
      </c>
      <c r="C16" s="91" t="str">
        <f>+'EVALUACIÓN PROPONENTES_MES2'!C17</f>
        <v>CORPORACIÓN ORIENTAR PARA CRECER (CASA 2)</v>
      </c>
      <c r="D16" s="72">
        <f>+'EVALUACIÓN PROPONENTES_MES2'!D17</f>
        <v>46161</v>
      </c>
      <c r="E16" s="73" t="str">
        <f>+'EVALUACIÓN PROPONENTES_MES2'!E17</f>
        <v>7:28AM</v>
      </c>
      <c r="F16" s="74">
        <v>228044070</v>
      </c>
      <c r="G16" s="232"/>
      <c r="H16" s="232"/>
      <c r="I16" s="36">
        <f t="shared" si="0"/>
        <v>3846117.5</v>
      </c>
      <c r="J16" s="37">
        <f t="shared" ref="J16:J20" si="1">+F16-$D$5</f>
        <v>0</v>
      </c>
      <c r="K16" s="60">
        <f t="shared" ref="K16:K20" si="2">-($D$5-F16)/$D$5</f>
        <v>0</v>
      </c>
    </row>
    <row r="17" spans="2:11" ht="15.75">
      <c r="B17" s="78">
        <f>+'EVALUACIÓN PROPONENTES_MES2'!B18</f>
        <v>3</v>
      </c>
      <c r="C17" s="71" t="str">
        <f>+'EVALUACIÓN PROPONENTES_MES2'!C18</f>
        <v>FEZ INVERSIONES SAS</v>
      </c>
      <c r="D17" s="72">
        <f>+'EVALUACIÓN PROPONENTES_MES2'!D18</f>
        <v>46161</v>
      </c>
      <c r="E17" s="73" t="str">
        <f>+'EVALUACIÓN PROPONENTES_MES2'!E18</f>
        <v>3:22PM</v>
      </c>
      <c r="F17" s="74">
        <v>227816070</v>
      </c>
      <c r="G17" s="232"/>
      <c r="H17" s="232"/>
      <c r="I17" s="36">
        <f t="shared" si="0"/>
        <v>3618117.5</v>
      </c>
      <c r="J17" s="37">
        <f t="shared" si="1"/>
        <v>-228000</v>
      </c>
      <c r="K17" s="60">
        <f t="shared" si="2"/>
        <v>-9.9980674787991642E-4</v>
      </c>
    </row>
    <row r="18" spans="2:11" ht="15.75">
      <c r="B18" s="78">
        <f>+'EVALUACIÓN PROPONENTES_MES2'!B19</f>
        <v>5</v>
      </c>
      <c r="C18" s="91" t="str">
        <f>+'EVALUACIÓN PROPONENTES_MES2'!C19</f>
        <v>ASOCIACION CRISTIANA NUEVO NACIMIENTO -ACNN</v>
      </c>
      <c r="D18" s="72">
        <f>+'EVALUACIÓN PROPONENTES_MES2'!D19</f>
        <v>46161</v>
      </c>
      <c r="E18" s="73" t="str">
        <f>+'EVALUACIÓN PROPONENTES_MES2'!E19</f>
        <v>6:11PM</v>
      </c>
      <c r="F18" s="74">
        <v>216926220</v>
      </c>
      <c r="G18" s="232"/>
      <c r="H18" s="232"/>
      <c r="I18" s="36">
        <f t="shared" si="0"/>
        <v>-7271732.5</v>
      </c>
      <c r="J18" s="37">
        <f t="shared" si="1"/>
        <v>-11117850</v>
      </c>
      <c r="K18" s="60">
        <f t="shared" si="2"/>
        <v>-4.8753076543494422E-2</v>
      </c>
    </row>
    <row r="19" spans="2:11" ht="15.75">
      <c r="B19" s="78">
        <f>+'EVALUACIÓN PROPONENTES_MES2'!B20</f>
        <v>7</v>
      </c>
      <c r="C19" s="91" t="str">
        <f>+'EVALUACIÓN PROPONENTES_MES2'!C20</f>
        <v>SOCIEDAD INVERSIONES PF SAS</v>
      </c>
      <c r="D19" s="72">
        <f>+'EVALUACIÓN PROPONENTES_MES2'!D20</f>
        <v>46161</v>
      </c>
      <c r="E19" s="73" t="str">
        <f>+'EVALUACIÓN PROPONENTES_MES2'!E20</f>
        <v>6:41PM</v>
      </c>
      <c r="F19" s="74">
        <v>219424515</v>
      </c>
      <c r="G19" s="232"/>
      <c r="H19" s="232"/>
      <c r="I19" s="36">
        <f t="shared" si="0"/>
        <v>-4773437.5</v>
      </c>
      <c r="J19" s="37">
        <f t="shared" si="1"/>
        <v>-8619555</v>
      </c>
      <c r="K19" s="60">
        <f t="shared" si="2"/>
        <v>-3.7797759880359966E-2</v>
      </c>
    </row>
    <row r="20" spans="2:11" ht="29.25" thickBot="1">
      <c r="B20" s="92">
        <f>+'EVALUACIÓN PROPONENTES_MES2'!B21</f>
        <v>8</v>
      </c>
      <c r="C20" s="95" t="str">
        <f>+'EVALUACIÓN PROPONENTES_MES2'!C21</f>
        <v>CORPORACION SOCIAL PARA EL DESARROLLO DE LOS GRUPOS ETNICOS Y CULTURALES MULTIETNIAS</v>
      </c>
      <c r="D20" s="90">
        <f>+'EVALUACIÓN PROPONENTES_MES2'!D21</f>
        <v>46161</v>
      </c>
      <c r="E20" s="93" t="str">
        <f>+'EVALUACIÓN PROPONENTES_MES2'!E21</f>
        <v>9:07PM</v>
      </c>
      <c r="F20" s="94">
        <v>224932770</v>
      </c>
      <c r="G20" s="233"/>
      <c r="H20" s="233"/>
      <c r="I20" s="112">
        <f t="shared" si="0"/>
        <v>734817.5</v>
      </c>
      <c r="J20" s="80">
        <f t="shared" si="1"/>
        <v>-3111300</v>
      </c>
      <c r="K20" s="61">
        <f t="shared" si="2"/>
        <v>-1.3643415502977123E-2</v>
      </c>
    </row>
    <row r="21" spans="2:11" ht="15.75">
      <c r="B21" s="38"/>
      <c r="C21" s="39"/>
      <c r="D21" s="38"/>
      <c r="E21" s="40"/>
      <c r="F21" s="41"/>
      <c r="G21" s="41"/>
      <c r="I21" s="42"/>
      <c r="J21" s="33"/>
    </row>
    <row r="22" spans="2:11" ht="15.75">
      <c r="B22" s="38"/>
      <c r="C22" s="43"/>
      <c r="D22" s="38"/>
      <c r="E22" s="40"/>
      <c r="F22" s="41"/>
      <c r="G22" s="41"/>
      <c r="I22" s="42"/>
      <c r="J22" s="33"/>
    </row>
    <row r="23" spans="2:11" ht="18" customHeight="1">
      <c r="B23" s="230" t="s">
        <v>57</v>
      </c>
      <c r="C23" s="230"/>
      <c r="D23" s="230"/>
      <c r="E23" s="230"/>
      <c r="F23" s="230"/>
      <c r="G23" s="230"/>
      <c r="H23" s="230"/>
      <c r="I23" s="230"/>
      <c r="J23" s="230"/>
      <c r="K23" s="230"/>
    </row>
    <row r="24" spans="2:11" ht="15.75">
      <c r="B24" s="38"/>
      <c r="C24" s="43"/>
      <c r="D24" s="38"/>
      <c r="E24" s="40"/>
      <c r="F24" s="41"/>
      <c r="G24" s="41"/>
      <c r="I24" s="42"/>
      <c r="J24" s="33"/>
    </row>
    <row r="25" spans="2:11" ht="15.75">
      <c r="B25" s="32" t="s">
        <v>58</v>
      </c>
      <c r="F25" s="33"/>
      <c r="G25" s="41"/>
      <c r="I25" s="42"/>
      <c r="J25" s="33"/>
    </row>
    <row r="26" spans="2:11" ht="16.5" thickBot="1">
      <c r="F26" s="33"/>
      <c r="G26" s="41"/>
      <c r="I26" s="42"/>
      <c r="J26" s="33"/>
    </row>
    <row r="27" spans="2:11" ht="45">
      <c r="B27" s="49" t="s">
        <v>47</v>
      </c>
      <c r="C27" s="50" t="s">
        <v>48</v>
      </c>
      <c r="D27" s="54" t="s">
        <v>49</v>
      </c>
      <c r="E27" s="54" t="s">
        <v>50</v>
      </c>
      <c r="F27" s="55" t="s">
        <v>51</v>
      </c>
      <c r="G27" s="41"/>
      <c r="I27" s="42"/>
      <c r="J27" s="33"/>
    </row>
    <row r="28" spans="2:11" ht="15.75">
      <c r="B28" s="78">
        <f t="shared" ref="B28:F33" si="3">+B15</f>
        <v>1</v>
      </c>
      <c r="C28" s="91" t="str">
        <f t="shared" si="3"/>
        <v>CORPORACIÓN ORIENTAR PARA CRECER (CASA 1)</v>
      </c>
      <c r="D28" s="72">
        <f t="shared" si="3"/>
        <v>46161</v>
      </c>
      <c r="E28" s="73" t="str">
        <f t="shared" si="3"/>
        <v>7:28AM</v>
      </c>
      <c r="F28" s="77">
        <f t="shared" si="3"/>
        <v>228044070</v>
      </c>
      <c r="G28" s="41"/>
      <c r="I28" s="42"/>
      <c r="J28" s="33"/>
    </row>
    <row r="29" spans="2:11" ht="15.75">
      <c r="B29" s="78">
        <f t="shared" si="3"/>
        <v>2</v>
      </c>
      <c r="C29" s="91" t="str">
        <f t="shared" si="3"/>
        <v>CORPORACIÓN ORIENTAR PARA CRECER (CASA 2)</v>
      </c>
      <c r="D29" s="72">
        <f t="shared" si="3"/>
        <v>46161</v>
      </c>
      <c r="E29" s="73" t="str">
        <f t="shared" si="3"/>
        <v>7:28AM</v>
      </c>
      <c r="F29" s="77">
        <f t="shared" si="3"/>
        <v>228044070</v>
      </c>
      <c r="G29" s="41"/>
      <c r="I29" s="42"/>
      <c r="J29" s="33"/>
    </row>
    <row r="30" spans="2:11" ht="15.75">
      <c r="B30" s="78">
        <f t="shared" si="3"/>
        <v>3</v>
      </c>
      <c r="C30" s="71" t="str">
        <f t="shared" si="3"/>
        <v>FEZ INVERSIONES SAS</v>
      </c>
      <c r="D30" s="72">
        <f t="shared" si="3"/>
        <v>46161</v>
      </c>
      <c r="E30" s="73" t="str">
        <f t="shared" si="3"/>
        <v>3:22PM</v>
      </c>
      <c r="F30" s="77">
        <f t="shared" si="3"/>
        <v>227816070</v>
      </c>
      <c r="G30" s="41"/>
      <c r="I30" s="42"/>
      <c r="J30" s="33"/>
    </row>
    <row r="31" spans="2:11" ht="15.75">
      <c r="B31" s="78">
        <f t="shared" si="3"/>
        <v>5</v>
      </c>
      <c r="C31" s="91" t="str">
        <f t="shared" si="3"/>
        <v>ASOCIACION CRISTIANA NUEVO NACIMIENTO -ACNN</v>
      </c>
      <c r="D31" s="72">
        <f t="shared" si="3"/>
        <v>46161</v>
      </c>
      <c r="E31" s="73" t="str">
        <f t="shared" si="3"/>
        <v>6:11PM</v>
      </c>
      <c r="F31" s="77">
        <f t="shared" si="3"/>
        <v>216926220</v>
      </c>
      <c r="G31" s="41"/>
      <c r="I31" s="42"/>
      <c r="J31" s="33"/>
    </row>
    <row r="32" spans="2:11" ht="15.75">
      <c r="B32" s="78">
        <f t="shared" si="3"/>
        <v>7</v>
      </c>
      <c r="C32" s="91" t="str">
        <f t="shared" si="3"/>
        <v>SOCIEDAD INVERSIONES PF SAS</v>
      </c>
      <c r="D32" s="72">
        <f t="shared" si="3"/>
        <v>46161</v>
      </c>
      <c r="E32" s="73" t="str">
        <f t="shared" si="3"/>
        <v>6:41PM</v>
      </c>
      <c r="F32" s="77">
        <f t="shared" si="3"/>
        <v>219424515</v>
      </c>
      <c r="G32" s="41"/>
      <c r="I32" s="42"/>
      <c r="J32" s="33"/>
    </row>
    <row r="33" spans="2:10" ht="29.25" thickBot="1">
      <c r="B33" s="92">
        <f t="shared" si="3"/>
        <v>8</v>
      </c>
      <c r="C33" s="95" t="str">
        <f t="shared" si="3"/>
        <v>CORPORACION SOCIAL PARA EL DESARROLLO DE LOS GRUPOS ETNICOS Y CULTURALES MULTIETNIAS</v>
      </c>
      <c r="D33" s="90">
        <f t="shared" si="3"/>
        <v>46161</v>
      </c>
      <c r="E33" s="93" t="str">
        <f t="shared" si="3"/>
        <v>9:07PM</v>
      </c>
      <c r="F33" s="96">
        <f t="shared" si="3"/>
        <v>224932770</v>
      </c>
      <c r="G33" s="41"/>
      <c r="I33" s="42"/>
      <c r="J33" s="33"/>
    </row>
    <row r="34" spans="2:10" ht="15.75">
      <c r="B34" s="38"/>
      <c r="C34" s="43"/>
      <c r="D34" s="38"/>
      <c r="E34" s="40"/>
      <c r="F34" s="41"/>
      <c r="G34" s="41"/>
      <c r="I34" s="42"/>
      <c r="J34" s="33"/>
    </row>
    <row r="35" spans="2:10">
      <c r="B35" s="32" t="s">
        <v>59</v>
      </c>
      <c r="F35" s="33"/>
    </row>
    <row r="36" spans="2:10">
      <c r="F36" s="33"/>
    </row>
    <row r="37" spans="2:10" ht="15.75">
      <c r="C37" s="44" t="s">
        <v>60</v>
      </c>
      <c r="E37" s="33"/>
      <c r="F37" s="45">
        <f>MEDIAN(F28:F33)</f>
        <v>226374420</v>
      </c>
      <c r="H37" s="42"/>
    </row>
    <row r="38" spans="2:10">
      <c r="C38" s="43"/>
      <c r="E38" s="33"/>
      <c r="F38" s="33"/>
    </row>
    <row r="39" spans="2:10" ht="15">
      <c r="C39" s="44" t="s">
        <v>61</v>
      </c>
      <c r="E39" s="33"/>
      <c r="F39" s="45">
        <f>AVERAGE(F28:F33)</f>
        <v>224197952.5</v>
      </c>
    </row>
    <row r="40" spans="2:10" ht="15" customHeight="1">
      <c r="C40" s="43"/>
      <c r="E40" s="33"/>
      <c r="F40" s="33"/>
    </row>
    <row r="41" spans="2:10">
      <c r="B41" s="32" t="s">
        <v>62</v>
      </c>
      <c r="C41" s="43"/>
      <c r="E41" s="33"/>
      <c r="F41" s="33"/>
    </row>
    <row r="42" spans="2:10">
      <c r="C42" s="43"/>
      <c r="E42" s="33"/>
      <c r="F42" s="33"/>
    </row>
    <row r="43" spans="2:10" ht="15" thickBot="1">
      <c r="C43" s="43"/>
      <c r="E43" s="33"/>
      <c r="F43" s="33"/>
    </row>
    <row r="44" spans="2:10" ht="45">
      <c r="B44" s="49" t="s">
        <v>47</v>
      </c>
      <c r="C44" s="50" t="s">
        <v>48</v>
      </c>
      <c r="D44" s="54" t="s">
        <v>49</v>
      </c>
      <c r="E44" s="54" t="s">
        <v>50</v>
      </c>
      <c r="F44" s="55" t="s">
        <v>51</v>
      </c>
      <c r="G44" s="63"/>
      <c r="H44" s="33"/>
    </row>
    <row r="45" spans="2:10">
      <c r="B45" s="59">
        <f t="shared" ref="B45:F50" si="4">+B28</f>
        <v>1</v>
      </c>
      <c r="C45" s="35" t="str">
        <f t="shared" si="4"/>
        <v>CORPORACIÓN ORIENTAR PARA CRECER (CASA 1)</v>
      </c>
      <c r="D45" s="52">
        <f t="shared" si="4"/>
        <v>46161</v>
      </c>
      <c r="E45" s="34" t="str">
        <f t="shared" si="4"/>
        <v>7:28AM</v>
      </c>
      <c r="F45" s="62">
        <f t="shared" si="4"/>
        <v>228044070</v>
      </c>
      <c r="G45" s="51">
        <f>+(F45-$F$39)^2</f>
        <v>14792619823806.25</v>
      </c>
      <c r="H45" s="33"/>
    </row>
    <row r="46" spans="2:10">
      <c r="B46" s="59">
        <f t="shared" si="4"/>
        <v>2</v>
      </c>
      <c r="C46" s="35" t="str">
        <f t="shared" si="4"/>
        <v>CORPORACIÓN ORIENTAR PARA CRECER (CASA 2)</v>
      </c>
      <c r="D46" s="52">
        <f t="shared" si="4"/>
        <v>46161</v>
      </c>
      <c r="E46" s="34" t="str">
        <f t="shared" si="4"/>
        <v>7:28AM</v>
      </c>
      <c r="F46" s="62">
        <f t="shared" si="4"/>
        <v>228044070</v>
      </c>
      <c r="G46" s="51">
        <f t="shared" ref="G46:G50" si="5">+(F46-$F$39)^2</f>
        <v>14792619823806.25</v>
      </c>
      <c r="H46" s="33"/>
    </row>
    <row r="47" spans="2:10">
      <c r="B47" s="59">
        <f t="shared" si="4"/>
        <v>3</v>
      </c>
      <c r="C47" s="35" t="str">
        <f t="shared" si="4"/>
        <v>FEZ INVERSIONES SAS</v>
      </c>
      <c r="D47" s="52">
        <f t="shared" si="4"/>
        <v>46161</v>
      </c>
      <c r="E47" s="34" t="str">
        <f t="shared" si="4"/>
        <v>3:22PM</v>
      </c>
      <c r="F47" s="62">
        <f t="shared" si="4"/>
        <v>227816070</v>
      </c>
      <c r="G47" s="51">
        <f t="shared" si="5"/>
        <v>13090774243806.25</v>
      </c>
      <c r="H47" s="33"/>
    </row>
    <row r="48" spans="2:10">
      <c r="B48" s="59">
        <f t="shared" si="4"/>
        <v>5</v>
      </c>
      <c r="C48" s="35" t="str">
        <f t="shared" si="4"/>
        <v>ASOCIACION CRISTIANA NUEVO NACIMIENTO -ACNN</v>
      </c>
      <c r="D48" s="52">
        <f t="shared" si="4"/>
        <v>46161</v>
      </c>
      <c r="E48" s="34" t="str">
        <f t="shared" si="4"/>
        <v>6:11PM</v>
      </c>
      <c r="F48" s="62">
        <f t="shared" si="4"/>
        <v>216926220</v>
      </c>
      <c r="G48" s="51">
        <f t="shared" si="5"/>
        <v>52878093551556.25</v>
      </c>
      <c r="H48" s="33"/>
    </row>
    <row r="49" spans="2:10">
      <c r="B49" s="59">
        <f t="shared" si="4"/>
        <v>7</v>
      </c>
      <c r="C49" s="35" t="str">
        <f t="shared" si="4"/>
        <v>SOCIEDAD INVERSIONES PF SAS</v>
      </c>
      <c r="D49" s="52">
        <f t="shared" si="4"/>
        <v>46161</v>
      </c>
      <c r="E49" s="34" t="str">
        <f t="shared" si="4"/>
        <v>6:41PM</v>
      </c>
      <c r="F49" s="62">
        <f t="shared" si="4"/>
        <v>219424515</v>
      </c>
      <c r="G49" s="51">
        <f t="shared" si="5"/>
        <v>22785705566406.25</v>
      </c>
      <c r="H49" s="33"/>
    </row>
    <row r="50" spans="2:10" ht="29.25" thickBot="1">
      <c r="B50" s="92">
        <f t="shared" si="4"/>
        <v>8</v>
      </c>
      <c r="C50" s="95" t="str">
        <f t="shared" si="4"/>
        <v>CORPORACION SOCIAL PARA EL DESARROLLO DE LOS GRUPOS ETNICOS Y CULTURALES MULTIETNIAS</v>
      </c>
      <c r="D50" s="90">
        <f t="shared" si="4"/>
        <v>46161</v>
      </c>
      <c r="E50" s="93" t="str">
        <f t="shared" si="4"/>
        <v>9:07PM</v>
      </c>
      <c r="F50" s="96">
        <f t="shared" si="4"/>
        <v>224932770</v>
      </c>
      <c r="G50" s="97">
        <f t="shared" si="5"/>
        <v>539956758306.25</v>
      </c>
      <c r="H50" s="33"/>
    </row>
    <row r="51" spans="2:10" ht="15.75" thickBot="1">
      <c r="C51" s="43"/>
      <c r="E51" s="33"/>
      <c r="F51" s="46" t="s">
        <v>63</v>
      </c>
      <c r="G51" s="64">
        <f>SUM(G45:G50)/(D52)</f>
        <v>19813294961281.25</v>
      </c>
      <c r="H51" s="33"/>
    </row>
    <row r="52" spans="2:10">
      <c r="C52" s="43" t="s">
        <v>64</v>
      </c>
      <c r="D52" s="38">
        <f>COUNT(B45:B50)</f>
        <v>6</v>
      </c>
      <c r="E52" s="33"/>
      <c r="F52" s="33"/>
      <c r="H52" s="33"/>
    </row>
    <row r="53" spans="2:10">
      <c r="C53" s="43"/>
      <c r="E53" s="33"/>
      <c r="F53" s="33"/>
      <c r="H53" s="33"/>
    </row>
    <row r="54" spans="2:10" ht="15">
      <c r="C54" s="44" t="s">
        <v>65</v>
      </c>
      <c r="F54" s="45">
        <f>SQRT(G51)</f>
        <v>4451212.7517431974</v>
      </c>
    </row>
    <row r="55" spans="2:10">
      <c r="F55" s="33"/>
    </row>
    <row r="56" spans="2:10">
      <c r="B56" s="32" t="s">
        <v>66</v>
      </c>
      <c r="C56" s="43"/>
      <c r="E56" s="33"/>
      <c r="F56" s="33"/>
    </row>
    <row r="57" spans="2:10">
      <c r="C57" s="43"/>
      <c r="E57" s="33"/>
      <c r="F57" s="33"/>
    </row>
    <row r="58" spans="2:10" ht="15">
      <c r="C58" s="44" t="s">
        <v>67</v>
      </c>
      <c r="F58" s="45">
        <f>+F37-F54</f>
        <v>221923207.2482568</v>
      </c>
    </row>
    <row r="59" spans="2:10">
      <c r="F59" s="33"/>
    </row>
    <row r="60" spans="2:10">
      <c r="F60" s="33"/>
    </row>
    <row r="61" spans="2:10" ht="15.75">
      <c r="B61" s="32" t="s">
        <v>68</v>
      </c>
      <c r="H61" s="47"/>
      <c r="I61" s="48"/>
      <c r="J61" s="33"/>
    </row>
    <row r="62" spans="2:10" ht="15" thickBot="1"/>
    <row r="63" spans="2:10" ht="44.25" customHeight="1" thickBot="1">
      <c r="B63" s="68" t="s">
        <v>47</v>
      </c>
      <c r="C63" s="69" t="s">
        <v>48</v>
      </c>
      <c r="D63" s="29" t="s">
        <v>49</v>
      </c>
      <c r="E63" s="29" t="s">
        <v>50</v>
      </c>
      <c r="F63" s="30" t="s">
        <v>51</v>
      </c>
      <c r="G63" s="76" t="s">
        <v>67</v>
      </c>
      <c r="H63" s="69" t="s">
        <v>69</v>
      </c>
      <c r="I63" s="70" t="s">
        <v>70</v>
      </c>
    </row>
    <row r="64" spans="2:10" ht="30" customHeight="1">
      <c r="B64" s="101">
        <f t="shared" ref="B64:F69" si="6">+B45</f>
        <v>1</v>
      </c>
      <c r="C64" s="102" t="str">
        <f t="shared" si="6"/>
        <v>CORPORACIÓN ORIENTAR PARA CRECER (CASA 1)</v>
      </c>
      <c r="D64" s="103">
        <f t="shared" si="6"/>
        <v>46161</v>
      </c>
      <c r="E64" s="104" t="str">
        <f t="shared" si="6"/>
        <v>7:28AM</v>
      </c>
      <c r="F64" s="105">
        <f t="shared" si="6"/>
        <v>228044070</v>
      </c>
      <c r="G64" s="106">
        <f>+$F$58</f>
        <v>221923207.2482568</v>
      </c>
      <c r="H64" s="106">
        <f>+F64-G64</f>
        <v>6120862.7517431974</v>
      </c>
      <c r="I64" s="67" t="s">
        <v>71</v>
      </c>
    </row>
    <row r="65" spans="2:9" ht="30" customHeight="1">
      <c r="B65" s="78">
        <f t="shared" si="6"/>
        <v>2</v>
      </c>
      <c r="C65" s="91" t="str">
        <f t="shared" si="6"/>
        <v>CORPORACIÓN ORIENTAR PARA CRECER (CASA 2)</v>
      </c>
      <c r="D65" s="72">
        <f t="shared" si="6"/>
        <v>46161</v>
      </c>
      <c r="E65" s="73" t="str">
        <f t="shared" si="6"/>
        <v>7:28AM</v>
      </c>
      <c r="F65" s="74">
        <f t="shared" si="6"/>
        <v>228044070</v>
      </c>
      <c r="G65" s="75">
        <f t="shared" ref="G65:G69" si="7">+$F$58</f>
        <v>221923207.2482568</v>
      </c>
      <c r="H65" s="75">
        <f t="shared" ref="H65:H69" si="8">+F65-G65</f>
        <v>6120862.7517431974</v>
      </c>
      <c r="I65" s="65" t="s">
        <v>71</v>
      </c>
    </row>
    <row r="66" spans="2:9" ht="30" customHeight="1">
      <c r="B66" s="79">
        <f t="shared" si="6"/>
        <v>3</v>
      </c>
      <c r="C66" s="71" t="str">
        <f t="shared" si="6"/>
        <v>FEZ INVERSIONES SAS</v>
      </c>
      <c r="D66" s="98">
        <f t="shared" si="6"/>
        <v>46161</v>
      </c>
      <c r="E66" s="81" t="str">
        <f t="shared" si="6"/>
        <v>3:22PM</v>
      </c>
      <c r="F66" s="99">
        <f t="shared" si="6"/>
        <v>227816070</v>
      </c>
      <c r="G66" s="100">
        <f t="shared" si="7"/>
        <v>221923207.2482568</v>
      </c>
      <c r="H66" s="100">
        <f t="shared" si="8"/>
        <v>5892862.7517431974</v>
      </c>
      <c r="I66" s="65" t="s">
        <v>71</v>
      </c>
    </row>
    <row r="67" spans="2:9" ht="30" customHeight="1">
      <c r="B67" s="79">
        <f t="shared" si="6"/>
        <v>5</v>
      </c>
      <c r="C67" s="71" t="str">
        <f t="shared" si="6"/>
        <v>ASOCIACION CRISTIANA NUEVO NACIMIENTO -ACNN</v>
      </c>
      <c r="D67" s="98">
        <f t="shared" si="6"/>
        <v>46161</v>
      </c>
      <c r="E67" s="81" t="str">
        <f t="shared" si="6"/>
        <v>6:11PM</v>
      </c>
      <c r="F67" s="128">
        <f t="shared" si="6"/>
        <v>216926220</v>
      </c>
      <c r="G67" s="129">
        <f t="shared" si="7"/>
        <v>221923207.2482568</v>
      </c>
      <c r="H67" s="129">
        <f t="shared" si="8"/>
        <v>-4996987.2482568026</v>
      </c>
      <c r="I67" s="130" t="s">
        <v>72</v>
      </c>
    </row>
    <row r="68" spans="2:9" ht="30" customHeight="1">
      <c r="B68" s="79">
        <f t="shared" si="6"/>
        <v>7</v>
      </c>
      <c r="C68" s="71" t="str">
        <f t="shared" si="6"/>
        <v>SOCIEDAD INVERSIONES PF SAS</v>
      </c>
      <c r="D68" s="98">
        <f t="shared" si="6"/>
        <v>46161</v>
      </c>
      <c r="E68" s="81" t="str">
        <f t="shared" si="6"/>
        <v>6:41PM</v>
      </c>
      <c r="F68" s="128">
        <f t="shared" si="6"/>
        <v>219424515</v>
      </c>
      <c r="G68" s="129">
        <f t="shared" si="7"/>
        <v>221923207.2482568</v>
      </c>
      <c r="H68" s="129">
        <f t="shared" si="8"/>
        <v>-2498692.2482568026</v>
      </c>
      <c r="I68" s="130" t="s">
        <v>72</v>
      </c>
    </row>
    <row r="69" spans="2:9" ht="30" customHeight="1" thickBot="1">
      <c r="B69" s="107">
        <f t="shared" si="6"/>
        <v>8</v>
      </c>
      <c r="C69" s="95" t="str">
        <f t="shared" si="6"/>
        <v>CORPORACION SOCIAL PARA EL DESARROLLO DE LOS GRUPOS ETNICOS Y CULTURALES MULTIETNIAS</v>
      </c>
      <c r="D69" s="108">
        <f t="shared" si="6"/>
        <v>46161</v>
      </c>
      <c r="E69" s="109" t="str">
        <f t="shared" si="6"/>
        <v>9:07PM</v>
      </c>
      <c r="F69" s="110">
        <f t="shared" si="6"/>
        <v>224932770</v>
      </c>
      <c r="G69" s="111">
        <f t="shared" si="7"/>
        <v>221923207.2482568</v>
      </c>
      <c r="H69" s="111">
        <f t="shared" si="8"/>
        <v>3009562.7517431974</v>
      </c>
      <c r="I69" s="66" t="s">
        <v>71</v>
      </c>
    </row>
    <row r="71" spans="2:9" ht="15" customHeight="1"/>
  </sheetData>
  <mergeCells count="10">
    <mergeCell ref="B2:J2"/>
    <mergeCell ref="B4:E4"/>
    <mergeCell ref="B5:C5"/>
    <mergeCell ref="D5:E5"/>
    <mergeCell ref="B9:K9"/>
    <mergeCell ref="B11:K11"/>
    <mergeCell ref="G15:G20"/>
    <mergeCell ref="H15:H20"/>
    <mergeCell ref="B23:K23"/>
    <mergeCell ref="B10:K10"/>
  </mergeCells>
  <pageMargins left="0.7" right="0.7" top="0.75" bottom="0.75" header="0.3" footer="0.3"/>
  <pageSetup paperSize="9" scale="2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A8D24-FACC-4BEF-A883-9476308F56C2}">
  <sheetPr>
    <tabColor rgb="FF92D050"/>
  </sheetPr>
  <dimension ref="B2:G21"/>
  <sheetViews>
    <sheetView topLeftCell="B1" zoomScale="80" zoomScaleNormal="80" workbookViewId="0">
      <selection activeCell="E26" sqref="E26"/>
    </sheetView>
  </sheetViews>
  <sheetFormatPr defaultColWidth="11" defaultRowHeight="14.25"/>
  <cols>
    <col min="1" max="1" width="11" style="27"/>
    <col min="2" max="2" width="5.125" style="27" customWidth="1"/>
    <col min="3" max="3" width="54" style="27" bestFit="1" customWidth="1"/>
    <col min="4" max="5" width="10.75" style="27" bestFit="1" customWidth="1"/>
    <col min="6" max="6" width="18.875" style="27" customWidth="1"/>
    <col min="7" max="7" width="45.75" style="27" bestFit="1" customWidth="1"/>
    <col min="8" max="16384" width="11" style="27"/>
  </cols>
  <sheetData>
    <row r="2" spans="2:7" ht="20.25">
      <c r="B2" s="240" t="str">
        <f>+'EVALUACIÓN 2026_lote_1_MES2'!A2</f>
        <v>SDMUJER-SAMC-001-2026</v>
      </c>
      <c r="C2" s="240"/>
      <c r="D2" s="240"/>
      <c r="E2" s="240"/>
      <c r="F2" s="240"/>
      <c r="G2" s="240"/>
    </row>
    <row r="3" spans="2:7" ht="78.75" customHeight="1">
      <c r="B3" s="244" t="str">
        <f>+'EVALUACIÓN 2026_lote_1_MES2'!A4</f>
        <v>Objeto: LOTE 1 MODALIDAD INTEGRAL:“Prestar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v>
      </c>
      <c r="C3" s="244"/>
      <c r="D3" s="244"/>
      <c r="E3" s="244"/>
      <c r="F3" s="244"/>
      <c r="G3" s="244"/>
    </row>
    <row r="4" spans="2:7" ht="18">
      <c r="B4" s="26"/>
      <c r="C4" s="26"/>
      <c r="D4" s="26"/>
      <c r="E4" s="26"/>
      <c r="F4" s="26"/>
      <c r="G4" s="26"/>
    </row>
    <row r="5" spans="2:7" ht="15">
      <c r="B5" s="28" t="s">
        <v>44</v>
      </c>
    </row>
    <row r="6" spans="2:7" ht="15">
      <c r="B6" s="28"/>
    </row>
    <row r="7" spans="2:7" ht="15" customHeight="1">
      <c r="B7" s="245" t="s">
        <v>73</v>
      </c>
      <c r="C7" s="246"/>
      <c r="D7" s="247">
        <f>+'EVALUACIÓN 2026_lote_1_MES2'!E45</f>
        <v>228044070</v>
      </c>
      <c r="E7" s="248"/>
    </row>
    <row r="10" spans="2:7" ht="18">
      <c r="B10" s="249" t="s">
        <v>74</v>
      </c>
      <c r="C10" s="249"/>
      <c r="D10" s="249"/>
      <c r="E10" s="249"/>
      <c r="F10" s="249"/>
      <c r="G10" s="249"/>
    </row>
    <row r="12" spans="2:7">
      <c r="B12" s="27" t="s">
        <v>75</v>
      </c>
    </row>
    <row r="13" spans="2:7" ht="15" thickBot="1"/>
    <row r="14" spans="2:7" ht="15.75" thickBot="1">
      <c r="B14" s="241" t="s">
        <v>57</v>
      </c>
      <c r="C14" s="242"/>
      <c r="D14" s="242"/>
      <c r="E14" s="242"/>
      <c r="F14" s="242"/>
      <c r="G14" s="243"/>
    </row>
    <row r="15" spans="2:7" ht="45">
      <c r="B15" s="53" t="s">
        <v>47</v>
      </c>
      <c r="C15" s="54" t="s">
        <v>48</v>
      </c>
      <c r="D15" s="54" t="s">
        <v>49</v>
      </c>
      <c r="E15" s="54" t="s">
        <v>50</v>
      </c>
      <c r="F15" s="55" t="s">
        <v>51</v>
      </c>
      <c r="G15" s="87" t="s">
        <v>76</v>
      </c>
    </row>
    <row r="16" spans="2:7" ht="15">
      <c r="B16" s="84">
        <v>1</v>
      </c>
      <c r="C16" s="83" t="str">
        <f>+'EVALUACIÓN 2026_lote_1_MES2'!B18</f>
        <v>CORPORACIÓN ORIENTAR PARA CRECER (CASA 1)</v>
      </c>
      <c r="D16" s="72">
        <v>46161</v>
      </c>
      <c r="E16" s="72" t="s">
        <v>77</v>
      </c>
      <c r="F16" s="214">
        <f>+'EVAL PROP ARTIFI BAJA_MES2'!F15</f>
        <v>228044070</v>
      </c>
      <c r="G16" s="88" t="str">
        <f>+'EVAL PROP ARTIFI BAJA_MES2'!I64</f>
        <v>Propuesta incluida dentro de la minima aceptable</v>
      </c>
    </row>
    <row r="17" spans="2:7" ht="15">
      <c r="B17" s="84">
        <v>2</v>
      </c>
      <c r="C17" s="83" t="str">
        <f>+'EVALUACIÓN 2026_lote_1_MES2'!B19</f>
        <v>CORPORACIÓN ORIENTAR PARA CRECER (CASA 2)</v>
      </c>
      <c r="D17" s="72">
        <v>46161</v>
      </c>
      <c r="E17" s="72" t="s">
        <v>77</v>
      </c>
      <c r="F17" s="214">
        <f>+'EVAL PROP ARTIFI BAJA_MES2'!F16</f>
        <v>228044070</v>
      </c>
      <c r="G17" s="88" t="str">
        <f>+'EVAL PROP ARTIFI BAJA_MES2'!I65</f>
        <v>Propuesta incluida dentro de la minima aceptable</v>
      </c>
    </row>
    <row r="18" spans="2:7" ht="15">
      <c r="B18" s="84">
        <v>3</v>
      </c>
      <c r="C18" s="83" t="str">
        <f>+'EVALUACIÓN 2026_lote_1_MES2'!B20</f>
        <v>FEZ INVERSIONES SAS</v>
      </c>
      <c r="D18" s="72">
        <v>46161</v>
      </c>
      <c r="E18" s="72" t="s">
        <v>78</v>
      </c>
      <c r="F18" s="214">
        <f>+'EVAL PROP ARTIFI BAJA_MES2'!F17</f>
        <v>227816070</v>
      </c>
      <c r="G18" s="88" t="str">
        <f>+'EVAL PROP ARTIFI BAJA_MES2'!I66</f>
        <v>Propuesta incluida dentro de la minima aceptable</v>
      </c>
    </row>
    <row r="19" spans="2:7" ht="15">
      <c r="B19" s="84">
        <v>5</v>
      </c>
      <c r="C19" s="83" t="str">
        <f>+'EVALUACIÓN 2026_lote_1_MES2'!B22</f>
        <v>ASOCIACION CRISTIANA NUEVO NACIMIENTO -ACNN</v>
      </c>
      <c r="D19" s="72">
        <v>46161</v>
      </c>
      <c r="E19" s="72" t="s">
        <v>79</v>
      </c>
      <c r="F19" s="214">
        <f>+'EVAL PROP ARTIFI BAJA_MES2'!F18</f>
        <v>216926220</v>
      </c>
      <c r="G19" s="88" t="str">
        <f>+'EVAL PROP ARTIFI BAJA_MES2'!I67</f>
        <v>Propuesta artificialmente baja</v>
      </c>
    </row>
    <row r="20" spans="2:7" ht="15">
      <c r="B20" s="84">
        <v>7</v>
      </c>
      <c r="C20" s="83" t="str">
        <f>+'EVALUACIÓN 2026_lote_1_MES2'!B24</f>
        <v>SOCIEDAD INVERSIONES PF SAS</v>
      </c>
      <c r="D20" s="72">
        <v>46161</v>
      </c>
      <c r="E20" s="72" t="s">
        <v>80</v>
      </c>
      <c r="F20" s="214">
        <f>+'EVAL PROP ARTIFI BAJA_MES2'!F19</f>
        <v>219424515</v>
      </c>
      <c r="G20" s="88" t="str">
        <f>+'EVAL PROP ARTIFI BAJA_MES2'!I68</f>
        <v>Propuesta artificialmente baja</v>
      </c>
    </row>
    <row r="21" spans="2:7" ht="29.25" thickBot="1">
      <c r="B21" s="85">
        <v>8</v>
      </c>
      <c r="C21" s="86" t="str">
        <f>+'EVALUACIÓN 2026_lote_1_MES2'!B25</f>
        <v>CORPORACION SOCIAL PARA EL DESARROLLO DE LOS GRUPOS ETNICOS Y CULTURALES MULTIETNIAS</v>
      </c>
      <c r="D21" s="90">
        <v>46161</v>
      </c>
      <c r="E21" s="90" t="s">
        <v>81</v>
      </c>
      <c r="F21" s="215">
        <f>+'EVAL PROP ARTIFI BAJA_MES2'!F20</f>
        <v>224932770</v>
      </c>
      <c r="G21" s="89" t="str">
        <f>+'EVAL PROP ARTIFI BAJA_MES2'!I69</f>
        <v>Propuesta incluida dentro de la minima aceptable</v>
      </c>
    </row>
  </sheetData>
  <mergeCells count="6">
    <mergeCell ref="B14:G14"/>
    <mergeCell ref="B2:G2"/>
    <mergeCell ref="B3:G3"/>
    <mergeCell ref="B7:C7"/>
    <mergeCell ref="D7:E7"/>
    <mergeCell ref="B10:G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BAF64-FD2D-4BC3-9654-8C23596FD96B}">
  <sheetPr>
    <tabColor rgb="FF7030A0"/>
  </sheetPr>
  <dimension ref="A1:J49"/>
  <sheetViews>
    <sheetView tabSelected="1" topLeftCell="A16" zoomScale="90" zoomScaleNormal="90" workbookViewId="0">
      <selection activeCell="H19" sqref="H19"/>
    </sheetView>
  </sheetViews>
  <sheetFormatPr defaultColWidth="10.75" defaultRowHeight="15"/>
  <cols>
    <col min="1" max="1" width="21.75" style="1" customWidth="1"/>
    <col min="2" max="2" width="46.75" style="1" customWidth="1"/>
    <col min="3" max="3" width="20.75" style="1" hidden="1" customWidth="1"/>
    <col min="4" max="4" width="21.25" style="1" customWidth="1"/>
    <col min="5" max="5" width="20" style="1" customWidth="1"/>
    <col min="6" max="6" width="19.25" style="1" customWidth="1"/>
    <col min="7" max="7" width="12.5" style="1" bestFit="1" customWidth="1"/>
    <col min="8" max="8" width="16" style="1" customWidth="1"/>
    <col min="9" max="9" width="12.5" style="1" bestFit="1" customWidth="1"/>
    <col min="10" max="10" width="14.25" style="1" customWidth="1"/>
    <col min="11" max="16384" width="10.75" style="1"/>
  </cols>
  <sheetData>
    <row r="1" spans="1:10" ht="37.15" customHeight="1">
      <c r="A1" s="222" t="s">
        <v>0</v>
      </c>
      <c r="B1" s="222"/>
      <c r="C1" s="222"/>
      <c r="D1" s="222"/>
      <c r="E1" s="222"/>
      <c r="F1" s="222"/>
    </row>
    <row r="2" spans="1:10" ht="15.75">
      <c r="A2" s="223" t="s">
        <v>1</v>
      </c>
      <c r="B2" s="223"/>
      <c r="C2" s="223"/>
      <c r="D2" s="223"/>
      <c r="E2" s="223"/>
      <c r="F2" s="223"/>
    </row>
    <row r="4" spans="1:10" ht="71.25" customHeight="1">
      <c r="A4" s="224" t="s">
        <v>2</v>
      </c>
      <c r="B4" s="224"/>
      <c r="C4" s="224"/>
      <c r="D4" s="224"/>
      <c r="E4" s="224"/>
      <c r="F4" s="224"/>
      <c r="G4" s="2"/>
      <c r="H4" s="2" t="s">
        <v>3</v>
      </c>
      <c r="I4" s="2"/>
      <c r="J4" s="2"/>
    </row>
    <row r="5" spans="1:10" ht="20.100000000000001" customHeight="1">
      <c r="A5" s="3" t="s">
        <v>5</v>
      </c>
      <c r="B5" s="3" t="s">
        <v>6</v>
      </c>
      <c r="C5" s="3" t="s">
        <v>23</v>
      </c>
      <c r="D5" s="3" t="s">
        <v>7</v>
      </c>
      <c r="E5" s="113"/>
      <c r="F5" s="113"/>
      <c r="G5" s="2"/>
      <c r="H5" s="2"/>
      <c r="I5" s="2"/>
      <c r="J5" s="2"/>
    </row>
    <row r="6" spans="1:10" ht="20.100000000000001" customHeight="1">
      <c r="A6" s="220" t="s">
        <v>8</v>
      </c>
      <c r="B6" s="22" t="s">
        <v>9</v>
      </c>
      <c r="C6" s="23" t="s">
        <v>27</v>
      </c>
      <c r="D6" s="24">
        <v>1141937150</v>
      </c>
      <c r="E6" s="113"/>
      <c r="F6" s="113"/>
      <c r="G6" s="2"/>
      <c r="H6" s="2"/>
      <c r="I6" s="2"/>
      <c r="J6" s="2"/>
    </row>
    <row r="7" spans="1:10" ht="20.100000000000001" customHeight="1">
      <c r="A7" s="221"/>
      <c r="B7" s="22" t="s">
        <v>10</v>
      </c>
      <c r="C7" s="23" t="s">
        <v>29</v>
      </c>
      <c r="D7" s="24">
        <v>1141937150</v>
      </c>
      <c r="E7" s="113"/>
      <c r="F7" s="113"/>
      <c r="G7" s="2"/>
      <c r="H7" s="2"/>
      <c r="I7" s="2"/>
      <c r="J7" s="2"/>
    </row>
    <row r="8" spans="1:10" ht="20.100000000000001" customHeight="1">
      <c r="A8" s="25" t="s">
        <v>11</v>
      </c>
      <c r="B8" s="16" t="s">
        <v>12</v>
      </c>
      <c r="C8" s="23" t="s">
        <v>27</v>
      </c>
      <c r="D8" s="24">
        <v>1140797150</v>
      </c>
      <c r="E8" s="113"/>
      <c r="F8" s="113"/>
      <c r="G8" s="2"/>
      <c r="H8" s="2"/>
      <c r="I8" s="2"/>
      <c r="J8" s="2"/>
    </row>
    <row r="9" spans="1:10" ht="20.100000000000001" customHeight="1">
      <c r="A9" s="25" t="s">
        <v>13</v>
      </c>
      <c r="B9" s="22" t="s">
        <v>14</v>
      </c>
      <c r="C9" s="23" t="s">
        <v>27</v>
      </c>
      <c r="D9" s="24">
        <v>1137047316</v>
      </c>
      <c r="E9" s="113"/>
      <c r="F9" s="113"/>
      <c r="G9" s="2"/>
      <c r="H9" s="2"/>
      <c r="I9" s="2"/>
      <c r="J9" s="2"/>
    </row>
    <row r="10" spans="1:10" ht="24.75" customHeight="1">
      <c r="A10" s="25" t="s">
        <v>15</v>
      </c>
      <c r="B10" s="22" t="s">
        <v>16</v>
      </c>
      <c r="C10" s="23" t="s">
        <v>27</v>
      </c>
      <c r="D10" s="24">
        <v>1086347900</v>
      </c>
      <c r="E10" s="113"/>
      <c r="F10" s="113"/>
      <c r="G10" s="2"/>
      <c r="H10" s="2"/>
      <c r="I10" s="2"/>
      <c r="J10" s="2"/>
    </row>
    <row r="11" spans="1:10" ht="20.100000000000001" customHeight="1">
      <c r="A11" s="25" t="s">
        <v>17</v>
      </c>
      <c r="B11" s="22" t="s">
        <v>18</v>
      </c>
      <c r="C11" s="23" t="s">
        <v>27</v>
      </c>
      <c r="D11" s="24">
        <v>1137512774</v>
      </c>
      <c r="E11" s="113"/>
      <c r="F11" s="113"/>
      <c r="G11" s="2"/>
      <c r="H11" s="2"/>
      <c r="I11" s="2"/>
      <c r="J11" s="2"/>
    </row>
    <row r="12" spans="1:10" ht="20.100000000000001" customHeight="1">
      <c r="A12" s="25" t="s">
        <v>19</v>
      </c>
      <c r="B12" s="22" t="s">
        <v>20</v>
      </c>
      <c r="C12" s="23" t="s">
        <v>27</v>
      </c>
      <c r="D12" s="24">
        <v>1098753550</v>
      </c>
      <c r="E12" s="113"/>
      <c r="F12" s="113"/>
      <c r="G12" s="2"/>
      <c r="H12" s="2"/>
      <c r="I12" s="2"/>
      <c r="J12" s="2"/>
    </row>
    <row r="13" spans="1:10" ht="38.25" customHeight="1">
      <c r="A13" s="25" t="s">
        <v>21</v>
      </c>
      <c r="B13" s="22" t="s">
        <v>22</v>
      </c>
      <c r="C13" s="23" t="s">
        <v>27</v>
      </c>
      <c r="D13" s="24">
        <v>1126380650</v>
      </c>
      <c r="E13" s="113"/>
      <c r="F13" s="113"/>
      <c r="G13" s="2"/>
      <c r="H13" s="2"/>
      <c r="I13" s="2"/>
      <c r="J13" s="2"/>
    </row>
    <row r="14" spans="1:10" ht="20.100000000000001" customHeight="1">
      <c r="A14" s="113"/>
      <c r="B14" s="113"/>
      <c r="C14" s="113"/>
      <c r="D14" s="113"/>
      <c r="E14" s="113"/>
      <c r="F14" s="113"/>
      <c r="G14" s="2"/>
      <c r="H14" s="2"/>
      <c r="I14" s="2"/>
      <c r="J14" s="2"/>
    </row>
    <row r="16" spans="1:10" s="5" customFormat="1" ht="31.5">
      <c r="A16" s="3" t="s">
        <v>5</v>
      </c>
      <c r="B16" s="3" t="s">
        <v>6</v>
      </c>
      <c r="C16" s="3" t="s">
        <v>23</v>
      </c>
      <c r="D16" s="3" t="s">
        <v>24</v>
      </c>
      <c r="E16" s="3" t="s">
        <v>84</v>
      </c>
      <c r="F16" s="4" t="s">
        <v>26</v>
      </c>
    </row>
    <row r="17" spans="1:8" s="5" customFormat="1" ht="39.950000000000003" customHeight="1">
      <c r="A17" s="225" t="s">
        <v>8</v>
      </c>
      <c r="B17" s="114" t="s">
        <v>9</v>
      </c>
      <c r="C17" s="115" t="s">
        <v>27</v>
      </c>
      <c r="D17" s="24" t="s">
        <v>28</v>
      </c>
      <c r="E17" s="24">
        <v>1141937150</v>
      </c>
      <c r="F17" s="154">
        <f t="shared" ref="F17:F24" si="0">IF(E17&lt;=$E$41,(30*(1-(($E$41-E17)/$E$41))),(30*(1-(2*(ABS($E$41-E17)/$E$41)))))</f>
        <v>29.683717705882501</v>
      </c>
      <c r="G17" s="13"/>
    </row>
    <row r="18" spans="1:8" s="5" customFormat="1" ht="39.950000000000003" customHeight="1">
      <c r="A18" s="226"/>
      <c r="B18" s="114" t="s">
        <v>10</v>
      </c>
      <c r="C18" s="115" t="s">
        <v>29</v>
      </c>
      <c r="D18" s="24" t="s">
        <v>28</v>
      </c>
      <c r="E18" s="24">
        <v>1141937150</v>
      </c>
      <c r="F18" s="154">
        <f t="shared" si="0"/>
        <v>29.683717705882501</v>
      </c>
      <c r="G18" s="13"/>
    </row>
    <row r="19" spans="1:8" s="5" customFormat="1" ht="39.950000000000003" customHeight="1">
      <c r="A19" s="155" t="s">
        <v>11</v>
      </c>
      <c r="B19" s="156" t="s">
        <v>12</v>
      </c>
      <c r="C19" s="115" t="s">
        <v>27</v>
      </c>
      <c r="D19" s="24" t="s">
        <v>28</v>
      </c>
      <c r="E19" s="24">
        <v>1140797150</v>
      </c>
      <c r="F19" s="154">
        <f t="shared" si="0"/>
        <v>29.743931669335126</v>
      </c>
      <c r="G19" s="13"/>
    </row>
    <row r="20" spans="1:8" s="5" customFormat="1" ht="47.25" customHeight="1">
      <c r="A20" s="155" t="s">
        <v>13</v>
      </c>
      <c r="B20" s="114" t="s">
        <v>14</v>
      </c>
      <c r="C20" s="115" t="s">
        <v>27</v>
      </c>
      <c r="D20" s="158" t="s">
        <v>30</v>
      </c>
      <c r="E20" s="24"/>
      <c r="F20" s="154">
        <f t="shared" si="0"/>
        <v>0</v>
      </c>
      <c r="G20" s="13"/>
    </row>
    <row r="21" spans="1:8" s="5" customFormat="1" ht="39.950000000000003" customHeight="1">
      <c r="A21" s="155" t="s">
        <v>15</v>
      </c>
      <c r="B21" s="114" t="s">
        <v>16</v>
      </c>
      <c r="C21" s="115" t="s">
        <v>27</v>
      </c>
      <c r="D21" s="158" t="s">
        <v>30</v>
      </c>
      <c r="E21" s="24"/>
      <c r="F21" s="154">
        <f t="shared" si="0"/>
        <v>0</v>
      </c>
      <c r="G21" s="13"/>
    </row>
    <row r="22" spans="1:8" s="5" customFormat="1" ht="48" customHeight="1">
      <c r="A22" s="155" t="s">
        <v>17</v>
      </c>
      <c r="B22" s="114" t="s">
        <v>18</v>
      </c>
      <c r="C22" s="115" t="s">
        <v>27</v>
      </c>
      <c r="D22" s="158" t="s">
        <v>30</v>
      </c>
      <c r="E22" s="24"/>
      <c r="F22" s="154">
        <f t="shared" si="0"/>
        <v>0</v>
      </c>
      <c r="G22" s="13"/>
      <c r="H22" s="5" t="s">
        <v>31</v>
      </c>
    </row>
    <row r="23" spans="1:8" s="5" customFormat="1" ht="39.950000000000003" customHeight="1">
      <c r="A23" s="155" t="s">
        <v>19</v>
      </c>
      <c r="B23" s="114" t="s">
        <v>20</v>
      </c>
      <c r="C23" s="115" t="s">
        <v>27</v>
      </c>
      <c r="D23" s="24" t="s">
        <v>28</v>
      </c>
      <c r="E23" s="24">
        <v>1098753550</v>
      </c>
      <c r="F23" s="154">
        <f t="shared" si="0"/>
        <v>29.017678115412807</v>
      </c>
      <c r="G23" s="13"/>
    </row>
    <row r="24" spans="1:8" s="5" customFormat="1" ht="39.950000000000003" customHeight="1">
      <c r="A24" s="155" t="s">
        <v>21</v>
      </c>
      <c r="B24" s="114" t="s">
        <v>22</v>
      </c>
      <c r="C24" s="115" t="s">
        <v>27</v>
      </c>
      <c r="D24" s="24" t="s">
        <v>28</v>
      </c>
      <c r="E24" s="24">
        <v>1126380650</v>
      </c>
      <c r="F24" s="154">
        <f t="shared" si="0"/>
        <v>29.747299689843508</v>
      </c>
      <c r="G24" s="13"/>
    </row>
    <row r="25" spans="1:8" ht="25.15" customHeight="1">
      <c r="H25" s="5"/>
    </row>
    <row r="26" spans="1:8" ht="15.75">
      <c r="A26" s="223" t="s">
        <v>32</v>
      </c>
      <c r="B26" s="223"/>
      <c r="C26" s="223"/>
      <c r="D26" s="223"/>
      <c r="E26" s="223"/>
    </row>
    <row r="27" spans="1:8">
      <c r="F27" s="17"/>
      <c r="G27" s="18"/>
    </row>
    <row r="28" spans="1:8" s="6" customFormat="1" ht="30" customHeight="1">
      <c r="A28" s="116" t="s">
        <v>33</v>
      </c>
      <c r="B28" s="116" t="s">
        <v>34</v>
      </c>
      <c r="C28" s="116"/>
      <c r="D28" s="116" t="s">
        <v>35</v>
      </c>
      <c r="E28" s="17"/>
      <c r="F28" s="17"/>
      <c r="G28" s="18"/>
    </row>
    <row r="29" spans="1:8">
      <c r="A29" s="117" t="s">
        <v>36</v>
      </c>
      <c r="B29" s="118">
        <v>1</v>
      </c>
      <c r="C29" s="118"/>
      <c r="D29" s="117" t="s">
        <v>37</v>
      </c>
      <c r="E29" s="17"/>
      <c r="F29" s="17"/>
      <c r="G29" s="18"/>
    </row>
    <row r="30" spans="1:8">
      <c r="A30" s="119" t="s">
        <v>38</v>
      </c>
      <c r="B30" s="120">
        <v>2</v>
      </c>
      <c r="C30" s="120"/>
      <c r="D30" s="119" t="s">
        <v>39</v>
      </c>
      <c r="E30" s="17"/>
      <c r="F30" s="17"/>
      <c r="G30" s="18"/>
    </row>
    <row r="31" spans="1:8" ht="30">
      <c r="A31" s="117" t="s">
        <v>40</v>
      </c>
      <c r="B31" s="118">
        <v>3</v>
      </c>
      <c r="C31" s="118"/>
      <c r="D31" s="16" t="s">
        <v>41</v>
      </c>
      <c r="E31" s="17"/>
      <c r="F31" s="17"/>
      <c r="G31" s="18"/>
    </row>
    <row r="32" spans="1:8">
      <c r="F32" s="17"/>
      <c r="G32" s="18"/>
    </row>
    <row r="33" spans="1:7" ht="15.75">
      <c r="A33" s="7" t="s">
        <v>42</v>
      </c>
      <c r="B33" s="8">
        <v>3730.49</v>
      </c>
      <c r="C33" s="8"/>
      <c r="F33" s="17"/>
      <c r="G33" s="18"/>
    </row>
    <row r="34" spans="1:7">
      <c r="F34" s="19"/>
      <c r="G34" s="20"/>
    </row>
    <row r="35" spans="1:7">
      <c r="F35" s="21"/>
      <c r="G35" s="21"/>
    </row>
    <row r="39" spans="1:7" ht="58.9" customHeight="1">
      <c r="E39" s="9" t="str">
        <f>+D30</f>
        <v>Media aritmética alta</v>
      </c>
    </row>
    <row r="41" spans="1:7" ht="15.75">
      <c r="E41" s="14">
        <f>AVERAGE(E17,AVERAGE(E17:E24))</f>
        <v>1135949140</v>
      </c>
      <c r="F41" s="15">
        <f>(MAX(E17:E24)+AVERAGE(E17:E24))/2</f>
        <v>1135949140</v>
      </c>
    </row>
    <row r="43" spans="1:7" ht="50.25" customHeight="1">
      <c r="E43" s="11" t="s">
        <v>85</v>
      </c>
    </row>
    <row r="44" spans="1:7" ht="15.75">
      <c r="E44" s="10">
        <v>1141937150</v>
      </c>
    </row>
    <row r="45" spans="1:7">
      <c r="F45" s="12"/>
    </row>
    <row r="47" spans="1:7" ht="15.75">
      <c r="A47" s="218"/>
      <c r="B47" s="218"/>
      <c r="C47" s="218"/>
      <c r="D47" s="218"/>
    </row>
    <row r="49" spans="1:4" ht="15.75">
      <c r="A49" s="219"/>
      <c r="B49" s="219"/>
      <c r="C49" s="219"/>
      <c r="D49" s="219"/>
    </row>
  </sheetData>
  <mergeCells count="8">
    <mergeCell ref="A47:D47"/>
    <mergeCell ref="A49:D49"/>
    <mergeCell ref="A6:A7"/>
    <mergeCell ref="A1:F1"/>
    <mergeCell ref="A2:F2"/>
    <mergeCell ref="A4:F4"/>
    <mergeCell ref="A17:A18"/>
    <mergeCell ref="A26:E26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82830-06D1-47B9-A861-E9B9717EBBD5}">
  <sheetPr>
    <tabColor rgb="FF7030A0"/>
  </sheetPr>
  <dimension ref="B1:K69"/>
  <sheetViews>
    <sheetView topLeftCell="A42" zoomScale="80" zoomScaleNormal="80" zoomScaleSheetLayoutView="100" workbookViewId="0">
      <selection activeCell="F24" sqref="F24"/>
    </sheetView>
  </sheetViews>
  <sheetFormatPr defaultColWidth="11" defaultRowHeight="14.25"/>
  <cols>
    <col min="1" max="1" width="11" style="32"/>
    <col min="2" max="2" width="5.125" style="32" customWidth="1"/>
    <col min="3" max="3" width="51.625" style="32" customWidth="1"/>
    <col min="4" max="4" width="10.625" style="32" customWidth="1"/>
    <col min="5" max="5" width="8.75" style="32" customWidth="1"/>
    <col min="6" max="6" width="19.875" style="32" bestFit="1" customWidth="1"/>
    <col min="7" max="7" width="26.875" style="32" customWidth="1"/>
    <col min="8" max="8" width="17" style="32" customWidth="1"/>
    <col min="9" max="9" width="46.875" style="32" customWidth="1"/>
    <col min="10" max="10" width="22.75" style="32" customWidth="1"/>
    <col min="11" max="11" width="14" style="32" customWidth="1"/>
    <col min="12" max="16384" width="11" style="32"/>
  </cols>
  <sheetData>
    <row r="1" spans="2:11" ht="15" thickBot="1"/>
    <row r="2" spans="2:11" ht="78" customHeight="1" thickBot="1">
      <c r="B2" s="234" t="str">
        <f>+'EVALUACIÓN PROPONENTES_Total'!B3</f>
        <v>Objeto: LOTE 1 MODALIDAD INTEGRAL:“Prestar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v>
      </c>
      <c r="C2" s="235"/>
      <c r="D2" s="235"/>
      <c r="E2" s="235"/>
      <c r="F2" s="235"/>
      <c r="G2" s="235"/>
      <c r="H2" s="235"/>
      <c r="I2" s="235"/>
      <c r="J2" s="236"/>
    </row>
    <row r="4" spans="2:11" ht="14.25" customHeight="1">
      <c r="B4" s="237" t="s">
        <v>44</v>
      </c>
      <c r="C4" s="237"/>
      <c r="D4" s="237"/>
      <c r="E4" s="237"/>
    </row>
    <row r="5" spans="2:11" ht="15">
      <c r="B5" s="238" t="str">
        <f>+'EVALUACIÓN PROPONENTES_Total'!B7</f>
        <v>VALOR PRESUPUESTO MENSUAL</v>
      </c>
      <c r="C5" s="238"/>
      <c r="D5" s="239">
        <f>+'EVALUACIÓN PROPONENTES_Total'!D7</f>
        <v>1141937150</v>
      </c>
      <c r="E5" s="239"/>
    </row>
    <row r="9" spans="2:11" ht="18" customHeight="1">
      <c r="B9" s="230" t="s">
        <v>45</v>
      </c>
      <c r="C9" s="230"/>
      <c r="D9" s="230"/>
      <c r="E9" s="230"/>
      <c r="F9" s="230"/>
      <c r="G9" s="230"/>
      <c r="H9" s="230"/>
      <c r="I9" s="230"/>
      <c r="J9" s="230"/>
      <c r="K9" s="230"/>
    </row>
    <row r="10" spans="2:11" ht="18">
      <c r="B10" s="230"/>
      <c r="C10" s="230"/>
      <c r="D10" s="230"/>
      <c r="E10" s="230"/>
      <c r="F10" s="230"/>
      <c r="G10" s="230"/>
      <c r="H10" s="230"/>
      <c r="I10" s="230"/>
      <c r="J10" s="230"/>
      <c r="K10" s="230"/>
    </row>
    <row r="11" spans="2:11" ht="18" customHeight="1">
      <c r="B11" s="230" t="s">
        <v>46</v>
      </c>
      <c r="C11" s="230"/>
      <c r="D11" s="230"/>
      <c r="E11" s="230"/>
      <c r="F11" s="230"/>
      <c r="G11" s="230"/>
      <c r="H11" s="230"/>
      <c r="I11" s="230"/>
      <c r="J11" s="230"/>
      <c r="K11" s="230"/>
    </row>
    <row r="12" spans="2:11" ht="18">
      <c r="B12" s="31"/>
      <c r="C12" s="31"/>
      <c r="D12" s="31"/>
      <c r="E12" s="31"/>
      <c r="F12" s="31"/>
      <c r="G12" s="31"/>
      <c r="H12" s="31"/>
      <c r="I12" s="31"/>
      <c r="J12" s="31"/>
    </row>
    <row r="13" spans="2:11" ht="15" thickBot="1">
      <c r="F13" s="33"/>
    </row>
    <row r="14" spans="2:11" ht="150">
      <c r="B14" s="49" t="s">
        <v>47</v>
      </c>
      <c r="C14" s="50" t="s">
        <v>48</v>
      </c>
      <c r="D14" s="54" t="s">
        <v>49</v>
      </c>
      <c r="E14" s="54" t="s">
        <v>50</v>
      </c>
      <c r="F14" s="56" t="s">
        <v>51</v>
      </c>
      <c r="G14" s="57" t="s">
        <v>52</v>
      </c>
      <c r="H14" s="57" t="s">
        <v>53</v>
      </c>
      <c r="I14" s="57" t="s">
        <v>54</v>
      </c>
      <c r="J14" s="57" t="s">
        <v>55</v>
      </c>
      <c r="K14" s="58" t="s">
        <v>56</v>
      </c>
    </row>
    <row r="15" spans="2:11" ht="15.75">
      <c r="B15" s="78">
        <f>+'EVALUACIÓN PROPONENTES_Total'!B16</f>
        <v>1</v>
      </c>
      <c r="C15" s="91" t="str">
        <f>+'EVALUACIÓN PROPONENTES_Total'!C16</f>
        <v>CORPORACIÓN ORIENTAR PARA CRECER (CASA 1)</v>
      </c>
      <c r="D15" s="72">
        <f>+'EVALUACIÓN PROPONENTES_Total'!D16</f>
        <v>46161</v>
      </c>
      <c r="E15" s="73" t="str">
        <f>+'EVALUACIÓN PROPONENTES_Total'!E16</f>
        <v>7:28AM</v>
      </c>
      <c r="F15" s="74">
        <v>1141937150</v>
      </c>
      <c r="G15" s="231">
        <f>+D5-F37</f>
        <v>8348250</v>
      </c>
      <c r="H15" s="231">
        <f>+D5-F39</f>
        <v>19244891.666666746</v>
      </c>
      <c r="I15" s="36">
        <f t="shared" ref="I15:I20" si="0">+F15-$F$39</f>
        <v>19244891.666666746</v>
      </c>
      <c r="J15" s="37">
        <f>+F15-$D$5</f>
        <v>0</v>
      </c>
      <c r="K15" s="131">
        <f>-($D$5-F15)/$D$5</f>
        <v>0</v>
      </c>
    </row>
    <row r="16" spans="2:11" ht="15.75">
      <c r="B16" s="78">
        <f>+'EVALUACIÓN PROPONENTES_Total'!B17</f>
        <v>2</v>
      </c>
      <c r="C16" s="91" t="str">
        <f>+'EVALUACIÓN PROPONENTES_Total'!C17</f>
        <v>CORPORACIÓN ORIENTAR PARA CRECER (CASA 2)</v>
      </c>
      <c r="D16" s="72">
        <f>+'EVALUACIÓN PROPONENTES_Total'!D17</f>
        <v>46161</v>
      </c>
      <c r="E16" s="73" t="str">
        <f>+'EVALUACIÓN PROPONENTES_Total'!E17</f>
        <v>7:28AM</v>
      </c>
      <c r="F16" s="74">
        <v>1141937150</v>
      </c>
      <c r="G16" s="232"/>
      <c r="H16" s="232"/>
      <c r="I16" s="36">
        <f t="shared" si="0"/>
        <v>19244891.666666746</v>
      </c>
      <c r="J16" s="37">
        <f t="shared" ref="J16:J20" si="1">+F16-$D$5</f>
        <v>0</v>
      </c>
      <c r="K16" s="131">
        <f t="shared" ref="K16:K20" si="2">-($D$5-F16)/$D$5</f>
        <v>0</v>
      </c>
    </row>
    <row r="17" spans="2:11" ht="15.75">
      <c r="B17" s="78">
        <f>+'EVALUACIÓN PROPONENTES_Total'!B18</f>
        <v>3</v>
      </c>
      <c r="C17" s="71" t="str">
        <f>+'EVALUACIÓN PROPONENTES_Total'!C18</f>
        <v>FEZ INVERSIONES SAS</v>
      </c>
      <c r="D17" s="72">
        <f>+'EVALUACIÓN PROPONENTES_Total'!D18</f>
        <v>46161</v>
      </c>
      <c r="E17" s="73" t="str">
        <f>+'EVALUACIÓN PROPONENTES_Total'!E18</f>
        <v>3:22PM</v>
      </c>
      <c r="F17" s="74">
        <v>1140797150</v>
      </c>
      <c r="G17" s="232"/>
      <c r="H17" s="232"/>
      <c r="I17" s="36">
        <f t="shared" si="0"/>
        <v>18104891.666666746</v>
      </c>
      <c r="J17" s="37">
        <f t="shared" si="1"/>
        <v>-1140000</v>
      </c>
      <c r="K17" s="131">
        <f t="shared" si="2"/>
        <v>-9.9830362818128832E-4</v>
      </c>
    </row>
    <row r="18" spans="2:11" ht="15.75">
      <c r="B18" s="78">
        <f>+'EVALUACIÓN PROPONENTES_Total'!B19</f>
        <v>5</v>
      </c>
      <c r="C18" s="91" t="str">
        <f>+'EVALUACIÓN PROPONENTES_Total'!C19</f>
        <v>ASOCIACION CRISTIANA NUEVO NACIMIENTO -ACNN</v>
      </c>
      <c r="D18" s="72">
        <f>+'EVALUACIÓN PROPONENTES_Total'!D19</f>
        <v>46161</v>
      </c>
      <c r="E18" s="73" t="str">
        <f>+'EVALUACIÓN PROPONENTES_Total'!E19</f>
        <v>6:11PM</v>
      </c>
      <c r="F18" s="74">
        <v>1086347900</v>
      </c>
      <c r="G18" s="232"/>
      <c r="H18" s="232"/>
      <c r="I18" s="36">
        <f t="shared" si="0"/>
        <v>-36344358.333333254</v>
      </c>
      <c r="J18" s="37">
        <f t="shared" si="1"/>
        <v>-55589250</v>
      </c>
      <c r="K18" s="131">
        <f t="shared" si="2"/>
        <v>-4.867978066919007E-2</v>
      </c>
    </row>
    <row r="19" spans="2:11" ht="15.75">
      <c r="B19" s="78">
        <f>+'EVALUACIÓN PROPONENTES_Total'!B20</f>
        <v>7</v>
      </c>
      <c r="C19" s="91" t="str">
        <f>+'EVALUACIÓN PROPONENTES_Total'!C20</f>
        <v>SOCIEDAD INVERSIONES PF SAS</v>
      </c>
      <c r="D19" s="72">
        <f>+'EVALUACIÓN PROPONENTES_Total'!D20</f>
        <v>46161</v>
      </c>
      <c r="E19" s="73" t="str">
        <f>+'EVALUACIÓN PROPONENTES_Total'!E20</f>
        <v>6:41PM</v>
      </c>
      <c r="F19" s="74">
        <v>1098753550</v>
      </c>
      <c r="G19" s="232"/>
      <c r="H19" s="232"/>
      <c r="I19" s="36">
        <f t="shared" si="0"/>
        <v>-23938708.333333254</v>
      </c>
      <c r="J19" s="37">
        <f t="shared" si="1"/>
        <v>-43183600</v>
      </c>
      <c r="K19" s="131">
        <f t="shared" si="2"/>
        <v>-3.7816091717482E-2</v>
      </c>
    </row>
    <row r="20" spans="2:11" ht="29.25" thickBot="1">
      <c r="B20" s="92">
        <f>+'EVALUACIÓN PROPONENTES_Total'!B21</f>
        <v>8</v>
      </c>
      <c r="C20" s="95" t="str">
        <f>+'EVALUACIÓN PROPONENTES_Total'!C21</f>
        <v>CORPORACION SOCIAL PARA EL DESARROLLO DE LOS GRUPOS ETNICOS Y CULTURALES MULTIETNIAS</v>
      </c>
      <c r="D20" s="90">
        <f>+'EVALUACIÓN PROPONENTES_Total'!D21</f>
        <v>46161</v>
      </c>
      <c r="E20" s="93" t="str">
        <f>+'EVALUACIÓN PROPONENTES_Total'!E21</f>
        <v>9:07PM</v>
      </c>
      <c r="F20" s="94">
        <v>1126380650</v>
      </c>
      <c r="G20" s="233"/>
      <c r="H20" s="233"/>
      <c r="I20" s="112">
        <f t="shared" si="0"/>
        <v>3688391.6666667461</v>
      </c>
      <c r="J20" s="80">
        <f t="shared" si="1"/>
        <v>-15556500</v>
      </c>
      <c r="K20" s="132">
        <f t="shared" si="2"/>
        <v>-1.362290385245808E-2</v>
      </c>
    </row>
    <row r="21" spans="2:11" ht="15.75">
      <c r="B21" s="38"/>
      <c r="C21" s="39"/>
      <c r="D21" s="38"/>
      <c r="E21" s="40"/>
      <c r="F21" s="41"/>
      <c r="G21" s="41"/>
      <c r="I21" s="133"/>
      <c r="J21" s="33"/>
    </row>
    <row r="22" spans="2:11" ht="15.75">
      <c r="B22" s="38"/>
      <c r="C22" s="43"/>
      <c r="D22" s="38"/>
      <c r="E22" s="40"/>
      <c r="F22" s="41"/>
      <c r="G22" s="41"/>
      <c r="I22" s="133"/>
      <c r="J22" s="33"/>
    </row>
    <row r="23" spans="2:11" ht="18" customHeight="1">
      <c r="B23" s="230" t="s">
        <v>57</v>
      </c>
      <c r="C23" s="230"/>
      <c r="D23" s="230"/>
      <c r="E23" s="230"/>
      <c r="F23" s="230"/>
      <c r="G23" s="230"/>
      <c r="H23" s="230"/>
      <c r="I23" s="230"/>
      <c r="J23" s="230"/>
      <c r="K23" s="230"/>
    </row>
    <row r="24" spans="2:11" ht="15.75">
      <c r="B24" s="38"/>
      <c r="C24" s="43"/>
      <c r="D24" s="38"/>
      <c r="E24" s="40"/>
      <c r="F24" s="41"/>
      <c r="G24" s="41"/>
      <c r="I24" s="133"/>
      <c r="J24" s="33"/>
    </row>
    <row r="25" spans="2:11" ht="15.75">
      <c r="B25" s="32" t="s">
        <v>58</v>
      </c>
      <c r="F25" s="33"/>
      <c r="G25" s="41"/>
      <c r="I25" s="133"/>
      <c r="J25" s="33"/>
    </row>
    <row r="26" spans="2:11" ht="16.5" thickBot="1">
      <c r="F26" s="33"/>
      <c r="G26" s="41"/>
      <c r="I26" s="133"/>
      <c r="J26" s="33"/>
    </row>
    <row r="27" spans="2:11" ht="30">
      <c r="B27" s="49" t="s">
        <v>47</v>
      </c>
      <c r="C27" s="50" t="s">
        <v>48</v>
      </c>
      <c r="D27" s="54" t="s">
        <v>49</v>
      </c>
      <c r="E27" s="54" t="s">
        <v>50</v>
      </c>
      <c r="F27" s="55" t="s">
        <v>51</v>
      </c>
      <c r="G27" s="41"/>
      <c r="I27" s="133"/>
      <c r="J27" s="33"/>
    </row>
    <row r="28" spans="2:11" ht="15.75">
      <c r="B28" s="78">
        <f t="shared" ref="B28:F33" si="3">+B15</f>
        <v>1</v>
      </c>
      <c r="C28" s="91" t="str">
        <f t="shared" si="3"/>
        <v>CORPORACIÓN ORIENTAR PARA CRECER (CASA 1)</v>
      </c>
      <c r="D28" s="72">
        <f t="shared" si="3"/>
        <v>46161</v>
      </c>
      <c r="E28" s="73" t="str">
        <f t="shared" si="3"/>
        <v>7:28AM</v>
      </c>
      <c r="F28" s="77">
        <f t="shared" si="3"/>
        <v>1141937150</v>
      </c>
      <c r="G28" s="41"/>
      <c r="I28" s="133"/>
      <c r="J28" s="33"/>
    </row>
    <row r="29" spans="2:11" ht="15.75">
      <c r="B29" s="78">
        <f t="shared" si="3"/>
        <v>2</v>
      </c>
      <c r="C29" s="91" t="str">
        <f t="shared" si="3"/>
        <v>CORPORACIÓN ORIENTAR PARA CRECER (CASA 2)</v>
      </c>
      <c r="D29" s="72">
        <f t="shared" si="3"/>
        <v>46161</v>
      </c>
      <c r="E29" s="73" t="str">
        <f t="shared" si="3"/>
        <v>7:28AM</v>
      </c>
      <c r="F29" s="77">
        <f t="shared" si="3"/>
        <v>1141937150</v>
      </c>
      <c r="G29" s="41"/>
      <c r="I29" s="133"/>
      <c r="J29" s="33"/>
    </row>
    <row r="30" spans="2:11" ht="15.75">
      <c r="B30" s="78">
        <f t="shared" si="3"/>
        <v>3</v>
      </c>
      <c r="C30" s="71" t="str">
        <f t="shared" si="3"/>
        <v>FEZ INVERSIONES SAS</v>
      </c>
      <c r="D30" s="72">
        <f t="shared" si="3"/>
        <v>46161</v>
      </c>
      <c r="E30" s="73" t="str">
        <f t="shared" si="3"/>
        <v>3:22PM</v>
      </c>
      <c r="F30" s="77">
        <f t="shared" si="3"/>
        <v>1140797150</v>
      </c>
      <c r="G30" s="41"/>
      <c r="I30" s="133"/>
      <c r="J30" s="33"/>
    </row>
    <row r="31" spans="2:11" ht="15.75">
      <c r="B31" s="78">
        <f t="shared" si="3"/>
        <v>5</v>
      </c>
      <c r="C31" s="91" t="str">
        <f t="shared" si="3"/>
        <v>ASOCIACION CRISTIANA NUEVO NACIMIENTO -ACNN</v>
      </c>
      <c r="D31" s="72">
        <f t="shared" si="3"/>
        <v>46161</v>
      </c>
      <c r="E31" s="73" t="str">
        <f t="shared" si="3"/>
        <v>6:11PM</v>
      </c>
      <c r="F31" s="77">
        <f t="shared" si="3"/>
        <v>1086347900</v>
      </c>
      <c r="G31" s="41"/>
      <c r="I31" s="133"/>
      <c r="J31" s="33"/>
    </row>
    <row r="32" spans="2:11" ht="15.75">
      <c r="B32" s="78">
        <f t="shared" si="3"/>
        <v>7</v>
      </c>
      <c r="C32" s="91" t="str">
        <f t="shared" si="3"/>
        <v>SOCIEDAD INVERSIONES PF SAS</v>
      </c>
      <c r="D32" s="72">
        <f t="shared" si="3"/>
        <v>46161</v>
      </c>
      <c r="E32" s="73" t="str">
        <f t="shared" si="3"/>
        <v>6:41PM</v>
      </c>
      <c r="F32" s="77">
        <f t="shared" si="3"/>
        <v>1098753550</v>
      </c>
      <c r="G32" s="41"/>
      <c r="I32" s="133"/>
      <c r="J32" s="33"/>
    </row>
    <row r="33" spans="2:10" ht="29.25" thickBot="1">
      <c r="B33" s="92">
        <f t="shared" si="3"/>
        <v>8</v>
      </c>
      <c r="C33" s="95" t="str">
        <f t="shared" si="3"/>
        <v>CORPORACION SOCIAL PARA EL DESARROLLO DE LOS GRUPOS ETNICOS Y CULTURALES MULTIETNIAS</v>
      </c>
      <c r="D33" s="90">
        <f t="shared" si="3"/>
        <v>46161</v>
      </c>
      <c r="E33" s="93" t="str">
        <f t="shared" si="3"/>
        <v>9:07PM</v>
      </c>
      <c r="F33" s="96">
        <f t="shared" si="3"/>
        <v>1126380650</v>
      </c>
      <c r="G33" s="41"/>
      <c r="I33" s="133"/>
      <c r="J33" s="33"/>
    </row>
    <row r="34" spans="2:10" ht="15.75">
      <c r="B34" s="38"/>
      <c r="C34" s="43"/>
      <c r="D34" s="38"/>
      <c r="E34" s="40"/>
      <c r="F34" s="41"/>
      <c r="G34" s="41"/>
      <c r="I34" s="133"/>
      <c r="J34" s="33"/>
    </row>
    <row r="35" spans="2:10">
      <c r="B35" s="32" t="s">
        <v>59</v>
      </c>
      <c r="F35" s="33"/>
    </row>
    <row r="36" spans="2:10">
      <c r="F36" s="33"/>
    </row>
    <row r="37" spans="2:10" ht="15.75">
      <c r="C37" s="44" t="s">
        <v>60</v>
      </c>
      <c r="E37" s="33"/>
      <c r="F37" s="45">
        <f>MEDIAN(F28:F33)</f>
        <v>1133588900</v>
      </c>
      <c r="H37" s="133"/>
    </row>
    <row r="38" spans="2:10">
      <c r="C38" s="43"/>
      <c r="E38" s="33"/>
      <c r="F38" s="33"/>
    </row>
    <row r="39" spans="2:10" ht="15">
      <c r="C39" s="44" t="s">
        <v>61</v>
      </c>
      <c r="E39" s="33"/>
      <c r="F39" s="45">
        <f>AVERAGE(F28:F33)</f>
        <v>1122692258.3333333</v>
      </c>
    </row>
    <row r="40" spans="2:10" ht="15" customHeight="1">
      <c r="C40" s="43"/>
      <c r="E40" s="33"/>
      <c r="F40" s="33"/>
    </row>
    <row r="41" spans="2:10">
      <c r="B41" s="32" t="s">
        <v>62</v>
      </c>
      <c r="C41" s="43"/>
      <c r="E41" s="33"/>
      <c r="F41" s="33"/>
    </row>
    <row r="42" spans="2:10">
      <c r="C42" s="43"/>
      <c r="E42" s="33"/>
      <c r="F42" s="33"/>
    </row>
    <row r="43" spans="2:10" ht="15" thickBot="1">
      <c r="C43" s="43"/>
      <c r="E43" s="33"/>
      <c r="F43" s="33"/>
    </row>
    <row r="44" spans="2:10" ht="30">
      <c r="B44" s="49" t="s">
        <v>47</v>
      </c>
      <c r="C44" s="50" t="s">
        <v>48</v>
      </c>
      <c r="D44" s="54" t="s">
        <v>49</v>
      </c>
      <c r="E44" s="54" t="s">
        <v>50</v>
      </c>
      <c r="F44" s="55" t="s">
        <v>51</v>
      </c>
      <c r="G44" s="63"/>
      <c r="H44" s="33"/>
    </row>
    <row r="45" spans="2:10">
      <c r="B45" s="59">
        <f t="shared" ref="B45:F50" si="4">+B28</f>
        <v>1</v>
      </c>
      <c r="C45" s="35" t="str">
        <f t="shared" si="4"/>
        <v>CORPORACIÓN ORIENTAR PARA CRECER (CASA 1)</v>
      </c>
      <c r="D45" s="52">
        <f t="shared" si="4"/>
        <v>46161</v>
      </c>
      <c r="E45" s="34" t="str">
        <f t="shared" si="4"/>
        <v>7:28AM</v>
      </c>
      <c r="F45" s="62">
        <f t="shared" si="4"/>
        <v>1141937150</v>
      </c>
      <c r="G45" s="51">
        <f>+(F45-$F$39)^2</f>
        <v>370365855261739.19</v>
      </c>
      <c r="H45" s="33"/>
    </row>
    <row r="46" spans="2:10">
      <c r="B46" s="59">
        <f t="shared" si="4"/>
        <v>2</v>
      </c>
      <c r="C46" s="35" t="str">
        <f t="shared" si="4"/>
        <v>CORPORACIÓN ORIENTAR PARA CRECER (CASA 2)</v>
      </c>
      <c r="D46" s="52">
        <f t="shared" si="4"/>
        <v>46161</v>
      </c>
      <c r="E46" s="34" t="str">
        <f t="shared" si="4"/>
        <v>7:28AM</v>
      </c>
      <c r="F46" s="62">
        <f t="shared" si="4"/>
        <v>1141937150</v>
      </c>
      <c r="G46" s="51">
        <f t="shared" ref="G46:G50" si="5">+(F46-$F$39)^2</f>
        <v>370365855261739.19</v>
      </c>
      <c r="H46" s="33"/>
    </row>
    <row r="47" spans="2:10">
      <c r="B47" s="59">
        <f t="shared" si="4"/>
        <v>3</v>
      </c>
      <c r="C47" s="35" t="str">
        <f t="shared" si="4"/>
        <v>FEZ INVERSIONES SAS</v>
      </c>
      <c r="D47" s="52">
        <f t="shared" si="4"/>
        <v>46161</v>
      </c>
      <c r="E47" s="34" t="str">
        <f t="shared" si="4"/>
        <v>3:22PM</v>
      </c>
      <c r="F47" s="62">
        <f t="shared" si="4"/>
        <v>1140797150</v>
      </c>
      <c r="G47" s="51">
        <f t="shared" si="5"/>
        <v>327787102261739</v>
      </c>
      <c r="H47" s="33"/>
    </row>
    <row r="48" spans="2:10">
      <c r="B48" s="59">
        <f t="shared" si="4"/>
        <v>5</v>
      </c>
      <c r="C48" s="35" t="str">
        <f t="shared" si="4"/>
        <v>ASOCIACION CRISTIANA NUEVO NACIMIENTO -ACNN</v>
      </c>
      <c r="D48" s="52">
        <f t="shared" si="4"/>
        <v>46161</v>
      </c>
      <c r="E48" s="34" t="str">
        <f t="shared" si="4"/>
        <v>6:11PM</v>
      </c>
      <c r="F48" s="62">
        <f t="shared" si="4"/>
        <v>1086347900</v>
      </c>
      <c r="G48" s="51">
        <f t="shared" si="5"/>
        <v>1320912382661730.3</v>
      </c>
      <c r="H48" s="33"/>
    </row>
    <row r="49" spans="2:10">
      <c r="B49" s="59">
        <f t="shared" si="4"/>
        <v>7</v>
      </c>
      <c r="C49" s="35" t="str">
        <f t="shared" si="4"/>
        <v>SOCIEDAD INVERSIONES PF SAS</v>
      </c>
      <c r="D49" s="52">
        <f t="shared" si="4"/>
        <v>46161</v>
      </c>
      <c r="E49" s="34" t="str">
        <f t="shared" si="4"/>
        <v>6:41PM</v>
      </c>
      <c r="F49" s="62">
        <f t="shared" si="4"/>
        <v>1098753550</v>
      </c>
      <c r="G49" s="51">
        <f t="shared" si="5"/>
        <v>573061756668399</v>
      </c>
      <c r="H49" s="33"/>
    </row>
    <row r="50" spans="2:10" ht="29.25" thickBot="1">
      <c r="B50" s="92">
        <f t="shared" si="4"/>
        <v>8</v>
      </c>
      <c r="C50" s="95" t="str">
        <f t="shared" si="4"/>
        <v>CORPORACION SOCIAL PARA EL DESARROLLO DE LOS GRUPOS ETNICOS Y CULTURALES MULTIETNIAS</v>
      </c>
      <c r="D50" s="90">
        <f t="shared" si="4"/>
        <v>46161</v>
      </c>
      <c r="E50" s="93" t="str">
        <f t="shared" si="4"/>
        <v>9:07PM</v>
      </c>
      <c r="F50" s="96">
        <f t="shared" si="4"/>
        <v>1126380650</v>
      </c>
      <c r="G50" s="97">
        <f t="shared" si="5"/>
        <v>13604233086736.697</v>
      </c>
      <c r="H50" s="33"/>
    </row>
    <row r="51" spans="2:10" ht="15.75" thickBot="1">
      <c r="C51" s="43"/>
      <c r="E51" s="33"/>
      <c r="F51" s="46" t="s">
        <v>63</v>
      </c>
      <c r="G51" s="64">
        <f>SUM(G45:G50)/(D52)</f>
        <v>496016197533680.5</v>
      </c>
      <c r="H51" s="33"/>
    </row>
    <row r="52" spans="2:10">
      <c r="C52" s="43" t="s">
        <v>64</v>
      </c>
      <c r="D52" s="38">
        <f>COUNT(B45:B50)</f>
        <v>6</v>
      </c>
      <c r="E52" s="33"/>
      <c r="F52" s="33"/>
      <c r="H52" s="33"/>
    </row>
    <row r="53" spans="2:10">
      <c r="C53" s="43"/>
      <c r="E53" s="33"/>
      <c r="F53" s="33"/>
      <c r="H53" s="33"/>
    </row>
    <row r="54" spans="2:10" ht="15">
      <c r="C54" s="44" t="s">
        <v>65</v>
      </c>
      <c r="F54" s="45">
        <f>SQRT(G51)</f>
        <v>22271421.093717404</v>
      </c>
    </row>
    <row r="55" spans="2:10">
      <c r="F55" s="33"/>
    </row>
    <row r="56" spans="2:10">
      <c r="B56" s="32" t="s">
        <v>66</v>
      </c>
      <c r="C56" s="43"/>
      <c r="E56" s="33"/>
      <c r="F56" s="33"/>
    </row>
    <row r="57" spans="2:10">
      <c r="C57" s="43"/>
      <c r="E57" s="33"/>
      <c r="F57" s="33"/>
    </row>
    <row r="58" spans="2:10" ht="15">
      <c r="C58" s="44" t="s">
        <v>67</v>
      </c>
      <c r="F58" s="45">
        <f>+F37-F54</f>
        <v>1111317478.9062827</v>
      </c>
    </row>
    <row r="59" spans="2:10">
      <c r="F59" s="33"/>
    </row>
    <row r="60" spans="2:10">
      <c r="F60" s="33"/>
    </row>
    <row r="61" spans="2:10" ht="15.75">
      <c r="B61" s="32" t="s">
        <v>68</v>
      </c>
      <c r="H61" s="47"/>
      <c r="I61" s="48"/>
      <c r="J61" s="33"/>
    </row>
    <row r="62" spans="2:10" ht="15" thickBot="1"/>
    <row r="63" spans="2:10" ht="44.25" customHeight="1" thickBot="1">
      <c r="B63" s="68" t="s">
        <v>47</v>
      </c>
      <c r="C63" s="69" t="s">
        <v>48</v>
      </c>
      <c r="D63" s="29" t="s">
        <v>49</v>
      </c>
      <c r="E63" s="29" t="s">
        <v>50</v>
      </c>
      <c r="F63" s="30" t="s">
        <v>51</v>
      </c>
      <c r="G63" s="76" t="s">
        <v>67</v>
      </c>
      <c r="H63" s="69" t="s">
        <v>69</v>
      </c>
      <c r="I63" s="70" t="s">
        <v>70</v>
      </c>
    </row>
    <row r="64" spans="2:10" ht="30" customHeight="1">
      <c r="B64" s="101">
        <f t="shared" ref="B64:F69" si="6">+B45</f>
        <v>1</v>
      </c>
      <c r="C64" s="102" t="str">
        <f t="shared" si="6"/>
        <v>CORPORACIÓN ORIENTAR PARA CRECER (CASA 1)</v>
      </c>
      <c r="D64" s="103">
        <f t="shared" si="6"/>
        <v>46161</v>
      </c>
      <c r="E64" s="104" t="str">
        <f t="shared" si="6"/>
        <v>7:28AM</v>
      </c>
      <c r="F64" s="105">
        <f t="shared" si="6"/>
        <v>1141937150</v>
      </c>
      <c r="G64" s="106">
        <f>+$F$58</f>
        <v>1111317478.9062827</v>
      </c>
      <c r="H64" s="106">
        <f>+F64-G64</f>
        <v>30619671.093717337</v>
      </c>
      <c r="I64" s="67" t="s">
        <v>71</v>
      </c>
    </row>
    <row r="65" spans="2:9" ht="30" customHeight="1">
      <c r="B65" s="78">
        <f t="shared" si="6"/>
        <v>2</v>
      </c>
      <c r="C65" s="91" t="str">
        <f t="shared" si="6"/>
        <v>CORPORACIÓN ORIENTAR PARA CRECER (CASA 2)</v>
      </c>
      <c r="D65" s="72">
        <f t="shared" si="6"/>
        <v>46161</v>
      </c>
      <c r="E65" s="73" t="str">
        <f t="shared" si="6"/>
        <v>7:28AM</v>
      </c>
      <c r="F65" s="74">
        <f t="shared" si="6"/>
        <v>1141937150</v>
      </c>
      <c r="G65" s="75">
        <f t="shared" ref="G65:G69" si="7">+$F$58</f>
        <v>1111317478.9062827</v>
      </c>
      <c r="H65" s="75">
        <f t="shared" ref="H65:H69" si="8">+F65-G65</f>
        <v>30619671.093717337</v>
      </c>
      <c r="I65" s="65" t="s">
        <v>71</v>
      </c>
    </row>
    <row r="66" spans="2:9" ht="30" customHeight="1">
      <c r="B66" s="79">
        <f t="shared" si="6"/>
        <v>3</v>
      </c>
      <c r="C66" s="71" t="str">
        <f t="shared" si="6"/>
        <v>FEZ INVERSIONES SAS</v>
      </c>
      <c r="D66" s="98">
        <f t="shared" si="6"/>
        <v>46161</v>
      </c>
      <c r="E66" s="81" t="str">
        <f t="shared" si="6"/>
        <v>3:22PM</v>
      </c>
      <c r="F66" s="99">
        <f t="shared" si="6"/>
        <v>1140797150</v>
      </c>
      <c r="G66" s="100">
        <f t="shared" si="7"/>
        <v>1111317478.9062827</v>
      </c>
      <c r="H66" s="100">
        <f t="shared" si="8"/>
        <v>29479671.093717337</v>
      </c>
      <c r="I66" s="65" t="s">
        <v>71</v>
      </c>
    </row>
    <row r="67" spans="2:9" ht="30" customHeight="1">
      <c r="B67" s="79">
        <f t="shared" si="6"/>
        <v>5</v>
      </c>
      <c r="C67" s="71" t="str">
        <f t="shared" si="6"/>
        <v>ASOCIACION CRISTIANA NUEVO NACIMIENTO -ACNN</v>
      </c>
      <c r="D67" s="98">
        <f t="shared" si="6"/>
        <v>46161</v>
      </c>
      <c r="E67" s="81" t="str">
        <f t="shared" si="6"/>
        <v>6:11PM</v>
      </c>
      <c r="F67" s="128">
        <f t="shared" si="6"/>
        <v>1086347900</v>
      </c>
      <c r="G67" s="129">
        <f t="shared" si="7"/>
        <v>1111317478.9062827</v>
      </c>
      <c r="H67" s="129">
        <f t="shared" si="8"/>
        <v>-24969578.906282663</v>
      </c>
      <c r="I67" s="130" t="s">
        <v>72</v>
      </c>
    </row>
    <row r="68" spans="2:9" ht="30" customHeight="1">
      <c r="B68" s="79">
        <f t="shared" si="6"/>
        <v>7</v>
      </c>
      <c r="C68" s="71" t="str">
        <f t="shared" si="6"/>
        <v>SOCIEDAD INVERSIONES PF SAS</v>
      </c>
      <c r="D68" s="98">
        <f t="shared" si="6"/>
        <v>46161</v>
      </c>
      <c r="E68" s="81" t="str">
        <f t="shared" si="6"/>
        <v>6:41PM</v>
      </c>
      <c r="F68" s="128">
        <f t="shared" si="6"/>
        <v>1098753550</v>
      </c>
      <c r="G68" s="129">
        <f t="shared" si="7"/>
        <v>1111317478.9062827</v>
      </c>
      <c r="H68" s="129">
        <f t="shared" si="8"/>
        <v>-12563928.906282663</v>
      </c>
      <c r="I68" s="130" t="s">
        <v>72</v>
      </c>
    </row>
    <row r="69" spans="2:9" ht="30" customHeight="1" thickBot="1">
      <c r="B69" s="107">
        <f t="shared" si="6"/>
        <v>8</v>
      </c>
      <c r="C69" s="95" t="str">
        <f t="shared" si="6"/>
        <v>CORPORACION SOCIAL PARA EL DESARROLLO DE LOS GRUPOS ETNICOS Y CULTURALES MULTIETNIAS</v>
      </c>
      <c r="D69" s="108">
        <f t="shared" si="6"/>
        <v>46161</v>
      </c>
      <c r="E69" s="109" t="str">
        <f t="shared" si="6"/>
        <v>9:07PM</v>
      </c>
      <c r="F69" s="110">
        <f t="shared" si="6"/>
        <v>1126380650</v>
      </c>
      <c r="G69" s="111">
        <f t="shared" si="7"/>
        <v>1111317478.9062827</v>
      </c>
      <c r="H69" s="111">
        <f t="shared" si="8"/>
        <v>15063171.093717337</v>
      </c>
      <c r="I69" s="66" t="s">
        <v>71</v>
      </c>
    </row>
  </sheetData>
  <mergeCells count="10">
    <mergeCell ref="B11:K11"/>
    <mergeCell ref="G15:G20"/>
    <mergeCell ref="H15:H20"/>
    <mergeCell ref="B23:K23"/>
    <mergeCell ref="B2:J2"/>
    <mergeCell ref="B4:E4"/>
    <mergeCell ref="B5:C5"/>
    <mergeCell ref="D5:E5"/>
    <mergeCell ref="B9:K9"/>
    <mergeCell ref="B10:K10"/>
  </mergeCells>
  <pageMargins left="0.7" right="0.7" top="0.75" bottom="0.75" header="0.3" footer="0.3"/>
  <pageSetup paperSize="9" scale="2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D0475-F4E3-4D5B-9018-32E8389516D0}">
  <sheetPr>
    <tabColor rgb="FF7030A0"/>
  </sheetPr>
  <dimension ref="B2:G21"/>
  <sheetViews>
    <sheetView topLeftCell="A16" zoomScale="80" zoomScaleNormal="80" workbookViewId="0">
      <selection activeCell="D27" sqref="D27"/>
    </sheetView>
  </sheetViews>
  <sheetFormatPr defaultColWidth="11" defaultRowHeight="14.25"/>
  <cols>
    <col min="1" max="1" width="11" style="27"/>
    <col min="2" max="2" width="5.125" style="27" customWidth="1"/>
    <col min="3" max="3" width="54" style="27" bestFit="1" customWidth="1"/>
    <col min="4" max="5" width="10.75" style="27" bestFit="1" customWidth="1"/>
    <col min="6" max="6" width="18.875" style="27" customWidth="1"/>
    <col min="7" max="7" width="45.75" style="27" bestFit="1" customWidth="1"/>
    <col min="8" max="16384" width="11" style="27"/>
  </cols>
  <sheetData>
    <row r="2" spans="2:7" ht="20.25">
      <c r="B2" s="240" t="str">
        <f>+'EVALUACIÓN 2026_lote_1_Total'!A2</f>
        <v>SDMUJER-SAMC-001-2026</v>
      </c>
      <c r="C2" s="240"/>
      <c r="D2" s="240"/>
      <c r="E2" s="240"/>
      <c r="F2" s="240"/>
      <c r="G2" s="240"/>
    </row>
    <row r="3" spans="2:7" ht="78.75" customHeight="1">
      <c r="B3" s="244" t="str">
        <f>+'EVALUACIÓN 2026_lote_1_Total'!A4</f>
        <v>Objeto: LOTE 1 MODALIDAD INTEGRAL:“Prestar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v>
      </c>
      <c r="C3" s="244"/>
      <c r="D3" s="244"/>
      <c r="E3" s="244"/>
      <c r="F3" s="244"/>
      <c r="G3" s="244"/>
    </row>
    <row r="4" spans="2:7" ht="18">
      <c r="B4" s="26"/>
      <c r="C4" s="26"/>
      <c r="D4" s="26"/>
      <c r="E4" s="26"/>
      <c r="F4" s="26"/>
      <c r="G4" s="26"/>
    </row>
    <row r="5" spans="2:7" ht="15">
      <c r="B5" s="28" t="s">
        <v>44</v>
      </c>
    </row>
    <row r="6" spans="2:7" ht="15">
      <c r="B6" s="28"/>
    </row>
    <row r="7" spans="2:7" ht="15" customHeight="1">
      <c r="B7" s="245" t="s">
        <v>73</v>
      </c>
      <c r="C7" s="246"/>
      <c r="D7" s="247">
        <f>+'EVALUACIÓN 2026_lote_1_Total'!E44</f>
        <v>1141937150</v>
      </c>
      <c r="E7" s="248"/>
    </row>
    <row r="10" spans="2:7" ht="18">
      <c r="B10" s="249" t="s">
        <v>74</v>
      </c>
      <c r="C10" s="249"/>
      <c r="D10" s="249"/>
      <c r="E10" s="249"/>
      <c r="F10" s="249"/>
      <c r="G10" s="249"/>
    </row>
    <row r="12" spans="2:7">
      <c r="B12" s="27" t="s">
        <v>75</v>
      </c>
    </row>
    <row r="13" spans="2:7" ht="15" thickBot="1"/>
    <row r="14" spans="2:7" ht="15.75" thickBot="1">
      <c r="B14" s="251" t="s">
        <v>57</v>
      </c>
      <c r="C14" s="252"/>
      <c r="D14" s="252"/>
      <c r="E14" s="252"/>
      <c r="F14" s="252"/>
      <c r="G14" s="253"/>
    </row>
    <row r="15" spans="2:7" ht="45">
      <c r="B15" s="53" t="s">
        <v>47</v>
      </c>
      <c r="C15" s="54" t="s">
        <v>48</v>
      </c>
      <c r="D15" s="54" t="s">
        <v>49</v>
      </c>
      <c r="E15" s="54" t="s">
        <v>50</v>
      </c>
      <c r="F15" s="55" t="s">
        <v>51</v>
      </c>
      <c r="G15" s="157" t="s">
        <v>76</v>
      </c>
    </row>
    <row r="16" spans="2:7" ht="15">
      <c r="B16" s="84">
        <v>1</v>
      </c>
      <c r="C16" s="83" t="str">
        <f>+'EVALUACIÓN 2026_lote_1_Total'!B17</f>
        <v>CORPORACIÓN ORIENTAR PARA CRECER (CASA 1)</v>
      </c>
      <c r="D16" s="72">
        <v>46161</v>
      </c>
      <c r="E16" s="72" t="s">
        <v>77</v>
      </c>
      <c r="F16" s="214">
        <f>+'EVAL PROP ARTIFI BAJA_Total'!F15</f>
        <v>1141937150</v>
      </c>
      <c r="G16" s="88" t="str">
        <f>+'EVAL PROP ARTIFI BAJA_Total'!I64</f>
        <v>Propuesta incluida dentro de la minima aceptable</v>
      </c>
    </row>
    <row r="17" spans="2:7" ht="15">
      <c r="B17" s="84">
        <v>2</v>
      </c>
      <c r="C17" s="83" t="str">
        <f>+'EVALUACIÓN 2026_lote_1_Total'!B18</f>
        <v>CORPORACIÓN ORIENTAR PARA CRECER (CASA 2)</v>
      </c>
      <c r="D17" s="72">
        <v>46161</v>
      </c>
      <c r="E17" s="72" t="s">
        <v>77</v>
      </c>
      <c r="F17" s="214">
        <f>+'EVAL PROP ARTIFI BAJA_Total'!F16</f>
        <v>1141937150</v>
      </c>
      <c r="G17" s="88" t="str">
        <f>+'EVAL PROP ARTIFI BAJA_Total'!I65</f>
        <v>Propuesta incluida dentro de la minima aceptable</v>
      </c>
    </row>
    <row r="18" spans="2:7" ht="15">
      <c r="B18" s="84">
        <v>3</v>
      </c>
      <c r="C18" s="83" t="str">
        <f>+'EVALUACIÓN 2026_lote_1_Total'!B19</f>
        <v>FEZ INVERSIONES SAS</v>
      </c>
      <c r="D18" s="72">
        <v>46161</v>
      </c>
      <c r="E18" s="72" t="s">
        <v>78</v>
      </c>
      <c r="F18" s="214">
        <f>+'EVAL PROP ARTIFI BAJA_Total'!F17</f>
        <v>1140797150</v>
      </c>
      <c r="G18" s="88" t="str">
        <f>+'EVAL PROP ARTIFI BAJA_Total'!I66</f>
        <v>Propuesta incluida dentro de la minima aceptable</v>
      </c>
    </row>
    <row r="19" spans="2:7" ht="15">
      <c r="B19" s="84">
        <v>5</v>
      </c>
      <c r="C19" s="83" t="str">
        <f>+'EVALUACIÓN 2026_lote_1_Total'!B21</f>
        <v>ASOCIACION CRISTIANA NUEVO NACIMIENTO -ACNN</v>
      </c>
      <c r="D19" s="72">
        <v>46161</v>
      </c>
      <c r="E19" s="72" t="s">
        <v>79</v>
      </c>
      <c r="F19" s="214">
        <f>+'EVAL PROP ARTIFI BAJA_Total'!F18</f>
        <v>1086347900</v>
      </c>
      <c r="G19" s="88" t="str">
        <f>+'EVAL PROP ARTIFI BAJA_Total'!I67</f>
        <v>Propuesta artificialmente baja</v>
      </c>
    </row>
    <row r="20" spans="2:7" ht="15">
      <c r="B20" s="84">
        <v>7</v>
      </c>
      <c r="C20" s="83" t="str">
        <f>+'EVALUACIÓN 2026_lote_1_Total'!B23</f>
        <v>SOCIEDAD INVERSIONES PF SAS</v>
      </c>
      <c r="D20" s="72">
        <v>46161</v>
      </c>
      <c r="E20" s="72" t="s">
        <v>80</v>
      </c>
      <c r="F20" s="214">
        <f>+'EVAL PROP ARTIFI BAJA_Total'!F19</f>
        <v>1098753550</v>
      </c>
      <c r="G20" s="88" t="str">
        <f>+'EVAL PROP ARTIFI BAJA_Total'!I68</f>
        <v>Propuesta artificialmente baja</v>
      </c>
    </row>
    <row r="21" spans="2:7" ht="29.25" thickBot="1">
      <c r="B21" s="85">
        <v>8</v>
      </c>
      <c r="C21" s="86" t="str">
        <f>+'EVALUACIÓN 2026_lote_1_Total'!B24</f>
        <v>CORPORACION SOCIAL PARA EL DESARROLLO DE LOS GRUPOS ETNICOS Y CULTURALES MULTIETNIAS</v>
      </c>
      <c r="D21" s="90">
        <v>46161</v>
      </c>
      <c r="E21" s="90" t="s">
        <v>81</v>
      </c>
      <c r="F21" s="215">
        <f>+'EVAL PROP ARTIFI BAJA_Total'!F20</f>
        <v>1126380650</v>
      </c>
      <c r="G21" s="89" t="str">
        <f>+'EVAL PROP ARTIFI BAJA_Total'!I69</f>
        <v>Propuesta incluida dentro de la minima aceptable</v>
      </c>
    </row>
  </sheetData>
  <mergeCells count="6">
    <mergeCell ref="B14:G14"/>
    <mergeCell ref="B2:G2"/>
    <mergeCell ref="B3:G3"/>
    <mergeCell ref="B7:C7"/>
    <mergeCell ref="D7:E7"/>
    <mergeCell ref="B10:G1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A2EC8-6B38-4DC7-8364-C84F82EF1E16}">
  <sheetPr>
    <tabColor rgb="FFFFB0C7"/>
  </sheetPr>
  <dimension ref="A1:C26"/>
  <sheetViews>
    <sheetView zoomScale="110" zoomScaleNormal="110" workbookViewId="0">
      <selection activeCell="E8" sqref="E8"/>
    </sheetView>
  </sheetViews>
  <sheetFormatPr defaultColWidth="11" defaultRowHeight="15.75"/>
  <cols>
    <col min="1" max="1" width="47.875" customWidth="1"/>
    <col min="2" max="2" width="25.375" customWidth="1"/>
    <col min="3" max="3" width="16.75" bestFit="1" customWidth="1"/>
  </cols>
  <sheetData>
    <row r="1" spans="1:3">
      <c r="A1" s="254" t="s">
        <v>86</v>
      </c>
      <c r="B1" s="254"/>
    </row>
    <row r="2" spans="1:3">
      <c r="A2" s="134" t="s">
        <v>87</v>
      </c>
    </row>
    <row r="3" spans="1:3">
      <c r="A3" s="135" t="s">
        <v>88</v>
      </c>
      <c r="B3" s="135" t="s">
        <v>89</v>
      </c>
    </row>
    <row r="4" spans="1:3" ht="31.5">
      <c r="A4" s="136" t="s">
        <v>90</v>
      </c>
      <c r="B4" s="137">
        <v>228044070</v>
      </c>
    </row>
    <row r="5" spans="1:3" ht="18">
      <c r="A5" s="136" t="s">
        <v>91</v>
      </c>
      <c r="B5" s="138">
        <v>1716800</v>
      </c>
    </row>
    <row r="6" spans="1:3" ht="47.25">
      <c r="A6" s="136" t="s">
        <v>92</v>
      </c>
      <c r="B6" s="139">
        <f>SUM(B4:B5)</f>
        <v>229760870</v>
      </c>
    </row>
    <row r="7" spans="1:3">
      <c r="A7" s="136" t="s">
        <v>93</v>
      </c>
      <c r="B7" s="139">
        <v>228044070</v>
      </c>
    </row>
    <row r="8" spans="1:3">
      <c r="A8" s="136" t="s">
        <v>94</v>
      </c>
      <c r="B8" s="137">
        <f>+ROUND(B4/30,0)</f>
        <v>7601469</v>
      </c>
    </row>
    <row r="9" spans="1:3">
      <c r="A9" s="136" t="s">
        <v>95</v>
      </c>
      <c r="B9" s="140">
        <v>26</v>
      </c>
    </row>
    <row r="10" spans="1:3">
      <c r="A10" s="136" t="s">
        <v>96</v>
      </c>
      <c r="B10" s="137">
        <f>+(B8*B9)+B5</f>
        <v>199354994</v>
      </c>
    </row>
    <row r="11" spans="1:3">
      <c r="A11" s="136" t="s">
        <v>97</v>
      </c>
      <c r="B11" s="140">
        <v>4</v>
      </c>
      <c r="C11" s="141"/>
    </row>
    <row r="12" spans="1:3">
      <c r="A12" s="136" t="s">
        <v>98</v>
      </c>
      <c r="B12" s="140">
        <v>4</v>
      </c>
      <c r="C12" s="142"/>
    </row>
    <row r="13" spans="1:3">
      <c r="A13" s="136" t="s">
        <v>99</v>
      </c>
      <c r="B13" s="140">
        <v>4</v>
      </c>
      <c r="C13" s="143"/>
    </row>
    <row r="14" spans="1:3">
      <c r="A14" s="136" t="s">
        <v>100</v>
      </c>
      <c r="B14" s="144">
        <f>+B10+(B11*B7)+(B12*B8)</f>
        <v>1141937150</v>
      </c>
    </row>
    <row r="15" spans="1:3">
      <c r="A15" s="145"/>
      <c r="B15" s="143"/>
    </row>
    <row r="16" spans="1:3">
      <c r="A16" s="146" t="s">
        <v>101</v>
      </c>
      <c r="B16" s="147" t="s">
        <v>102</v>
      </c>
    </row>
    <row r="17" spans="1:2">
      <c r="A17" s="148" t="s">
        <v>103</v>
      </c>
      <c r="B17" s="149">
        <f>+B10</f>
        <v>199354994</v>
      </c>
    </row>
    <row r="18" spans="1:2">
      <c r="A18" s="150" t="s">
        <v>104</v>
      </c>
      <c r="B18" s="149">
        <f>+B7</f>
        <v>228044070</v>
      </c>
    </row>
    <row r="19" spans="1:2">
      <c r="A19" s="151" t="s">
        <v>105</v>
      </c>
      <c r="B19" s="149">
        <f>+B7</f>
        <v>228044070</v>
      </c>
    </row>
    <row r="20" spans="1:2">
      <c r="A20" s="151" t="s">
        <v>106</v>
      </c>
      <c r="B20" s="149">
        <f>+B7</f>
        <v>228044070</v>
      </c>
    </row>
    <row r="21" spans="1:2">
      <c r="A21" s="151" t="s">
        <v>107</v>
      </c>
      <c r="B21" s="149">
        <f>+B7</f>
        <v>228044070</v>
      </c>
    </row>
    <row r="22" spans="1:2">
      <c r="A22" s="151" t="s">
        <v>108</v>
      </c>
      <c r="B22" s="149">
        <f>+(B12*B8)</f>
        <v>30405876</v>
      </c>
    </row>
    <row r="23" spans="1:2">
      <c r="A23" s="152" t="s">
        <v>109</v>
      </c>
      <c r="B23" s="153">
        <f>SUM(B17:B22)</f>
        <v>1141937150</v>
      </c>
    </row>
    <row r="24" spans="1:2">
      <c r="B24" s="143"/>
    </row>
    <row r="26" spans="1:2">
      <c r="B26" s="143"/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051F1-176E-43FD-A06B-4BDF2D44F837}">
  <dimension ref="A1:C26"/>
  <sheetViews>
    <sheetView topLeftCell="A9" zoomScale="90" zoomScaleNormal="90" workbookViewId="0">
      <selection activeCell="D15" sqref="D15"/>
    </sheetView>
  </sheetViews>
  <sheetFormatPr defaultColWidth="11" defaultRowHeight="15.75"/>
  <cols>
    <col min="1" max="1" width="47.875" customWidth="1"/>
    <col min="2" max="2" width="25.375" customWidth="1"/>
    <col min="3" max="3" width="16.75" bestFit="1" customWidth="1"/>
  </cols>
  <sheetData>
    <row r="1" spans="1:3">
      <c r="A1" s="254" t="s">
        <v>110</v>
      </c>
      <c r="B1" s="254"/>
    </row>
    <row r="2" spans="1:3">
      <c r="A2" s="134" t="s">
        <v>87</v>
      </c>
    </row>
    <row r="3" spans="1:3">
      <c r="A3" s="135" t="s">
        <v>88</v>
      </c>
      <c r="B3" s="135" t="s">
        <v>89</v>
      </c>
    </row>
    <row r="4" spans="1:3" ht="31.5">
      <c r="A4" s="136" t="s">
        <v>90</v>
      </c>
      <c r="B4" s="137">
        <v>228044070</v>
      </c>
    </row>
    <row r="5" spans="1:3" ht="18">
      <c r="A5" s="136" t="s">
        <v>91</v>
      </c>
      <c r="B5" s="138">
        <v>1716800</v>
      </c>
    </row>
    <row r="6" spans="1:3" ht="47.25">
      <c r="A6" s="136" t="s">
        <v>92</v>
      </c>
      <c r="B6" s="139">
        <f>SUM(B4:B5)</f>
        <v>229760870</v>
      </c>
    </row>
    <row r="7" spans="1:3">
      <c r="A7" s="136" t="s">
        <v>93</v>
      </c>
      <c r="B7" s="139">
        <v>228044070</v>
      </c>
    </row>
    <row r="8" spans="1:3">
      <c r="A8" s="136" t="s">
        <v>94</v>
      </c>
      <c r="B8" s="137">
        <f>+ROUND(B4/30,0)</f>
        <v>7601469</v>
      </c>
    </row>
    <row r="9" spans="1:3">
      <c r="A9" s="136" t="s">
        <v>95</v>
      </c>
      <c r="B9" s="140">
        <v>26</v>
      </c>
    </row>
    <row r="10" spans="1:3">
      <c r="A10" s="136" t="s">
        <v>96</v>
      </c>
      <c r="B10" s="137">
        <f>+(B8*B9)+B5</f>
        <v>199354994</v>
      </c>
    </row>
    <row r="11" spans="1:3">
      <c r="A11" s="136" t="s">
        <v>97</v>
      </c>
      <c r="B11" s="140">
        <v>4</v>
      </c>
      <c r="C11" s="141"/>
    </row>
    <row r="12" spans="1:3">
      <c r="A12" s="136" t="s">
        <v>98</v>
      </c>
      <c r="B12" s="140">
        <v>4</v>
      </c>
      <c r="C12" s="142"/>
    </row>
    <row r="13" spans="1:3">
      <c r="A13" s="136" t="s">
        <v>99</v>
      </c>
      <c r="B13" s="140">
        <v>4</v>
      </c>
      <c r="C13" s="143"/>
    </row>
    <row r="14" spans="1:3">
      <c r="A14" s="136" t="s">
        <v>100</v>
      </c>
      <c r="B14" s="144">
        <f>+B10+(B11*B7)+(B12*B8)</f>
        <v>1141937150</v>
      </c>
    </row>
    <row r="15" spans="1:3">
      <c r="A15" s="145"/>
      <c r="B15" s="143"/>
    </row>
    <row r="16" spans="1:3">
      <c r="A16" s="146" t="s">
        <v>101</v>
      </c>
      <c r="B16" s="147" t="s">
        <v>102</v>
      </c>
    </row>
    <row r="17" spans="1:2">
      <c r="A17" s="148" t="s">
        <v>103</v>
      </c>
      <c r="B17" s="149">
        <f>+B10</f>
        <v>199354994</v>
      </c>
    </row>
    <row r="18" spans="1:2">
      <c r="A18" s="150" t="s">
        <v>104</v>
      </c>
      <c r="B18" s="149">
        <f>+B7</f>
        <v>228044070</v>
      </c>
    </row>
    <row r="19" spans="1:2">
      <c r="A19" s="151" t="s">
        <v>105</v>
      </c>
      <c r="B19" s="149">
        <f>+B7</f>
        <v>228044070</v>
      </c>
    </row>
    <row r="20" spans="1:2">
      <c r="A20" s="151" t="s">
        <v>106</v>
      </c>
      <c r="B20" s="149">
        <f>+B7</f>
        <v>228044070</v>
      </c>
    </row>
    <row r="21" spans="1:2">
      <c r="A21" s="151" t="s">
        <v>107</v>
      </c>
      <c r="B21" s="149">
        <f>+B7</f>
        <v>228044070</v>
      </c>
    </row>
    <row r="22" spans="1:2">
      <c r="A22" s="151" t="s">
        <v>108</v>
      </c>
      <c r="B22" s="149">
        <f>+(B12*B8)</f>
        <v>30405876</v>
      </c>
    </row>
    <row r="23" spans="1:2">
      <c r="A23" s="152" t="s">
        <v>109</v>
      </c>
      <c r="B23" s="153">
        <f>SUM(B17:B22)</f>
        <v>1141937150</v>
      </c>
    </row>
    <row r="24" spans="1:2">
      <c r="B24" s="143"/>
    </row>
    <row r="26" spans="1:2">
      <c r="B26" s="143"/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FC909-16F3-4D4F-9D7D-2612613C6831}">
  <dimension ref="A1:D25"/>
  <sheetViews>
    <sheetView topLeftCell="A9" zoomScale="90" zoomScaleNormal="90" workbookViewId="0">
      <selection activeCell="D15" sqref="D15"/>
    </sheetView>
  </sheetViews>
  <sheetFormatPr defaultColWidth="11" defaultRowHeight="15.75"/>
  <cols>
    <col min="1" max="1" width="47.875" customWidth="1"/>
    <col min="2" max="2" width="25.375" customWidth="1"/>
    <col min="3" max="3" width="21.875" customWidth="1"/>
    <col min="4" max="4" width="16.75" bestFit="1" customWidth="1"/>
  </cols>
  <sheetData>
    <row r="1" spans="1:4">
      <c r="A1" s="254" t="s">
        <v>86</v>
      </c>
      <c r="B1" s="254"/>
    </row>
    <row r="2" spans="1:4">
      <c r="A2" s="134" t="s">
        <v>87</v>
      </c>
    </row>
    <row r="3" spans="1:4">
      <c r="A3" s="135" t="s">
        <v>88</v>
      </c>
      <c r="B3" s="135" t="s">
        <v>89</v>
      </c>
    </row>
    <row r="4" spans="1:4" ht="31.5">
      <c r="A4" s="136" t="s">
        <v>90</v>
      </c>
      <c r="B4" s="137">
        <v>227816070</v>
      </c>
    </row>
    <row r="5" spans="1:4" ht="18">
      <c r="A5" s="136" t="s">
        <v>91</v>
      </c>
      <c r="B5" s="138">
        <v>1716800</v>
      </c>
    </row>
    <row r="6" spans="1:4" ht="47.25">
      <c r="A6" s="136" t="s">
        <v>92</v>
      </c>
      <c r="B6" s="139">
        <v>229532870</v>
      </c>
      <c r="C6" s="143"/>
    </row>
    <row r="7" spans="1:4">
      <c r="A7" s="136" t="s">
        <v>93</v>
      </c>
      <c r="B7" s="137">
        <f>+B4</f>
        <v>227816070</v>
      </c>
    </row>
    <row r="8" spans="1:4">
      <c r="A8" s="136" t="s">
        <v>94</v>
      </c>
      <c r="B8" s="137">
        <f>+ROUND(B4/30,0)</f>
        <v>7593869</v>
      </c>
      <c r="C8" s="143"/>
    </row>
    <row r="9" spans="1:4">
      <c r="A9" s="136" t="s">
        <v>95</v>
      </c>
      <c r="B9" s="140">
        <v>26</v>
      </c>
    </row>
    <row r="10" spans="1:4">
      <c r="A10" s="136" t="s">
        <v>96</v>
      </c>
      <c r="B10" s="137">
        <f>+(B8*B9)+B5</f>
        <v>199157394</v>
      </c>
    </row>
    <row r="11" spans="1:4">
      <c r="A11" s="136" t="s">
        <v>97</v>
      </c>
      <c r="B11" s="140">
        <v>4</v>
      </c>
      <c r="D11" s="141"/>
    </row>
    <row r="12" spans="1:4">
      <c r="A12" s="136" t="s">
        <v>98</v>
      </c>
      <c r="B12" s="140">
        <v>4</v>
      </c>
      <c r="D12" s="142"/>
    </row>
    <row r="13" spans="1:4">
      <c r="A13" s="136" t="s">
        <v>99</v>
      </c>
      <c r="B13" s="140">
        <v>4</v>
      </c>
      <c r="D13" s="143"/>
    </row>
    <row r="14" spans="1:4">
      <c r="A14" s="136" t="s">
        <v>100</v>
      </c>
      <c r="B14" s="144">
        <f>+B10+(B11*B7)+(B12*B8)</f>
        <v>1140797150</v>
      </c>
      <c r="C14" s="143"/>
    </row>
    <row r="15" spans="1:4">
      <c r="A15" s="146" t="s">
        <v>111</v>
      </c>
      <c r="B15" s="153">
        <f>+B13*B14</f>
        <v>4563188600</v>
      </c>
      <c r="C15" s="143"/>
    </row>
    <row r="16" spans="1:4">
      <c r="A16" s="145"/>
      <c r="B16" s="143"/>
    </row>
    <row r="17" spans="1:3">
      <c r="A17" s="146" t="s">
        <v>101</v>
      </c>
      <c r="B17" s="147" t="s">
        <v>102</v>
      </c>
    </row>
    <row r="18" spans="1:3">
      <c r="A18" s="148" t="s">
        <v>103</v>
      </c>
      <c r="B18" s="149">
        <f>+B10</f>
        <v>199157394</v>
      </c>
    </row>
    <row r="19" spans="1:3">
      <c r="A19" s="150" t="s">
        <v>104</v>
      </c>
      <c r="B19" s="149">
        <f>+B7</f>
        <v>227816070</v>
      </c>
    </row>
    <row r="20" spans="1:3">
      <c r="A20" s="151" t="s">
        <v>105</v>
      </c>
      <c r="B20" s="149">
        <f>+B7</f>
        <v>227816070</v>
      </c>
    </row>
    <row r="21" spans="1:3">
      <c r="A21" s="151" t="s">
        <v>106</v>
      </c>
      <c r="B21" s="149">
        <f>+B7</f>
        <v>227816070</v>
      </c>
    </row>
    <row r="22" spans="1:3">
      <c r="A22" s="151" t="s">
        <v>107</v>
      </c>
      <c r="B22" s="149">
        <f>+B7</f>
        <v>227816070</v>
      </c>
    </row>
    <row r="23" spans="1:3">
      <c r="A23" s="151" t="s">
        <v>108</v>
      </c>
      <c r="B23" s="149">
        <f>+(B12*B8)</f>
        <v>30375476</v>
      </c>
    </row>
    <row r="24" spans="1:3">
      <c r="A24" s="152" t="s">
        <v>109</v>
      </c>
      <c r="B24" s="153">
        <f>SUM(B18:B23)</f>
        <v>1140797150</v>
      </c>
    </row>
    <row r="25" spans="1:3">
      <c r="B25" s="143"/>
      <c r="C25" s="143"/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DFFA8-BA6C-4851-8BC0-1CB9FE7D2D07}">
  <dimension ref="A1:C24"/>
  <sheetViews>
    <sheetView zoomScale="90" zoomScaleNormal="90" workbookViewId="0">
      <selection activeCell="G13" sqref="G13"/>
    </sheetView>
  </sheetViews>
  <sheetFormatPr defaultColWidth="11" defaultRowHeight="15.75"/>
  <cols>
    <col min="1" max="1" width="47.875" customWidth="1"/>
    <col min="2" max="2" width="25.375" customWidth="1"/>
    <col min="3" max="3" width="16.75" bestFit="1" customWidth="1"/>
  </cols>
  <sheetData>
    <row r="1" spans="1:3">
      <c r="A1" s="254" t="s">
        <v>86</v>
      </c>
      <c r="B1" s="254"/>
    </row>
    <row r="2" spans="1:3">
      <c r="A2" s="134" t="s">
        <v>87</v>
      </c>
    </row>
    <row r="3" spans="1:3">
      <c r="A3" s="135" t="s">
        <v>88</v>
      </c>
      <c r="B3" s="135" t="s">
        <v>89</v>
      </c>
    </row>
    <row r="4" spans="1:3" ht="31.5">
      <c r="A4" s="136" t="s">
        <v>90</v>
      </c>
      <c r="B4" s="137">
        <v>227066104</v>
      </c>
    </row>
    <row r="5" spans="1:3" ht="18">
      <c r="A5" s="136" t="s">
        <v>91</v>
      </c>
      <c r="B5" s="138">
        <v>1716800</v>
      </c>
    </row>
    <row r="6" spans="1:3" ht="47.25">
      <c r="A6" s="136" t="s">
        <v>92</v>
      </c>
      <c r="B6" s="139">
        <v>228782904</v>
      </c>
    </row>
    <row r="7" spans="1:3">
      <c r="A7" s="136" t="s">
        <v>93</v>
      </c>
      <c r="B7" s="137">
        <f>+B4</f>
        <v>227066104</v>
      </c>
    </row>
    <row r="8" spans="1:3">
      <c r="A8" s="136" t="s">
        <v>94</v>
      </c>
      <c r="B8" s="137">
        <f>+ROUND(B4/30,0)</f>
        <v>7568870</v>
      </c>
    </row>
    <row r="9" spans="1:3">
      <c r="A9" s="136" t="s">
        <v>95</v>
      </c>
      <c r="B9" s="140">
        <v>26</v>
      </c>
    </row>
    <row r="10" spans="1:3">
      <c r="A10" s="136" t="s">
        <v>96</v>
      </c>
      <c r="B10" s="137">
        <f>+(B8*B9)+B5</f>
        <v>198507420</v>
      </c>
    </row>
    <row r="11" spans="1:3">
      <c r="A11" s="136" t="s">
        <v>97</v>
      </c>
      <c r="B11" s="140">
        <v>4</v>
      </c>
      <c r="C11" s="141"/>
    </row>
    <row r="12" spans="1:3">
      <c r="A12" s="136" t="s">
        <v>98</v>
      </c>
      <c r="B12" s="140">
        <v>4</v>
      </c>
      <c r="C12" s="142"/>
    </row>
    <row r="13" spans="1:3">
      <c r="A13" s="136" t="s">
        <v>99</v>
      </c>
      <c r="B13" s="140">
        <v>4</v>
      </c>
      <c r="C13" s="143"/>
    </row>
    <row r="14" spans="1:3">
      <c r="A14" s="136" t="s">
        <v>100</v>
      </c>
      <c r="B14" s="144">
        <f>+B10+(B11*B7)+(B12*B8)</f>
        <v>1137047316</v>
      </c>
    </row>
    <row r="15" spans="1:3">
      <c r="A15" s="146" t="s">
        <v>111</v>
      </c>
      <c r="B15" s="153">
        <f>+B13*B14</f>
        <v>4548189264</v>
      </c>
    </row>
    <row r="16" spans="1:3">
      <c r="A16" s="145"/>
      <c r="B16" s="143"/>
    </row>
    <row r="17" spans="1:2">
      <c r="A17" s="146" t="s">
        <v>101</v>
      </c>
      <c r="B17" s="147" t="s">
        <v>102</v>
      </c>
    </row>
    <row r="18" spans="1:2">
      <c r="A18" s="148" t="s">
        <v>103</v>
      </c>
      <c r="B18" s="149">
        <f>+B10</f>
        <v>198507420</v>
      </c>
    </row>
    <row r="19" spans="1:2">
      <c r="A19" s="150" t="s">
        <v>104</v>
      </c>
      <c r="B19" s="149">
        <f>+B7</f>
        <v>227066104</v>
      </c>
    </row>
    <row r="20" spans="1:2">
      <c r="A20" s="151" t="s">
        <v>105</v>
      </c>
      <c r="B20" s="149">
        <f>+B7</f>
        <v>227066104</v>
      </c>
    </row>
    <row r="21" spans="1:2">
      <c r="A21" s="151" t="s">
        <v>106</v>
      </c>
      <c r="B21" s="149">
        <f>+B7</f>
        <v>227066104</v>
      </c>
    </row>
    <row r="22" spans="1:2">
      <c r="A22" s="151" t="s">
        <v>107</v>
      </c>
      <c r="B22" s="149">
        <f>+B7</f>
        <v>227066104</v>
      </c>
    </row>
    <row r="23" spans="1:2">
      <c r="A23" s="151" t="s">
        <v>108</v>
      </c>
      <c r="B23" s="149">
        <f>+(B12*B8)</f>
        <v>30275480</v>
      </c>
    </row>
    <row r="24" spans="1:2">
      <c r="A24" s="152" t="s">
        <v>109</v>
      </c>
      <c r="B24" s="153">
        <f>SUM(B18:B23)</f>
        <v>1137047316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C424F-BC19-45EE-B75E-B894376903E2}">
  <sheetPr>
    <tabColor rgb="FFFFB0C7"/>
  </sheetPr>
  <dimension ref="A1:C24"/>
  <sheetViews>
    <sheetView zoomScale="90" zoomScaleNormal="90" workbookViewId="0">
      <selection activeCell="D17" sqref="D17"/>
    </sheetView>
  </sheetViews>
  <sheetFormatPr defaultColWidth="11" defaultRowHeight="15.75"/>
  <cols>
    <col min="1" max="1" width="47.875" customWidth="1"/>
    <col min="2" max="2" width="25.375" customWidth="1"/>
    <col min="3" max="3" width="16.75" bestFit="1" customWidth="1"/>
  </cols>
  <sheetData>
    <row r="1" spans="1:3">
      <c r="A1" s="254" t="s">
        <v>86</v>
      </c>
      <c r="B1" s="254"/>
    </row>
    <row r="2" spans="1:3">
      <c r="A2" s="134" t="s">
        <v>87</v>
      </c>
    </row>
    <row r="3" spans="1:3">
      <c r="A3" s="135" t="s">
        <v>88</v>
      </c>
      <c r="B3" s="135" t="s">
        <v>89</v>
      </c>
    </row>
    <row r="4" spans="1:3" ht="31.5">
      <c r="A4" s="136" t="s">
        <v>90</v>
      </c>
      <c r="B4" s="137">
        <v>216926220</v>
      </c>
    </row>
    <row r="5" spans="1:3" ht="18">
      <c r="A5" s="136" t="s">
        <v>91</v>
      </c>
      <c r="B5" s="138">
        <v>1716800</v>
      </c>
    </row>
    <row r="6" spans="1:3" ht="47.25">
      <c r="A6" s="136" t="s">
        <v>92</v>
      </c>
      <c r="B6" s="139">
        <v>218643020</v>
      </c>
    </row>
    <row r="7" spans="1:3">
      <c r="A7" s="136" t="s">
        <v>93</v>
      </c>
      <c r="B7" s="139">
        <f>+B4</f>
        <v>216926220</v>
      </c>
    </row>
    <row r="8" spans="1:3">
      <c r="A8" s="136" t="s">
        <v>94</v>
      </c>
      <c r="B8" s="137">
        <f>+ROUND(B4/30,0)</f>
        <v>7230874</v>
      </c>
    </row>
    <row r="9" spans="1:3">
      <c r="A9" s="136" t="s">
        <v>95</v>
      </c>
      <c r="B9" s="140">
        <v>26</v>
      </c>
    </row>
    <row r="10" spans="1:3">
      <c r="A10" s="136" t="s">
        <v>96</v>
      </c>
      <c r="B10" s="137">
        <f>+(B8*B9)+B5</f>
        <v>189719524</v>
      </c>
    </row>
    <row r="11" spans="1:3">
      <c r="A11" s="136" t="s">
        <v>97</v>
      </c>
      <c r="B11" s="140">
        <v>4</v>
      </c>
      <c r="C11" s="141"/>
    </row>
    <row r="12" spans="1:3">
      <c r="A12" s="136" t="s">
        <v>98</v>
      </c>
      <c r="B12" s="140">
        <v>4</v>
      </c>
      <c r="C12" s="142"/>
    </row>
    <row r="13" spans="1:3">
      <c r="A13" s="136" t="s">
        <v>99</v>
      </c>
      <c r="B13" s="140">
        <v>4</v>
      </c>
      <c r="C13" s="143"/>
    </row>
    <row r="14" spans="1:3">
      <c r="A14" s="136" t="s">
        <v>100</v>
      </c>
      <c r="B14" s="144">
        <f>+B10+(B11*B7)+(B12*B8)</f>
        <v>1086347900</v>
      </c>
    </row>
    <row r="15" spans="1:3">
      <c r="A15" s="146" t="s">
        <v>111</v>
      </c>
      <c r="B15" s="153">
        <f>+B13*B14</f>
        <v>4345391600</v>
      </c>
    </row>
    <row r="16" spans="1:3">
      <c r="A16" s="145"/>
      <c r="B16" s="143"/>
    </row>
    <row r="17" spans="1:2">
      <c r="A17" s="146" t="s">
        <v>101</v>
      </c>
      <c r="B17" s="147" t="s">
        <v>102</v>
      </c>
    </row>
    <row r="18" spans="1:2">
      <c r="A18" s="148" t="s">
        <v>103</v>
      </c>
      <c r="B18" s="149">
        <f>+B10</f>
        <v>189719524</v>
      </c>
    </row>
    <row r="19" spans="1:2">
      <c r="A19" s="150" t="s">
        <v>104</v>
      </c>
      <c r="B19" s="149">
        <f>+B7</f>
        <v>216926220</v>
      </c>
    </row>
    <row r="20" spans="1:2">
      <c r="A20" s="151" t="s">
        <v>105</v>
      </c>
      <c r="B20" s="149">
        <f>+B7</f>
        <v>216926220</v>
      </c>
    </row>
    <row r="21" spans="1:2">
      <c r="A21" s="151" t="s">
        <v>106</v>
      </c>
      <c r="B21" s="149">
        <f>+B7</f>
        <v>216926220</v>
      </c>
    </row>
    <row r="22" spans="1:2">
      <c r="A22" s="151" t="s">
        <v>107</v>
      </c>
      <c r="B22" s="149">
        <f>+B7</f>
        <v>216926220</v>
      </c>
    </row>
    <row r="23" spans="1:2">
      <c r="A23" s="151" t="s">
        <v>108</v>
      </c>
      <c r="B23" s="149">
        <f>+(B12*B8)</f>
        <v>28923496</v>
      </c>
    </row>
    <row r="24" spans="1:2">
      <c r="A24" s="152" t="s">
        <v>109</v>
      </c>
      <c r="B24" s="153">
        <f>SUM(B18:B23)</f>
        <v>1086347900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64591-D2AD-4713-A487-BE230D2436C1}">
  <dimension ref="A1:D24"/>
  <sheetViews>
    <sheetView zoomScale="90" zoomScaleNormal="90" workbookViewId="0">
      <selection activeCell="D15" sqref="D15"/>
    </sheetView>
  </sheetViews>
  <sheetFormatPr defaultColWidth="11" defaultRowHeight="15.75"/>
  <cols>
    <col min="1" max="1" width="47.875" customWidth="1"/>
    <col min="2" max="2" width="25.375" customWidth="1"/>
    <col min="3" max="3" width="21.5" customWidth="1"/>
    <col min="4" max="4" width="16.75" bestFit="1" customWidth="1"/>
  </cols>
  <sheetData>
    <row r="1" spans="1:4">
      <c r="A1" s="254" t="s">
        <v>86</v>
      </c>
      <c r="B1" s="254"/>
    </row>
    <row r="2" spans="1:4">
      <c r="A2" s="134" t="s">
        <v>87</v>
      </c>
    </row>
    <row r="3" spans="1:4">
      <c r="A3" s="135" t="s">
        <v>88</v>
      </c>
      <c r="B3" s="135" t="s">
        <v>89</v>
      </c>
    </row>
    <row r="4" spans="1:4" ht="31.5">
      <c r="A4" s="136" t="s">
        <v>90</v>
      </c>
      <c r="B4" s="137">
        <v>227159196</v>
      </c>
    </row>
    <row r="5" spans="1:4" ht="18">
      <c r="A5" s="136" t="s">
        <v>91</v>
      </c>
      <c r="B5" s="138">
        <v>1716800</v>
      </c>
    </row>
    <row r="6" spans="1:4" ht="47.25">
      <c r="A6" s="136" t="s">
        <v>92</v>
      </c>
      <c r="B6" s="139">
        <v>228875996</v>
      </c>
    </row>
    <row r="7" spans="1:4">
      <c r="A7" s="136" t="s">
        <v>93</v>
      </c>
      <c r="B7" s="137">
        <f>+B4</f>
        <v>227159196</v>
      </c>
    </row>
    <row r="8" spans="1:4">
      <c r="A8" s="136" t="s">
        <v>94</v>
      </c>
      <c r="B8" s="137">
        <f>+ROUND(B4/30,0)</f>
        <v>7571973</v>
      </c>
      <c r="C8" s="143"/>
    </row>
    <row r="9" spans="1:4">
      <c r="A9" s="136" t="s">
        <v>95</v>
      </c>
      <c r="B9" s="140">
        <v>26</v>
      </c>
    </row>
    <row r="10" spans="1:4">
      <c r="A10" s="136" t="s">
        <v>96</v>
      </c>
      <c r="B10" s="137">
        <f>+(B8*B9)+B5</f>
        <v>198588098</v>
      </c>
    </row>
    <row r="11" spans="1:4">
      <c r="A11" s="136" t="s">
        <v>97</v>
      </c>
      <c r="B11" s="140">
        <v>4</v>
      </c>
      <c r="D11" s="141"/>
    </row>
    <row r="12" spans="1:4">
      <c r="A12" s="136" t="s">
        <v>98</v>
      </c>
      <c r="B12" s="140">
        <v>4</v>
      </c>
      <c r="D12" s="142"/>
    </row>
    <row r="13" spans="1:4">
      <c r="A13" s="136" t="s">
        <v>99</v>
      </c>
      <c r="B13" s="140">
        <v>4</v>
      </c>
      <c r="D13" s="143"/>
    </row>
    <row r="14" spans="1:4">
      <c r="A14" s="136" t="s">
        <v>100</v>
      </c>
      <c r="B14" s="144">
        <f>+B10+(B11*B7)+(B12*B8)</f>
        <v>1137512774</v>
      </c>
      <c r="C14" s="143"/>
    </row>
    <row r="15" spans="1:4">
      <c r="A15" s="146" t="s">
        <v>111</v>
      </c>
      <c r="B15" s="153">
        <f>+B13*B14</f>
        <v>4550051096</v>
      </c>
      <c r="C15" s="143"/>
    </row>
    <row r="16" spans="1:4">
      <c r="A16" s="145"/>
      <c r="B16" s="143"/>
    </row>
    <row r="17" spans="1:2">
      <c r="A17" s="146" t="s">
        <v>101</v>
      </c>
      <c r="B17" s="147" t="s">
        <v>102</v>
      </c>
    </row>
    <row r="18" spans="1:2">
      <c r="A18" s="148" t="s">
        <v>103</v>
      </c>
      <c r="B18" s="149">
        <f>+B10</f>
        <v>198588098</v>
      </c>
    </row>
    <row r="19" spans="1:2">
      <c r="A19" s="150" t="s">
        <v>104</v>
      </c>
      <c r="B19" s="149">
        <f>+B7</f>
        <v>227159196</v>
      </c>
    </row>
    <row r="20" spans="1:2">
      <c r="A20" s="151" t="s">
        <v>105</v>
      </c>
      <c r="B20" s="149">
        <f>+B7</f>
        <v>227159196</v>
      </c>
    </row>
    <row r="21" spans="1:2">
      <c r="A21" s="151" t="s">
        <v>106</v>
      </c>
      <c r="B21" s="149">
        <f>+B7</f>
        <v>227159196</v>
      </c>
    </row>
    <row r="22" spans="1:2">
      <c r="A22" s="151" t="s">
        <v>107</v>
      </c>
      <c r="B22" s="149">
        <f>+B7</f>
        <v>227159196</v>
      </c>
    </row>
    <row r="23" spans="1:2">
      <c r="A23" s="151" t="s">
        <v>108</v>
      </c>
      <c r="B23" s="149">
        <f>+(B12*B8)</f>
        <v>30287892</v>
      </c>
    </row>
    <row r="24" spans="1:2">
      <c r="A24" s="152" t="s">
        <v>109</v>
      </c>
      <c r="B24" s="153">
        <f>SUM(B18:B23)</f>
        <v>1137512774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D1E5E-B310-472E-9F2E-140CFA745F7C}">
  <dimension ref="A1:C24"/>
  <sheetViews>
    <sheetView zoomScale="90" zoomScaleNormal="90" workbookViewId="0">
      <selection activeCell="D15" sqref="D15"/>
    </sheetView>
  </sheetViews>
  <sheetFormatPr defaultColWidth="11" defaultRowHeight="15.75"/>
  <cols>
    <col min="1" max="1" width="47.875" customWidth="1"/>
    <col min="2" max="2" width="25.375" customWidth="1"/>
    <col min="3" max="3" width="16.75" bestFit="1" customWidth="1"/>
  </cols>
  <sheetData>
    <row r="1" spans="1:3">
      <c r="A1" s="254" t="s">
        <v>86</v>
      </c>
      <c r="B1" s="254"/>
    </row>
    <row r="2" spans="1:3">
      <c r="A2" s="134" t="s">
        <v>87</v>
      </c>
    </row>
    <row r="3" spans="1:3">
      <c r="A3" s="135" t="s">
        <v>88</v>
      </c>
      <c r="B3" s="135" t="s">
        <v>89</v>
      </c>
    </row>
    <row r="4" spans="1:3" ht="31.5">
      <c r="A4" s="136" t="s">
        <v>90</v>
      </c>
      <c r="B4" s="137">
        <v>219424515</v>
      </c>
    </row>
    <row r="5" spans="1:3" ht="18">
      <c r="A5" s="136" t="s">
        <v>91</v>
      </c>
      <c r="B5" s="138">
        <f>+B6-B4</f>
        <v>1630960</v>
      </c>
    </row>
    <row r="6" spans="1:3" ht="47.25">
      <c r="A6" s="136" t="s">
        <v>92</v>
      </c>
      <c r="B6" s="139">
        <v>221055475</v>
      </c>
    </row>
    <row r="7" spans="1:3">
      <c r="A7" s="136" t="s">
        <v>93</v>
      </c>
      <c r="B7" s="137">
        <f>+B4</f>
        <v>219424515</v>
      </c>
    </row>
    <row r="8" spans="1:3">
      <c r="A8" s="136" t="s">
        <v>94</v>
      </c>
      <c r="B8" s="137">
        <f>+ROUND(B4/30,0)</f>
        <v>7314151</v>
      </c>
    </row>
    <row r="9" spans="1:3">
      <c r="A9" s="136" t="s">
        <v>95</v>
      </c>
      <c r="B9" s="140">
        <v>26</v>
      </c>
    </row>
    <row r="10" spans="1:3">
      <c r="A10" s="136" t="s">
        <v>96</v>
      </c>
      <c r="B10" s="137">
        <f>+(B8*B9)+B5</f>
        <v>191798886</v>
      </c>
    </row>
    <row r="11" spans="1:3">
      <c r="A11" s="136" t="s">
        <v>97</v>
      </c>
      <c r="B11" s="140">
        <v>4</v>
      </c>
      <c r="C11" s="141"/>
    </row>
    <row r="12" spans="1:3">
      <c r="A12" s="136" t="s">
        <v>98</v>
      </c>
      <c r="B12" s="140">
        <v>4</v>
      </c>
      <c r="C12" s="142"/>
    </row>
    <row r="13" spans="1:3">
      <c r="A13" s="136" t="s">
        <v>99</v>
      </c>
      <c r="B13" s="140">
        <v>4</v>
      </c>
      <c r="C13" s="143"/>
    </row>
    <row r="14" spans="1:3">
      <c r="A14" s="136" t="s">
        <v>100</v>
      </c>
      <c r="B14" s="144">
        <f>+B10+(B11*B7)+(B12*B8)</f>
        <v>1098753550</v>
      </c>
    </row>
    <row r="15" spans="1:3">
      <c r="A15" s="146" t="s">
        <v>111</v>
      </c>
      <c r="B15" s="153">
        <f>+B13*B14</f>
        <v>4395014200</v>
      </c>
    </row>
    <row r="16" spans="1:3">
      <c r="A16" s="145"/>
      <c r="B16" s="143"/>
    </row>
    <row r="17" spans="1:2">
      <c r="A17" s="146" t="s">
        <v>101</v>
      </c>
      <c r="B17" s="147" t="s">
        <v>102</v>
      </c>
    </row>
    <row r="18" spans="1:2">
      <c r="A18" s="148" t="s">
        <v>103</v>
      </c>
      <c r="B18" s="149">
        <f>+B10</f>
        <v>191798886</v>
      </c>
    </row>
    <row r="19" spans="1:2">
      <c r="A19" s="150" t="s">
        <v>104</v>
      </c>
      <c r="B19" s="149">
        <f>+B7</f>
        <v>219424515</v>
      </c>
    </row>
    <row r="20" spans="1:2">
      <c r="A20" s="151" t="s">
        <v>105</v>
      </c>
      <c r="B20" s="149">
        <f>+B7</f>
        <v>219424515</v>
      </c>
    </row>
    <row r="21" spans="1:2">
      <c r="A21" s="151" t="s">
        <v>106</v>
      </c>
      <c r="B21" s="149">
        <f>+B7</f>
        <v>219424515</v>
      </c>
    </row>
    <row r="22" spans="1:2">
      <c r="A22" s="151" t="s">
        <v>107</v>
      </c>
      <c r="B22" s="149">
        <f>+B7</f>
        <v>219424515</v>
      </c>
    </row>
    <row r="23" spans="1:2">
      <c r="A23" s="151" t="s">
        <v>108</v>
      </c>
      <c r="B23" s="149">
        <f>+(B12*B8)</f>
        <v>29256604</v>
      </c>
    </row>
    <row r="24" spans="1:2">
      <c r="A24" s="152" t="s">
        <v>109</v>
      </c>
      <c r="B24" s="153">
        <f>SUM(B18:B23)</f>
        <v>1098753550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C42D7-1D1E-41E6-B131-40E69B637E00}">
  <sheetPr>
    <tabColor rgb="FFFFB0C7"/>
  </sheetPr>
  <dimension ref="A1:C24"/>
  <sheetViews>
    <sheetView zoomScale="90" zoomScaleNormal="90" workbookViewId="0">
      <selection activeCell="D15" sqref="D15"/>
    </sheetView>
  </sheetViews>
  <sheetFormatPr defaultColWidth="11" defaultRowHeight="15.75"/>
  <cols>
    <col min="1" max="1" width="47.875" customWidth="1"/>
    <col min="2" max="2" width="25.375" customWidth="1"/>
    <col min="3" max="3" width="16.75" bestFit="1" customWidth="1"/>
  </cols>
  <sheetData>
    <row r="1" spans="1:3">
      <c r="A1" s="254" t="s">
        <v>86</v>
      </c>
      <c r="B1" s="254"/>
    </row>
    <row r="2" spans="1:3">
      <c r="A2" s="134" t="s">
        <v>87</v>
      </c>
    </row>
    <row r="3" spans="1:3">
      <c r="A3" s="135" t="s">
        <v>88</v>
      </c>
      <c r="B3" s="135" t="s">
        <v>89</v>
      </c>
    </row>
    <row r="4" spans="1:3" ht="31.5">
      <c r="A4" s="136" t="s">
        <v>90</v>
      </c>
      <c r="B4" s="137">
        <v>224932770</v>
      </c>
    </row>
    <row r="5" spans="1:3" ht="18">
      <c r="A5" s="136" t="s">
        <v>91</v>
      </c>
      <c r="B5" s="138">
        <v>1716800</v>
      </c>
    </row>
    <row r="6" spans="1:3" ht="47.25">
      <c r="A6" s="136" t="s">
        <v>92</v>
      </c>
      <c r="B6" s="139">
        <v>226649570</v>
      </c>
    </row>
    <row r="7" spans="1:3">
      <c r="A7" s="136" t="s">
        <v>93</v>
      </c>
      <c r="B7" s="137">
        <f>+B4</f>
        <v>224932770</v>
      </c>
    </row>
    <row r="8" spans="1:3">
      <c r="A8" s="136" t="s">
        <v>94</v>
      </c>
      <c r="B8" s="137">
        <f>+ROUND(B4/30,0)</f>
        <v>7497759</v>
      </c>
    </row>
    <row r="9" spans="1:3">
      <c r="A9" s="136" t="s">
        <v>95</v>
      </c>
      <c r="B9" s="140">
        <v>26</v>
      </c>
    </row>
    <row r="10" spans="1:3">
      <c r="A10" s="136" t="s">
        <v>96</v>
      </c>
      <c r="B10" s="137">
        <f>+(B8*B9)+B5</f>
        <v>196658534</v>
      </c>
    </row>
    <row r="11" spans="1:3">
      <c r="A11" s="136" t="s">
        <v>97</v>
      </c>
      <c r="B11" s="140">
        <v>4</v>
      </c>
      <c r="C11" s="141"/>
    </row>
    <row r="12" spans="1:3">
      <c r="A12" s="136" t="s">
        <v>98</v>
      </c>
      <c r="B12" s="140">
        <v>4</v>
      </c>
      <c r="C12" s="142"/>
    </row>
    <row r="13" spans="1:3">
      <c r="A13" s="136" t="s">
        <v>99</v>
      </c>
      <c r="B13" s="140">
        <v>4</v>
      </c>
      <c r="C13" s="143"/>
    </row>
    <row r="14" spans="1:3">
      <c r="A14" s="136" t="s">
        <v>100</v>
      </c>
      <c r="B14" s="144">
        <f>+B10+(B11*B7)+(B12*B8)</f>
        <v>1126380650</v>
      </c>
    </row>
    <row r="15" spans="1:3">
      <c r="A15" s="146" t="s">
        <v>111</v>
      </c>
      <c r="B15" s="153">
        <f>+B13*B14</f>
        <v>4505522600</v>
      </c>
    </row>
    <row r="16" spans="1:3">
      <c r="A16" s="145"/>
      <c r="B16" s="143"/>
    </row>
    <row r="17" spans="1:2">
      <c r="A17" s="146" t="s">
        <v>101</v>
      </c>
      <c r="B17" s="147" t="s">
        <v>102</v>
      </c>
    </row>
    <row r="18" spans="1:2">
      <c r="A18" s="148" t="s">
        <v>103</v>
      </c>
      <c r="B18" s="149">
        <f>+B10</f>
        <v>196658534</v>
      </c>
    </row>
    <row r="19" spans="1:2">
      <c r="A19" s="150" t="s">
        <v>104</v>
      </c>
      <c r="B19" s="149">
        <f>+B7</f>
        <v>224932770</v>
      </c>
    </row>
    <row r="20" spans="1:2">
      <c r="A20" s="151" t="s">
        <v>105</v>
      </c>
      <c r="B20" s="149">
        <f>+B7</f>
        <v>224932770</v>
      </c>
    </row>
    <row r="21" spans="1:2">
      <c r="A21" s="151" t="s">
        <v>106</v>
      </c>
      <c r="B21" s="149">
        <f>+B7</f>
        <v>224932770</v>
      </c>
    </row>
    <row r="22" spans="1:2">
      <c r="A22" s="151" t="s">
        <v>107</v>
      </c>
      <c r="B22" s="149">
        <f>+B7</f>
        <v>224932770</v>
      </c>
    </row>
    <row r="23" spans="1:2">
      <c r="A23" s="151" t="s">
        <v>108</v>
      </c>
      <c r="B23" s="149">
        <f>+(B12*B8)</f>
        <v>29991036</v>
      </c>
    </row>
    <row r="24" spans="1:2">
      <c r="A24" s="152" t="s">
        <v>109</v>
      </c>
      <c r="B24" s="153">
        <f>SUM(B18:B23)</f>
        <v>1126380650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1FF82-A6F8-4491-8D88-4F197280D54A}">
  <sheetPr>
    <tabColor rgb="FF0070C0"/>
  </sheetPr>
  <dimension ref="B1:K69"/>
  <sheetViews>
    <sheetView topLeftCell="A52" zoomScale="80" zoomScaleNormal="80" zoomScaleSheetLayoutView="100" workbookViewId="0">
      <selection activeCell="F15" sqref="F15:F20"/>
    </sheetView>
  </sheetViews>
  <sheetFormatPr defaultColWidth="11" defaultRowHeight="14.25"/>
  <cols>
    <col min="1" max="1" width="11" style="32"/>
    <col min="2" max="2" width="5.125" style="32" customWidth="1"/>
    <col min="3" max="3" width="54" style="32" bestFit="1" customWidth="1"/>
    <col min="4" max="4" width="11.125" style="32" customWidth="1"/>
    <col min="5" max="5" width="10.375" style="32" customWidth="1"/>
    <col min="6" max="6" width="17.75" style="32" customWidth="1"/>
    <col min="7" max="7" width="27.875" style="32" customWidth="1"/>
    <col min="8" max="8" width="17.75" style="32" customWidth="1"/>
    <col min="9" max="9" width="44.5" style="32" bestFit="1" customWidth="1"/>
    <col min="10" max="10" width="42.25" style="32" bestFit="1" customWidth="1"/>
    <col min="11" max="11" width="21.375" style="32" customWidth="1"/>
    <col min="12" max="16384" width="11" style="32"/>
  </cols>
  <sheetData>
    <row r="1" spans="2:11" ht="15" thickBot="1"/>
    <row r="2" spans="2:11" ht="78" customHeight="1" thickBot="1">
      <c r="B2" s="234" t="str">
        <f>+'[1]EVALUACIÓN PROPONENTES_MES1'!B3</f>
        <v>Objeto: LOTE 1 MODALIDAD INTEGRAL:“Prestar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v>
      </c>
      <c r="C2" s="235"/>
      <c r="D2" s="235"/>
      <c r="E2" s="235"/>
      <c r="F2" s="235"/>
      <c r="G2" s="235"/>
      <c r="H2" s="235"/>
      <c r="I2" s="235"/>
      <c r="J2" s="236"/>
    </row>
    <row r="4" spans="2:11" ht="14.25" customHeight="1">
      <c r="B4" s="237" t="s">
        <v>44</v>
      </c>
      <c r="C4" s="237"/>
      <c r="D4" s="237"/>
      <c r="E4" s="237"/>
    </row>
    <row r="5" spans="2:11" ht="30.75" customHeight="1">
      <c r="B5" s="257" t="str">
        <f>+'EVALUACIÓN TH (ACNN) '!B6</f>
        <v>VALOR PRESUPUESTO TALENTO HUMANO</v>
      </c>
      <c r="C5" s="257"/>
      <c r="D5" s="258">
        <f>+'EVALUACIÓN TH (ACNN) '!D6</f>
        <v>114843300</v>
      </c>
      <c r="E5" s="258"/>
    </row>
    <row r="9" spans="2:11" ht="18" customHeight="1">
      <c r="B9" s="230" t="s">
        <v>45</v>
      </c>
      <c r="C9" s="230"/>
      <c r="D9" s="230"/>
      <c r="E9" s="230"/>
      <c r="F9" s="230"/>
      <c r="G9" s="230"/>
      <c r="H9" s="230"/>
      <c r="I9" s="230"/>
      <c r="J9" s="230"/>
      <c r="K9" s="230"/>
    </row>
    <row r="10" spans="2:11" ht="18">
      <c r="B10" s="230"/>
      <c r="C10" s="230"/>
      <c r="D10" s="230"/>
      <c r="E10" s="230"/>
      <c r="F10" s="230"/>
      <c r="G10" s="230"/>
      <c r="H10" s="230"/>
      <c r="I10" s="230"/>
      <c r="J10" s="230"/>
      <c r="K10" s="230"/>
    </row>
    <row r="11" spans="2:11" ht="18" customHeight="1">
      <c r="B11" s="230" t="s">
        <v>46</v>
      </c>
      <c r="C11" s="230"/>
      <c r="D11" s="230"/>
      <c r="E11" s="230"/>
      <c r="F11" s="230"/>
      <c r="G11" s="230"/>
      <c r="H11" s="230"/>
      <c r="I11" s="230"/>
      <c r="J11" s="230"/>
      <c r="K11" s="230"/>
    </row>
    <row r="12" spans="2:11" ht="18">
      <c r="B12" s="31"/>
      <c r="C12" s="31"/>
      <c r="D12" s="31"/>
      <c r="E12" s="31"/>
      <c r="F12" s="31"/>
      <c r="G12" s="31"/>
      <c r="H12" s="31"/>
      <c r="I12" s="31"/>
      <c r="J12" s="31"/>
    </row>
    <row r="13" spans="2:11" ht="15" thickBot="1">
      <c r="F13" s="33"/>
    </row>
    <row r="14" spans="2:11" ht="147.75" customHeight="1">
      <c r="B14" s="49" t="s">
        <v>47</v>
      </c>
      <c r="C14" s="50" t="s">
        <v>48</v>
      </c>
      <c r="D14" s="54" t="s">
        <v>49</v>
      </c>
      <c r="E14" s="54" t="s">
        <v>50</v>
      </c>
      <c r="F14" s="56" t="s">
        <v>51</v>
      </c>
      <c r="G14" s="57" t="s">
        <v>52</v>
      </c>
      <c r="H14" s="57" t="s">
        <v>53</v>
      </c>
      <c r="I14" s="57" t="s">
        <v>54</v>
      </c>
      <c r="J14" s="57" t="s">
        <v>55</v>
      </c>
      <c r="K14" s="58" t="s">
        <v>56</v>
      </c>
    </row>
    <row r="15" spans="2:11" ht="15.75">
      <c r="B15" s="59">
        <f>+'EVALUACIÓN TH (ACNN) '!B14</f>
        <v>1</v>
      </c>
      <c r="C15" s="35" t="str">
        <f>+'EVALUACIÓN TH (ACNN) '!C14</f>
        <v>CORPORACIÓN ORIENTAR PARA CRECER (CASA 1)</v>
      </c>
      <c r="D15" s="52">
        <f>+'EVALUACIÓN TH (ACNN) '!D14</f>
        <v>46161</v>
      </c>
      <c r="E15" s="34" t="str">
        <f>+'EVALUACIÓN TH (ACNN) '!E14</f>
        <v>7:28AM</v>
      </c>
      <c r="F15" s="164">
        <v>114843300</v>
      </c>
      <c r="G15" s="255">
        <f>+D5-F37</f>
        <v>1354800</v>
      </c>
      <c r="H15" s="255">
        <f>+D5-F39</f>
        <v>3016033.3333333284</v>
      </c>
      <c r="I15" s="36">
        <f t="shared" ref="I15:I20" si="0">+F15-$F$39</f>
        <v>3016033.3333333284</v>
      </c>
      <c r="J15" s="37">
        <f>+F15-$D$5</f>
        <v>0</v>
      </c>
      <c r="K15" s="165">
        <f>-($D$5-F15)/$D$5</f>
        <v>0</v>
      </c>
    </row>
    <row r="16" spans="2:11" ht="15.75">
      <c r="B16" s="59">
        <f>+'EVALUACIÓN TH (ACNN) '!B15</f>
        <v>2</v>
      </c>
      <c r="C16" s="35" t="str">
        <f>+'EVALUACIÓN TH (ACNN) '!C15</f>
        <v>CORPORACIÓN ORIENTAR PARA CRECER (CASA 2)</v>
      </c>
      <c r="D16" s="52">
        <f>+'EVALUACIÓN TH (ACNN) '!D15</f>
        <v>46161</v>
      </c>
      <c r="E16" s="34" t="str">
        <f>+'EVALUACIÓN TH (ACNN) '!E15</f>
        <v>7:28AM</v>
      </c>
      <c r="F16" s="164">
        <v>114843300</v>
      </c>
      <c r="G16" s="255"/>
      <c r="H16" s="255"/>
      <c r="I16" s="36">
        <f t="shared" si="0"/>
        <v>3016033.3333333284</v>
      </c>
      <c r="J16" s="37">
        <f t="shared" ref="J16:J20" si="1">+F16-$D$5</f>
        <v>0</v>
      </c>
      <c r="K16" s="165">
        <f t="shared" ref="K16:K20" si="2">-($D$5-F16)/$D$5</f>
        <v>0</v>
      </c>
    </row>
    <row r="17" spans="2:11" ht="15.75">
      <c r="B17" s="79">
        <f>+'EVALUACIÓN TH (ACNN) '!B16</f>
        <v>3</v>
      </c>
      <c r="C17" s="166" t="str">
        <f>+'EVALUACIÓN TH (ACNN) '!C16</f>
        <v>FEZ INVERSIONES SAS</v>
      </c>
      <c r="D17" s="72">
        <f>+'EVALUACIÓN TH (ACNN) '!D16</f>
        <v>46161</v>
      </c>
      <c r="E17" s="73" t="str">
        <f>+'EVALUACIÓN TH (ACNN) '!E16</f>
        <v>3:22PM</v>
      </c>
      <c r="F17" s="74">
        <v>114837000</v>
      </c>
      <c r="G17" s="255"/>
      <c r="H17" s="255"/>
      <c r="I17" s="75">
        <f t="shared" si="0"/>
        <v>3009733.3333333284</v>
      </c>
      <c r="J17" s="37">
        <f t="shared" si="1"/>
        <v>-6300</v>
      </c>
      <c r="K17" s="165">
        <f t="shared" si="2"/>
        <v>-5.4857357808422431E-5</v>
      </c>
    </row>
    <row r="18" spans="2:11" ht="15.75">
      <c r="B18" s="59">
        <f>+'EVALUACIÓN TH (ACNN) '!B17</f>
        <v>5</v>
      </c>
      <c r="C18" s="35" t="str">
        <f>+'EVALUACIÓN TH (ACNN) '!C17</f>
        <v>ASOCIACION CRISTIANA NUEVO NACIMIENTO -ACNN</v>
      </c>
      <c r="D18" s="52">
        <f>+'EVALUACIÓN TH (ACNN) '!D17</f>
        <v>46161</v>
      </c>
      <c r="E18" s="34" t="str">
        <f>+'EVALUACIÓN TH (ACNN) '!E17</f>
        <v>6:11PM</v>
      </c>
      <c r="F18" s="164">
        <v>104300000</v>
      </c>
      <c r="G18" s="255"/>
      <c r="H18" s="255"/>
      <c r="I18" s="36">
        <f t="shared" si="0"/>
        <v>-7527266.6666666716</v>
      </c>
      <c r="J18" s="37">
        <f t="shared" si="1"/>
        <v>-10543300</v>
      </c>
      <c r="K18" s="165">
        <f t="shared" si="2"/>
        <v>-9.1805965171673054E-2</v>
      </c>
    </row>
    <row r="19" spans="2:11" ht="15.75">
      <c r="B19" s="59">
        <f>+'EVALUACIÓN TH (ACNN) '!B18</f>
        <v>7</v>
      </c>
      <c r="C19" s="35" t="str">
        <f>+'EVALUACIÓN TH (ACNN) '!C18</f>
        <v>SOCIEDAD INVERSIONES PF SAS</v>
      </c>
      <c r="D19" s="52">
        <f>+'EVALUACIÓN TH (ACNN) '!D18</f>
        <v>46161</v>
      </c>
      <c r="E19" s="34" t="str">
        <f>+'EVALUACIÓN TH (ACNN) '!E18</f>
        <v>6:41PM</v>
      </c>
      <c r="F19" s="164">
        <v>110000000</v>
      </c>
      <c r="G19" s="255"/>
      <c r="H19" s="255"/>
      <c r="I19" s="36">
        <f t="shared" si="0"/>
        <v>-1827266.6666666716</v>
      </c>
      <c r="J19" s="37">
        <f t="shared" si="1"/>
        <v>-4843300</v>
      </c>
      <c r="K19" s="165">
        <f t="shared" si="2"/>
        <v>-4.2173117630719424E-2</v>
      </c>
    </row>
    <row r="20" spans="2:11" s="168" customFormat="1" ht="29.25" thickBot="1">
      <c r="B20" s="92">
        <f>+'EVALUACIÓN TH (ACNN) '!B19</f>
        <v>8</v>
      </c>
      <c r="C20" s="95" t="str">
        <f>+'EVALUACIÓN TH (ACNN) '!C19</f>
        <v>CORPORACION SOCIAL PARA EL DESARROLLO DE LOS GRUPOS ETNICOS Y CULTURALES MULTIETNIAS</v>
      </c>
      <c r="D20" s="90">
        <f>+'EVALUACIÓN TH (ACNN) '!D19</f>
        <v>46161</v>
      </c>
      <c r="E20" s="93" t="str">
        <f>+'EVALUACIÓN TH (ACNN) '!E19</f>
        <v>9:07PM</v>
      </c>
      <c r="F20" s="94">
        <v>112140000</v>
      </c>
      <c r="G20" s="256"/>
      <c r="H20" s="256"/>
      <c r="I20" s="112">
        <f t="shared" si="0"/>
        <v>312733.33333332837</v>
      </c>
      <c r="J20" s="80">
        <f t="shared" si="1"/>
        <v>-2703300</v>
      </c>
      <c r="K20" s="167">
        <f t="shared" si="2"/>
        <v>-2.3539031010080692E-2</v>
      </c>
    </row>
    <row r="21" spans="2:11" ht="15.75">
      <c r="B21" s="38"/>
      <c r="C21" s="39"/>
      <c r="D21" s="38"/>
      <c r="E21" s="40"/>
      <c r="F21" s="41"/>
      <c r="G21" s="41"/>
      <c r="I21" s="169"/>
      <c r="J21" s="33"/>
    </row>
    <row r="22" spans="2:11" ht="15.75">
      <c r="B22" s="38"/>
      <c r="C22" s="43"/>
      <c r="D22" s="38"/>
      <c r="E22" s="40"/>
      <c r="F22" s="41"/>
      <c r="G22" s="41"/>
      <c r="I22" s="169"/>
      <c r="J22" s="33"/>
    </row>
    <row r="23" spans="2:11" ht="18" customHeight="1">
      <c r="B23" s="230" t="s">
        <v>57</v>
      </c>
      <c r="C23" s="230"/>
      <c r="D23" s="230"/>
      <c r="E23" s="230"/>
      <c r="F23" s="230"/>
      <c r="G23" s="230"/>
      <c r="H23" s="230"/>
      <c r="I23" s="230"/>
      <c r="J23" s="230"/>
      <c r="K23" s="230"/>
    </row>
    <row r="24" spans="2:11" ht="15.75">
      <c r="B24" s="38"/>
      <c r="C24" s="43"/>
      <c r="D24" s="38"/>
      <c r="E24" s="40"/>
      <c r="F24" s="41"/>
      <c r="G24" s="41"/>
      <c r="I24" s="169"/>
      <c r="J24" s="33"/>
    </row>
    <row r="25" spans="2:11" ht="15.75">
      <c r="B25" s="32" t="s">
        <v>58</v>
      </c>
      <c r="F25" s="33"/>
      <c r="G25" s="41"/>
      <c r="I25" s="169"/>
      <c r="J25" s="33"/>
    </row>
    <row r="26" spans="2:11" ht="16.5" thickBot="1">
      <c r="F26" s="33"/>
      <c r="G26" s="41"/>
      <c r="I26" s="169"/>
      <c r="J26" s="33"/>
    </row>
    <row r="27" spans="2:11" ht="45">
      <c r="B27" s="49" t="s">
        <v>47</v>
      </c>
      <c r="C27" s="50" t="s">
        <v>48</v>
      </c>
      <c r="D27" s="54" t="s">
        <v>49</v>
      </c>
      <c r="E27" s="54" t="s">
        <v>50</v>
      </c>
      <c r="F27" s="55" t="s">
        <v>51</v>
      </c>
      <c r="G27" s="41"/>
      <c r="I27" s="169"/>
      <c r="J27" s="33"/>
    </row>
    <row r="28" spans="2:11" ht="15.75">
      <c r="B28" s="59">
        <f t="shared" ref="B28:F33" si="3">+B15</f>
        <v>1</v>
      </c>
      <c r="C28" s="35" t="str">
        <f t="shared" si="3"/>
        <v>CORPORACIÓN ORIENTAR PARA CRECER (CASA 1)</v>
      </c>
      <c r="D28" s="52">
        <f t="shared" si="3"/>
        <v>46161</v>
      </c>
      <c r="E28" s="34" t="str">
        <f t="shared" si="3"/>
        <v>7:28AM</v>
      </c>
      <c r="F28" s="62">
        <f t="shared" si="3"/>
        <v>114843300</v>
      </c>
      <c r="G28" s="41"/>
      <c r="I28" s="169"/>
      <c r="J28" s="33"/>
    </row>
    <row r="29" spans="2:11" ht="15.75">
      <c r="B29" s="59">
        <f t="shared" si="3"/>
        <v>2</v>
      </c>
      <c r="C29" s="35" t="str">
        <f t="shared" si="3"/>
        <v>CORPORACIÓN ORIENTAR PARA CRECER (CASA 2)</v>
      </c>
      <c r="D29" s="52">
        <f t="shared" si="3"/>
        <v>46161</v>
      </c>
      <c r="E29" s="34" t="str">
        <f t="shared" si="3"/>
        <v>7:28AM</v>
      </c>
      <c r="F29" s="62">
        <f t="shared" si="3"/>
        <v>114843300</v>
      </c>
      <c r="G29" s="41"/>
      <c r="I29" s="169"/>
      <c r="J29" s="33"/>
    </row>
    <row r="30" spans="2:11" ht="15.75">
      <c r="B30" s="78">
        <f t="shared" si="3"/>
        <v>3</v>
      </c>
      <c r="C30" s="166" t="str">
        <f t="shared" si="3"/>
        <v>FEZ INVERSIONES SAS</v>
      </c>
      <c r="D30" s="72">
        <f t="shared" si="3"/>
        <v>46161</v>
      </c>
      <c r="E30" s="73" t="str">
        <f t="shared" si="3"/>
        <v>3:22PM</v>
      </c>
      <c r="F30" s="77">
        <f t="shared" si="3"/>
        <v>114837000</v>
      </c>
      <c r="G30" s="41"/>
      <c r="I30" s="169"/>
      <c r="J30" s="33"/>
    </row>
    <row r="31" spans="2:11" ht="15.75">
      <c r="B31" s="59">
        <f t="shared" si="3"/>
        <v>5</v>
      </c>
      <c r="C31" s="35" t="str">
        <f t="shared" si="3"/>
        <v>ASOCIACION CRISTIANA NUEVO NACIMIENTO -ACNN</v>
      </c>
      <c r="D31" s="52">
        <f t="shared" si="3"/>
        <v>46161</v>
      </c>
      <c r="E31" s="34" t="str">
        <f t="shared" si="3"/>
        <v>6:11PM</v>
      </c>
      <c r="F31" s="62">
        <f t="shared" si="3"/>
        <v>104300000</v>
      </c>
      <c r="G31" s="41"/>
      <c r="I31" s="169"/>
      <c r="J31" s="33"/>
    </row>
    <row r="32" spans="2:11" ht="15.75">
      <c r="B32" s="59">
        <f t="shared" si="3"/>
        <v>7</v>
      </c>
      <c r="C32" s="35" t="str">
        <f t="shared" si="3"/>
        <v>SOCIEDAD INVERSIONES PF SAS</v>
      </c>
      <c r="D32" s="52">
        <f t="shared" si="3"/>
        <v>46161</v>
      </c>
      <c r="E32" s="34" t="str">
        <f t="shared" si="3"/>
        <v>6:41PM</v>
      </c>
      <c r="F32" s="62">
        <f t="shared" si="3"/>
        <v>110000000</v>
      </c>
      <c r="G32" s="41"/>
      <c r="I32" s="169"/>
      <c r="J32" s="33"/>
    </row>
    <row r="33" spans="2:10" ht="16.5" thickBot="1">
      <c r="B33" s="170">
        <f t="shared" si="3"/>
        <v>8</v>
      </c>
      <c r="C33" s="171" t="str">
        <f t="shared" si="3"/>
        <v>CORPORACION SOCIAL PARA EL DESARROLLO DE LOS GRUPOS ETNICOS Y CULTURALES MULTIETNIAS</v>
      </c>
      <c r="D33" s="172">
        <f t="shared" si="3"/>
        <v>46161</v>
      </c>
      <c r="E33" s="173" t="str">
        <f t="shared" si="3"/>
        <v>9:07PM</v>
      </c>
      <c r="F33" s="174">
        <f t="shared" si="3"/>
        <v>112140000</v>
      </c>
      <c r="G33" s="41"/>
      <c r="I33" s="169"/>
      <c r="J33" s="33"/>
    </row>
    <row r="34" spans="2:10" ht="15.75">
      <c r="B34" s="38"/>
      <c r="C34" s="43"/>
      <c r="D34" s="38"/>
      <c r="E34" s="40"/>
      <c r="F34" s="41"/>
      <c r="G34" s="41"/>
      <c r="I34" s="169"/>
      <c r="J34" s="33"/>
    </row>
    <row r="35" spans="2:10">
      <c r="B35" s="32" t="s">
        <v>59</v>
      </c>
      <c r="F35" s="33"/>
    </row>
    <row r="36" spans="2:10">
      <c r="F36" s="33"/>
    </row>
    <row r="37" spans="2:10" ht="15.75">
      <c r="C37" s="44" t="s">
        <v>60</v>
      </c>
      <c r="E37" s="33"/>
      <c r="F37" s="45">
        <f>MEDIAN(F28:F33)</f>
        <v>113488500</v>
      </c>
      <c r="H37" s="169"/>
    </row>
    <row r="38" spans="2:10">
      <c r="C38" s="43"/>
      <c r="E38" s="33"/>
      <c r="F38" s="33"/>
    </row>
    <row r="39" spans="2:10" ht="15">
      <c r="C39" s="44" t="s">
        <v>61</v>
      </c>
      <c r="E39" s="33"/>
      <c r="F39" s="45">
        <f>AVERAGE(F28:F33)</f>
        <v>111827266.66666667</v>
      </c>
    </row>
    <row r="40" spans="2:10" ht="15" customHeight="1">
      <c r="C40" s="43"/>
      <c r="E40" s="33"/>
      <c r="F40" s="33"/>
    </row>
    <row r="41" spans="2:10">
      <c r="B41" s="32" t="s">
        <v>62</v>
      </c>
      <c r="C41" s="43"/>
      <c r="E41" s="33"/>
      <c r="F41" s="33"/>
    </row>
    <row r="42" spans="2:10">
      <c r="C42" s="43"/>
      <c r="E42" s="33"/>
      <c r="F42" s="33"/>
    </row>
    <row r="43" spans="2:10" ht="15" thickBot="1">
      <c r="C43" s="43"/>
      <c r="E43" s="33"/>
      <c r="F43" s="33"/>
    </row>
    <row r="44" spans="2:10" ht="45">
      <c r="B44" s="49" t="s">
        <v>47</v>
      </c>
      <c r="C44" s="50" t="s">
        <v>48</v>
      </c>
      <c r="D44" s="54" t="s">
        <v>49</v>
      </c>
      <c r="E44" s="54" t="s">
        <v>50</v>
      </c>
      <c r="F44" s="55" t="s">
        <v>51</v>
      </c>
      <c r="G44" s="63"/>
      <c r="H44" s="33"/>
    </row>
    <row r="45" spans="2:10">
      <c r="B45" s="59">
        <f t="shared" ref="B45:F50" si="4">+B28</f>
        <v>1</v>
      </c>
      <c r="C45" s="35" t="str">
        <f t="shared" si="4"/>
        <v>CORPORACIÓN ORIENTAR PARA CRECER (CASA 1)</v>
      </c>
      <c r="D45" s="52">
        <f t="shared" si="4"/>
        <v>46161</v>
      </c>
      <c r="E45" s="34" t="str">
        <f t="shared" si="4"/>
        <v>7:28AM</v>
      </c>
      <c r="F45" s="62">
        <f t="shared" si="4"/>
        <v>114843300</v>
      </c>
      <c r="G45" s="51">
        <f>+(F45-$F$39)^2</f>
        <v>9096457067777.748</v>
      </c>
      <c r="H45" s="33"/>
    </row>
    <row r="46" spans="2:10">
      <c r="B46" s="59">
        <f t="shared" si="4"/>
        <v>2</v>
      </c>
      <c r="C46" s="35" t="str">
        <f t="shared" si="4"/>
        <v>CORPORACIÓN ORIENTAR PARA CRECER (CASA 2)</v>
      </c>
      <c r="D46" s="52">
        <f t="shared" si="4"/>
        <v>46161</v>
      </c>
      <c r="E46" s="34" t="str">
        <f t="shared" si="4"/>
        <v>7:28AM</v>
      </c>
      <c r="F46" s="62">
        <f t="shared" si="4"/>
        <v>114843300</v>
      </c>
      <c r="G46" s="51">
        <f t="shared" ref="G46:G50" si="5">+(F46-$F$39)^2</f>
        <v>9096457067777.748</v>
      </c>
      <c r="H46" s="33"/>
    </row>
    <row r="47" spans="2:10">
      <c r="B47" s="78">
        <f t="shared" si="4"/>
        <v>3</v>
      </c>
      <c r="C47" s="166" t="str">
        <f t="shared" si="4"/>
        <v>FEZ INVERSIONES SAS</v>
      </c>
      <c r="D47" s="72">
        <f t="shared" si="4"/>
        <v>46161</v>
      </c>
      <c r="E47" s="73" t="str">
        <f t="shared" si="4"/>
        <v>3:22PM</v>
      </c>
      <c r="F47" s="77">
        <f t="shared" si="4"/>
        <v>114837000</v>
      </c>
      <c r="G47" s="175">
        <f t="shared" si="5"/>
        <v>9058494737777.748</v>
      </c>
      <c r="H47" s="33"/>
    </row>
    <row r="48" spans="2:10">
      <c r="B48" s="59">
        <f t="shared" si="4"/>
        <v>5</v>
      </c>
      <c r="C48" s="35" t="str">
        <f t="shared" si="4"/>
        <v>ASOCIACION CRISTIANA NUEVO NACIMIENTO -ACNN</v>
      </c>
      <c r="D48" s="52">
        <f t="shared" si="4"/>
        <v>46161</v>
      </c>
      <c r="E48" s="34" t="str">
        <f t="shared" si="4"/>
        <v>6:11PM</v>
      </c>
      <c r="F48" s="62">
        <f t="shared" si="4"/>
        <v>104300000</v>
      </c>
      <c r="G48" s="51">
        <f t="shared" si="5"/>
        <v>56659743471111.188</v>
      </c>
      <c r="H48" s="33"/>
    </row>
    <row r="49" spans="2:10">
      <c r="B49" s="59">
        <f t="shared" si="4"/>
        <v>7</v>
      </c>
      <c r="C49" s="35" t="str">
        <f t="shared" si="4"/>
        <v>SOCIEDAD INVERSIONES PF SAS</v>
      </c>
      <c r="D49" s="52">
        <f t="shared" si="4"/>
        <v>46161</v>
      </c>
      <c r="E49" s="34" t="str">
        <f t="shared" si="4"/>
        <v>6:41PM</v>
      </c>
      <c r="F49" s="62">
        <f t="shared" si="4"/>
        <v>110000000</v>
      </c>
      <c r="G49" s="51">
        <f t="shared" si="5"/>
        <v>3338903471111.1294</v>
      </c>
      <c r="H49" s="33"/>
    </row>
    <row r="50" spans="2:10" ht="15" thickBot="1">
      <c r="B50" s="170">
        <f t="shared" si="4"/>
        <v>8</v>
      </c>
      <c r="C50" s="171" t="str">
        <f t="shared" si="4"/>
        <v>CORPORACION SOCIAL PARA EL DESARROLLO DE LOS GRUPOS ETNICOS Y CULTURALES MULTIETNIAS</v>
      </c>
      <c r="D50" s="172">
        <f t="shared" si="4"/>
        <v>46161</v>
      </c>
      <c r="E50" s="173" t="str">
        <f t="shared" si="4"/>
        <v>9:07PM</v>
      </c>
      <c r="F50" s="174">
        <f t="shared" si="4"/>
        <v>112140000</v>
      </c>
      <c r="G50" s="176">
        <f t="shared" si="5"/>
        <v>97802137777.774673</v>
      </c>
      <c r="H50" s="33"/>
    </row>
    <row r="51" spans="2:10" ht="15.75" thickBot="1">
      <c r="C51" s="43"/>
      <c r="E51" s="33"/>
      <c r="F51" s="46" t="s">
        <v>63</v>
      </c>
      <c r="G51" s="64">
        <f>SUM(G45:G50)/(D52)</f>
        <v>14557976325555.557</v>
      </c>
      <c r="H51" s="33"/>
    </row>
    <row r="52" spans="2:10">
      <c r="C52" s="43" t="s">
        <v>64</v>
      </c>
      <c r="D52" s="38">
        <f>COUNT(B45:B50)</f>
        <v>6</v>
      </c>
      <c r="E52" s="33"/>
      <c r="F52" s="33"/>
      <c r="H52" s="33"/>
    </row>
    <row r="53" spans="2:10">
      <c r="C53" s="43"/>
      <c r="E53" s="33"/>
      <c r="F53" s="33"/>
      <c r="H53" s="33"/>
    </row>
    <row r="54" spans="2:10" ht="15">
      <c r="C54" s="44" t="s">
        <v>65</v>
      </c>
      <c r="F54" s="45">
        <f>SQRT(G51)</f>
        <v>3815491.6230487986</v>
      </c>
    </row>
    <row r="55" spans="2:10">
      <c r="F55" s="33"/>
    </row>
    <row r="56" spans="2:10">
      <c r="B56" s="32" t="s">
        <v>66</v>
      </c>
      <c r="C56" s="43"/>
      <c r="E56" s="33"/>
      <c r="F56" s="33"/>
    </row>
    <row r="57" spans="2:10">
      <c r="C57" s="43"/>
      <c r="E57" s="33"/>
      <c r="F57" s="33"/>
    </row>
    <row r="58" spans="2:10" ht="15">
      <c r="C58" s="44" t="s">
        <v>67</v>
      </c>
      <c r="F58" s="45">
        <f>+F37-F54</f>
        <v>109673008.3769512</v>
      </c>
    </row>
    <row r="59" spans="2:10">
      <c r="F59" s="33"/>
    </row>
    <row r="60" spans="2:10">
      <c r="F60" s="33"/>
    </row>
    <row r="61" spans="2:10" ht="15.75">
      <c r="B61" s="32" t="s">
        <v>68</v>
      </c>
      <c r="H61" s="47"/>
      <c r="I61" s="48"/>
      <c r="J61" s="33"/>
    </row>
    <row r="62" spans="2:10" ht="15" thickBot="1"/>
    <row r="63" spans="2:10" ht="52.5" customHeight="1" thickBot="1">
      <c r="B63" s="68" t="s">
        <v>47</v>
      </c>
      <c r="C63" s="69" t="s">
        <v>48</v>
      </c>
      <c r="D63" s="29" t="s">
        <v>49</v>
      </c>
      <c r="E63" s="29" t="s">
        <v>50</v>
      </c>
      <c r="F63" s="30" t="s">
        <v>51</v>
      </c>
      <c r="G63" s="76" t="s">
        <v>67</v>
      </c>
      <c r="H63" s="76" t="s">
        <v>69</v>
      </c>
      <c r="I63" s="70" t="s">
        <v>70</v>
      </c>
    </row>
    <row r="64" spans="2:10">
      <c r="B64" s="177">
        <f t="shared" ref="B64:F69" si="6">+B45</f>
        <v>1</v>
      </c>
      <c r="C64" s="178" t="str">
        <f t="shared" si="6"/>
        <v>CORPORACIÓN ORIENTAR PARA CRECER (CASA 1)</v>
      </c>
      <c r="D64" s="179">
        <f t="shared" si="6"/>
        <v>46161</v>
      </c>
      <c r="E64" s="180" t="str">
        <f t="shared" si="6"/>
        <v>7:28AM</v>
      </c>
      <c r="F64" s="181">
        <f t="shared" si="6"/>
        <v>114843300</v>
      </c>
      <c r="G64" s="182">
        <f>+$F$58</f>
        <v>109673008.3769512</v>
      </c>
      <c r="H64" s="182">
        <f>+F64-G64</f>
        <v>5170291.6230487972</v>
      </c>
      <c r="I64" s="183" t="s">
        <v>71</v>
      </c>
    </row>
    <row r="65" spans="2:9">
      <c r="B65" s="59">
        <f t="shared" si="6"/>
        <v>2</v>
      </c>
      <c r="C65" s="35" t="str">
        <f t="shared" si="6"/>
        <v>CORPORACIÓN ORIENTAR PARA CRECER (CASA 2)</v>
      </c>
      <c r="D65" s="52">
        <f t="shared" si="6"/>
        <v>46161</v>
      </c>
      <c r="E65" s="34" t="str">
        <f t="shared" si="6"/>
        <v>7:28AM</v>
      </c>
      <c r="F65" s="164">
        <f t="shared" si="6"/>
        <v>114843300</v>
      </c>
      <c r="G65" s="36">
        <f t="shared" ref="G65:G69" si="7">+$F$58</f>
        <v>109673008.3769512</v>
      </c>
      <c r="H65" s="36">
        <f t="shared" ref="H65:H69" si="8">+F65-G65</f>
        <v>5170291.6230487972</v>
      </c>
      <c r="I65" s="65" t="s">
        <v>71</v>
      </c>
    </row>
    <row r="66" spans="2:9">
      <c r="B66" s="78">
        <f t="shared" si="6"/>
        <v>3</v>
      </c>
      <c r="C66" s="166" t="str">
        <f t="shared" si="6"/>
        <v>FEZ INVERSIONES SAS</v>
      </c>
      <c r="D66" s="72">
        <f t="shared" si="6"/>
        <v>46161</v>
      </c>
      <c r="E66" s="73" t="str">
        <f t="shared" si="6"/>
        <v>3:22PM</v>
      </c>
      <c r="F66" s="74">
        <f t="shared" si="6"/>
        <v>114837000</v>
      </c>
      <c r="G66" s="75">
        <f t="shared" si="7"/>
        <v>109673008.3769512</v>
      </c>
      <c r="H66" s="75">
        <f t="shared" si="8"/>
        <v>5163991.6230487972</v>
      </c>
      <c r="I66" s="65" t="s">
        <v>71</v>
      </c>
    </row>
    <row r="67" spans="2:9">
      <c r="B67" s="59">
        <f t="shared" si="6"/>
        <v>5</v>
      </c>
      <c r="C67" s="191" t="str">
        <f t="shared" si="6"/>
        <v>ASOCIACION CRISTIANA NUEVO NACIMIENTO -ACNN</v>
      </c>
      <c r="D67" s="52">
        <f t="shared" si="6"/>
        <v>46161</v>
      </c>
      <c r="E67" s="192" t="str">
        <f t="shared" si="6"/>
        <v>6:11PM</v>
      </c>
      <c r="F67" s="193">
        <f t="shared" si="6"/>
        <v>104300000</v>
      </c>
      <c r="G67" s="194">
        <f t="shared" si="7"/>
        <v>109673008.3769512</v>
      </c>
      <c r="H67" s="194">
        <f t="shared" si="8"/>
        <v>-5373008.3769512028</v>
      </c>
      <c r="I67" s="130" t="s">
        <v>72</v>
      </c>
    </row>
    <row r="68" spans="2:9">
      <c r="B68" s="59">
        <f t="shared" si="6"/>
        <v>7</v>
      </c>
      <c r="C68" s="191" t="str">
        <f t="shared" si="6"/>
        <v>SOCIEDAD INVERSIONES PF SAS</v>
      </c>
      <c r="D68" s="52">
        <f t="shared" si="6"/>
        <v>46161</v>
      </c>
      <c r="E68" s="192" t="str">
        <f t="shared" si="6"/>
        <v>6:41PM</v>
      </c>
      <c r="F68" s="193">
        <f t="shared" si="6"/>
        <v>110000000</v>
      </c>
      <c r="G68" s="194">
        <f t="shared" si="7"/>
        <v>109673008.3769512</v>
      </c>
      <c r="H68" s="194">
        <f t="shared" si="8"/>
        <v>326991.62304879725</v>
      </c>
      <c r="I68" s="65" t="s">
        <v>71</v>
      </c>
    </row>
    <row r="69" spans="2:9" ht="15" thickBot="1">
      <c r="B69" s="170">
        <f t="shared" si="6"/>
        <v>8</v>
      </c>
      <c r="C69" s="171" t="str">
        <f t="shared" si="6"/>
        <v>CORPORACION SOCIAL PARA EL DESARROLLO DE LOS GRUPOS ETNICOS Y CULTURALES MULTIETNIAS</v>
      </c>
      <c r="D69" s="172">
        <f t="shared" si="6"/>
        <v>46161</v>
      </c>
      <c r="E69" s="173" t="str">
        <f t="shared" si="6"/>
        <v>9:07PM</v>
      </c>
      <c r="F69" s="184">
        <f t="shared" si="6"/>
        <v>112140000</v>
      </c>
      <c r="G69" s="185">
        <f t="shared" si="7"/>
        <v>109673008.3769512</v>
      </c>
      <c r="H69" s="185">
        <f t="shared" si="8"/>
        <v>2466991.6230487972</v>
      </c>
      <c r="I69" s="66" t="s">
        <v>71</v>
      </c>
    </row>
  </sheetData>
  <mergeCells count="10">
    <mergeCell ref="B11:K11"/>
    <mergeCell ref="G15:G20"/>
    <mergeCell ref="H15:H20"/>
    <mergeCell ref="B23:K23"/>
    <mergeCell ref="B2:J2"/>
    <mergeCell ref="B4:E4"/>
    <mergeCell ref="B5:C5"/>
    <mergeCell ref="D5:E5"/>
    <mergeCell ref="B9:K9"/>
    <mergeCell ref="B10:K10"/>
  </mergeCells>
  <pageMargins left="0.7" right="0.7" top="0.75" bottom="0.75" header="0.3" footer="0.3"/>
  <pageSetup paperSize="9" scale="28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10912-6A6E-45AD-8058-24D2C393FC81}">
  <sheetPr>
    <tabColor rgb="FF0070C0"/>
  </sheetPr>
  <dimension ref="B2:G19"/>
  <sheetViews>
    <sheetView topLeftCell="A13" zoomScale="80" zoomScaleNormal="80" workbookViewId="0">
      <selection activeCell="F18" sqref="F18"/>
    </sheetView>
  </sheetViews>
  <sheetFormatPr defaultColWidth="11" defaultRowHeight="14.25"/>
  <cols>
    <col min="1" max="1" width="11" style="27"/>
    <col min="2" max="2" width="5.125" style="27" customWidth="1"/>
    <col min="3" max="3" width="54" style="27" bestFit="1" customWidth="1"/>
    <col min="4" max="5" width="10.75" style="27" bestFit="1" customWidth="1"/>
    <col min="6" max="6" width="18.875" style="27" customWidth="1"/>
    <col min="7" max="7" width="45.75" style="27" bestFit="1" customWidth="1"/>
    <col min="8" max="16384" width="11" style="27"/>
  </cols>
  <sheetData>
    <row r="2" spans="2:7" ht="78.75" customHeight="1">
      <c r="B2" s="244" t="str">
        <f>+'[1]EVALUACIÓN 2026_lote_1_MES1'!A4</f>
        <v>Objeto: LOTE 1 MODALIDAD INTEGRAL:“Prestar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v>
      </c>
      <c r="C2" s="244"/>
      <c r="D2" s="244"/>
      <c r="E2" s="244"/>
      <c r="F2" s="244"/>
      <c r="G2" s="244"/>
    </row>
    <row r="3" spans="2:7" ht="18">
      <c r="B3" s="26"/>
      <c r="C3" s="26"/>
      <c r="D3" s="26"/>
      <c r="E3" s="26"/>
      <c r="F3" s="26"/>
      <c r="G3" s="26"/>
    </row>
    <row r="4" spans="2:7" ht="15">
      <c r="B4" s="28" t="s">
        <v>44</v>
      </c>
    </row>
    <row r="5" spans="2:7" ht="15">
      <c r="B5" s="28"/>
    </row>
    <row r="6" spans="2:7" ht="28.5" customHeight="1">
      <c r="B6" s="259" t="s">
        <v>112</v>
      </c>
      <c r="C6" s="259"/>
      <c r="D6" s="260">
        <v>114843300</v>
      </c>
      <c r="E6" s="261"/>
    </row>
    <row r="9" spans="2:7" ht="18">
      <c r="B9" s="249" t="s">
        <v>74</v>
      </c>
      <c r="C9" s="249"/>
      <c r="D9" s="249"/>
      <c r="E9" s="249"/>
      <c r="F9" s="249"/>
      <c r="G9" s="249"/>
    </row>
    <row r="11" spans="2:7">
      <c r="B11" s="27" t="s">
        <v>75</v>
      </c>
    </row>
    <row r="12" spans="2:7" ht="15" thickBot="1"/>
    <row r="13" spans="2:7" ht="45.75" thickBot="1">
      <c r="B13" s="190" t="s">
        <v>47</v>
      </c>
      <c r="C13" s="29" t="s">
        <v>48</v>
      </c>
      <c r="D13" s="29" t="s">
        <v>49</v>
      </c>
      <c r="E13" s="29" t="s">
        <v>50</v>
      </c>
      <c r="F13" s="30" t="s">
        <v>51</v>
      </c>
      <c r="G13" s="163" t="s">
        <v>76</v>
      </c>
    </row>
    <row r="14" spans="2:7" ht="15">
      <c r="B14" s="207">
        <v>1</v>
      </c>
      <c r="C14" s="208" t="str">
        <f>'EVAL PROP ARTIFI BAJA_Total'!C15</f>
        <v>CORPORACIÓN ORIENTAR PARA CRECER (CASA 1)</v>
      </c>
      <c r="D14" s="209">
        <f>'EVAL PROP ARTIFI BAJA_Total'!D15</f>
        <v>46161</v>
      </c>
      <c r="E14" s="210" t="str">
        <f>'EVAL PROP ARTIFI BAJA_Total'!E15</f>
        <v>7:28AM</v>
      </c>
      <c r="F14" s="211">
        <f>+'EVAL TH ARTIFI BAJA (ACNN)'!F15</f>
        <v>114843300</v>
      </c>
      <c r="G14" s="212" t="str">
        <f>+'EVAL TH ARTIFI BAJA (ACNN)'!I64</f>
        <v>Propuesta incluida dentro de la minima aceptable</v>
      </c>
    </row>
    <row r="15" spans="2:7" ht="15">
      <c r="B15" s="84">
        <v>2</v>
      </c>
      <c r="C15" s="83" t="str">
        <f>'EVAL PROP ARTIFI BAJA_Total'!C16</f>
        <v>CORPORACIÓN ORIENTAR PARA CRECER (CASA 2)</v>
      </c>
      <c r="D15" s="186">
        <f>'EVAL PROP ARTIFI BAJA_Total'!D16</f>
        <v>46161</v>
      </c>
      <c r="E15" s="195" t="str">
        <f>'EVAL PROP ARTIFI BAJA_Total'!E16</f>
        <v>7:28AM</v>
      </c>
      <c r="F15" s="197">
        <f>+'EVAL TH ARTIFI BAJA (ACNN)'!F16</f>
        <v>114843300</v>
      </c>
      <c r="G15" s="187" t="str">
        <f>+'EVAL TH ARTIFI BAJA (ACNN)'!I65</f>
        <v>Propuesta incluida dentro de la minima aceptable</v>
      </c>
    </row>
    <row r="16" spans="2:7" ht="15">
      <c r="B16" s="84">
        <v>3</v>
      </c>
      <c r="C16" s="83" t="str">
        <f>'EVAL PROP ARTIFI BAJA_Total'!C17</f>
        <v>FEZ INVERSIONES SAS</v>
      </c>
      <c r="D16" s="186">
        <f>'EVAL PROP ARTIFI BAJA_Total'!D17</f>
        <v>46161</v>
      </c>
      <c r="E16" s="195" t="str">
        <f>'EVAL PROP ARTIFI BAJA_Total'!E17</f>
        <v>3:22PM</v>
      </c>
      <c r="F16" s="197">
        <f>+'EVAL TH ARTIFI BAJA (ACNN)'!F17</f>
        <v>114837000</v>
      </c>
      <c r="G16" s="187" t="str">
        <f>+'EVAL TH ARTIFI BAJA (ACNN)'!I66</f>
        <v>Propuesta incluida dentro de la minima aceptable</v>
      </c>
    </row>
    <row r="17" spans="2:7" ht="15">
      <c r="B17" s="84">
        <v>5</v>
      </c>
      <c r="C17" s="83" t="str">
        <f>'EVAL PROP ARTIFI BAJA_Total'!C18</f>
        <v>ASOCIACION CRISTIANA NUEVO NACIMIENTO -ACNN</v>
      </c>
      <c r="D17" s="186">
        <f>'EVAL PROP ARTIFI BAJA_Total'!D18</f>
        <v>46161</v>
      </c>
      <c r="E17" s="195" t="str">
        <f>'EVAL PROP ARTIFI BAJA_Total'!E18</f>
        <v>6:11PM</v>
      </c>
      <c r="F17" s="197">
        <f>+'EVAL TH ARTIFI BAJA (ACNN)'!F18</f>
        <v>104300000</v>
      </c>
      <c r="G17" s="187" t="str">
        <f>+'EVAL TH ARTIFI BAJA (ACNN)'!I67</f>
        <v>Propuesta artificialmente baja</v>
      </c>
    </row>
    <row r="18" spans="2:7" ht="15">
      <c r="B18" s="84">
        <v>7</v>
      </c>
      <c r="C18" s="83" t="str">
        <f>'EVAL PROP ARTIFI BAJA_Total'!C19</f>
        <v>SOCIEDAD INVERSIONES PF SAS</v>
      </c>
      <c r="D18" s="186">
        <f>'EVAL PROP ARTIFI BAJA_Total'!D19</f>
        <v>46161</v>
      </c>
      <c r="E18" s="195" t="str">
        <f>'EVAL PROP ARTIFI BAJA_Total'!E19</f>
        <v>6:41PM</v>
      </c>
      <c r="F18" s="197">
        <f>+'EVAL TH ARTIFI BAJA (ACNN)'!F19</f>
        <v>110000000</v>
      </c>
      <c r="G18" s="187" t="str">
        <f>+'EVAL TH ARTIFI BAJA (ACNN)'!I68</f>
        <v>Propuesta incluida dentro de la minima aceptable</v>
      </c>
    </row>
    <row r="19" spans="2:7" ht="29.25" thickBot="1">
      <c r="B19" s="85">
        <v>8</v>
      </c>
      <c r="C19" s="86" t="str">
        <f>'EVAL PROP ARTIFI BAJA_Total'!C20</f>
        <v>CORPORACION SOCIAL PARA EL DESARROLLO DE LOS GRUPOS ETNICOS Y CULTURALES MULTIETNIAS</v>
      </c>
      <c r="D19" s="189">
        <f>'EVAL PROP ARTIFI BAJA_Total'!D20</f>
        <v>46161</v>
      </c>
      <c r="E19" s="196" t="str">
        <f>'EVAL PROP ARTIFI BAJA_Total'!E20</f>
        <v>9:07PM</v>
      </c>
      <c r="F19" s="213">
        <f>+'EVAL TH ARTIFI BAJA (ACNN)'!F20</f>
        <v>112140000</v>
      </c>
      <c r="G19" s="188" t="str">
        <f>+'EVAL TH ARTIFI BAJA (ACNN)'!I69</f>
        <v>Propuesta incluida dentro de la minima aceptable</v>
      </c>
    </row>
  </sheetData>
  <mergeCells count="4">
    <mergeCell ref="B2:G2"/>
    <mergeCell ref="B6:C6"/>
    <mergeCell ref="D6:E6"/>
    <mergeCell ref="B9:G9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DE54B-9101-4AE7-9258-E6248DC01142}">
  <sheetPr>
    <tabColor rgb="FFFFFF00"/>
  </sheetPr>
  <dimension ref="B1:K69"/>
  <sheetViews>
    <sheetView topLeftCell="A7" zoomScale="80" zoomScaleNormal="80" zoomScaleSheetLayoutView="100" workbookViewId="0">
      <selection activeCell="F17" sqref="F17"/>
    </sheetView>
  </sheetViews>
  <sheetFormatPr defaultColWidth="11" defaultRowHeight="14.25"/>
  <cols>
    <col min="1" max="1" width="11" style="32"/>
    <col min="2" max="2" width="5.125" style="32" customWidth="1"/>
    <col min="3" max="3" width="54" style="32" bestFit="1" customWidth="1"/>
    <col min="4" max="4" width="11.125" style="32" customWidth="1"/>
    <col min="5" max="5" width="10.375" style="32" customWidth="1"/>
    <col min="6" max="6" width="17.75" style="32" customWidth="1"/>
    <col min="7" max="7" width="27.875" style="32" customWidth="1"/>
    <col min="8" max="8" width="17.75" style="32" customWidth="1"/>
    <col min="9" max="9" width="44.5" style="32" bestFit="1" customWidth="1"/>
    <col min="10" max="10" width="42.25" style="32" bestFit="1" customWidth="1"/>
    <col min="11" max="11" width="21.375" style="32" customWidth="1"/>
    <col min="12" max="16384" width="11" style="32"/>
  </cols>
  <sheetData>
    <row r="1" spans="2:11" ht="15" thickBot="1"/>
    <row r="2" spans="2:11" ht="78" customHeight="1" thickBot="1">
      <c r="B2" s="234" t="str">
        <f>+'[1]EVALUACIÓN PROPONENTES_MES1'!B3</f>
        <v>Objeto: LOTE 1 MODALIDAD INTEGRAL:“Prestar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v>
      </c>
      <c r="C2" s="235"/>
      <c r="D2" s="235"/>
      <c r="E2" s="235"/>
      <c r="F2" s="235"/>
      <c r="G2" s="235"/>
      <c r="H2" s="235"/>
      <c r="I2" s="235"/>
      <c r="J2" s="236"/>
    </row>
    <row r="4" spans="2:11" ht="14.25" customHeight="1">
      <c r="B4" s="237" t="s">
        <v>44</v>
      </c>
      <c r="C4" s="237"/>
      <c r="D4" s="237"/>
      <c r="E4" s="237"/>
    </row>
    <row r="5" spans="2:11" ht="30.75" customHeight="1">
      <c r="B5" s="257" t="str">
        <f>+'EVALUACIÓN ALIMENT (ACNN) '!B6</f>
        <v>VALOR PRESUPUESTO ASISTENCIA ALIMENTARIA</v>
      </c>
      <c r="C5" s="257"/>
      <c r="D5" s="258">
        <f>+'EVALUACIÓN ALIMENT (ACNN) '!D6</f>
        <v>35363900</v>
      </c>
      <c r="E5" s="258"/>
    </row>
    <row r="9" spans="2:11" ht="18" customHeight="1">
      <c r="B9" s="230" t="s">
        <v>45</v>
      </c>
      <c r="C9" s="230"/>
      <c r="D9" s="230"/>
      <c r="E9" s="230"/>
      <c r="F9" s="230"/>
      <c r="G9" s="230"/>
      <c r="H9" s="230"/>
      <c r="I9" s="230"/>
      <c r="J9" s="230"/>
      <c r="K9" s="230"/>
    </row>
    <row r="10" spans="2:11" ht="18">
      <c r="B10" s="230"/>
      <c r="C10" s="230"/>
      <c r="D10" s="230"/>
      <c r="E10" s="230"/>
      <c r="F10" s="230"/>
      <c r="G10" s="230"/>
      <c r="H10" s="230"/>
      <c r="I10" s="230"/>
      <c r="J10" s="230"/>
      <c r="K10" s="230"/>
    </row>
    <row r="11" spans="2:11" ht="18" customHeight="1">
      <c r="B11" s="230" t="s">
        <v>46</v>
      </c>
      <c r="C11" s="230"/>
      <c r="D11" s="230"/>
      <c r="E11" s="230"/>
      <c r="F11" s="230"/>
      <c r="G11" s="230"/>
      <c r="H11" s="230"/>
      <c r="I11" s="230"/>
      <c r="J11" s="230"/>
      <c r="K11" s="230"/>
    </row>
    <row r="12" spans="2:11" ht="18">
      <c r="B12" s="31"/>
      <c r="C12" s="31"/>
      <c r="D12" s="31"/>
      <c r="E12" s="31"/>
      <c r="F12" s="31"/>
      <c r="G12" s="31"/>
      <c r="H12" s="31"/>
      <c r="I12" s="31"/>
      <c r="J12" s="31"/>
    </row>
    <row r="13" spans="2:11" ht="15" thickBot="1">
      <c r="F13" s="33"/>
    </row>
    <row r="14" spans="2:11" ht="147.75" customHeight="1">
      <c r="B14" s="49" t="s">
        <v>47</v>
      </c>
      <c r="C14" s="50" t="s">
        <v>48</v>
      </c>
      <c r="D14" s="54" t="s">
        <v>49</v>
      </c>
      <c r="E14" s="54" t="s">
        <v>50</v>
      </c>
      <c r="F14" s="56" t="s">
        <v>51</v>
      </c>
      <c r="G14" s="57" t="s">
        <v>52</v>
      </c>
      <c r="H14" s="57" t="s">
        <v>53</v>
      </c>
      <c r="I14" s="57" t="s">
        <v>54</v>
      </c>
      <c r="J14" s="57" t="s">
        <v>55</v>
      </c>
      <c r="K14" s="58" t="s">
        <v>56</v>
      </c>
    </row>
    <row r="15" spans="2:11" ht="15.75">
      <c r="B15" s="59">
        <f>+'EVALUACIÓN ALIMENT (ACNN) '!B14</f>
        <v>1</v>
      </c>
      <c r="C15" s="91" t="str">
        <f>+'EVALUACIÓN ALIMENT (ACNN) '!C14</f>
        <v>CORPORACIÓN ORIENTAR PARA CRECER (CASA 1)</v>
      </c>
      <c r="D15" s="72">
        <f>+'EVALUACIÓN ALIMENT (ACNN) '!D14</f>
        <v>46161</v>
      </c>
      <c r="E15" s="73" t="str">
        <f>+'EVALUACIÓN ALIMENT (ACNN) '!E14</f>
        <v>7:28AM</v>
      </c>
      <c r="F15" s="74">
        <v>35363900</v>
      </c>
      <c r="G15" s="255">
        <f>+D5-F37</f>
        <v>0</v>
      </c>
      <c r="H15" s="255">
        <f>+D5-F39</f>
        <v>95758.333333335817</v>
      </c>
      <c r="I15" s="36">
        <f t="shared" ref="I15:I20" si="0">+F15-$F$39</f>
        <v>95758.333333335817</v>
      </c>
      <c r="J15" s="37">
        <f>+F15-$D$5</f>
        <v>0</v>
      </c>
      <c r="K15" s="165">
        <f>-($D$5-F15)/$D$5</f>
        <v>0</v>
      </c>
    </row>
    <row r="16" spans="2:11" ht="15.75">
      <c r="B16" s="59">
        <f>+'EVALUACIÓN ALIMENT (ACNN) '!B15</f>
        <v>2</v>
      </c>
      <c r="C16" s="91" t="str">
        <f>+'EVALUACIÓN ALIMENT (ACNN) '!C15</f>
        <v>CORPORACIÓN ORIENTAR PARA CRECER (CASA 2)</v>
      </c>
      <c r="D16" s="72">
        <f>+'EVALUACIÓN ALIMENT (ACNN) '!D15</f>
        <v>46161</v>
      </c>
      <c r="E16" s="73" t="str">
        <f>+'EVALUACIÓN ALIMENT (ACNN) '!E15</f>
        <v>7:28AM</v>
      </c>
      <c r="F16" s="74">
        <v>35363900</v>
      </c>
      <c r="G16" s="255"/>
      <c r="H16" s="255"/>
      <c r="I16" s="36">
        <f t="shared" si="0"/>
        <v>95758.333333335817</v>
      </c>
      <c r="J16" s="37">
        <f t="shared" ref="J16:J20" si="1">+F16-$D$5</f>
        <v>0</v>
      </c>
      <c r="K16" s="165">
        <f t="shared" ref="K16:K20" si="2">-($D$5-F16)/$D$5</f>
        <v>0</v>
      </c>
    </row>
    <row r="17" spans="2:11" ht="15.75">
      <c r="B17" s="79">
        <f>+'EVALUACIÓN ALIMENT (ACNN) '!B16</f>
        <v>3</v>
      </c>
      <c r="C17" s="71" t="str">
        <f>+'EVALUACIÓN ALIMENT (ACNN) '!C16</f>
        <v>FEZ INVERSIONES SAS</v>
      </c>
      <c r="D17" s="72">
        <f>+'EVALUACIÓN ALIMENT (ACNN) '!D16</f>
        <v>46161</v>
      </c>
      <c r="E17" s="73" t="str">
        <f>+'EVALUACIÓN ALIMENT (ACNN) '!E16</f>
        <v>3:22PM</v>
      </c>
      <c r="F17" s="74">
        <v>35363900</v>
      </c>
      <c r="G17" s="255"/>
      <c r="H17" s="255"/>
      <c r="I17" s="75">
        <f t="shared" si="0"/>
        <v>95758.333333335817</v>
      </c>
      <c r="J17" s="37">
        <f t="shared" si="1"/>
        <v>0</v>
      </c>
      <c r="K17" s="165">
        <f t="shared" si="2"/>
        <v>0</v>
      </c>
    </row>
    <row r="18" spans="2:11" ht="15.75">
      <c r="B18" s="59">
        <f>+'EVALUACIÓN ALIMENT (ACNN) '!B17</f>
        <v>5</v>
      </c>
      <c r="C18" s="91" t="str">
        <f>+'EVALUACIÓN ALIMENT (ACNN) '!C17</f>
        <v>ASOCIACION CRISTIANA NUEVO NACIMIENTO -ACNN</v>
      </c>
      <c r="D18" s="72">
        <f>+'EVALUACIÓN ALIMENT (ACNN) '!D17</f>
        <v>46161</v>
      </c>
      <c r="E18" s="73" t="str">
        <f>+'EVALUACIÓN ALIMENT (ACNN) '!E17</f>
        <v>6:11PM</v>
      </c>
      <c r="F18" s="74">
        <v>34789350</v>
      </c>
      <c r="G18" s="255"/>
      <c r="H18" s="255"/>
      <c r="I18" s="36">
        <f t="shared" si="0"/>
        <v>-478791.66666666418</v>
      </c>
      <c r="J18" s="37">
        <f t="shared" si="1"/>
        <v>-574550</v>
      </c>
      <c r="K18" s="165">
        <f t="shared" si="2"/>
        <v>-1.6246794047036668E-2</v>
      </c>
    </row>
    <row r="19" spans="2:11" ht="15.75">
      <c r="B19" s="59">
        <f>+'EVALUACIÓN ALIMENT (ACNN) '!B18</f>
        <v>7</v>
      </c>
      <c r="C19" s="91" t="str">
        <f>+'EVALUACIÓN ALIMENT (ACNN) '!C18</f>
        <v>SOCIEDAD INVERSIONES PF SAS</v>
      </c>
      <c r="D19" s="72">
        <f>+'EVALUACIÓN ALIMENT (ACNN) '!D18</f>
        <v>46161</v>
      </c>
      <c r="E19" s="73" t="str">
        <f>+'EVALUACIÓN ALIMENT (ACNN) '!E18</f>
        <v>6:41PM</v>
      </c>
      <c r="F19" s="74">
        <v>35363900</v>
      </c>
      <c r="G19" s="255"/>
      <c r="H19" s="255"/>
      <c r="I19" s="36">
        <f t="shared" si="0"/>
        <v>95758.333333335817</v>
      </c>
      <c r="J19" s="37">
        <f t="shared" si="1"/>
        <v>0</v>
      </c>
      <c r="K19" s="165">
        <f t="shared" si="2"/>
        <v>0</v>
      </c>
    </row>
    <row r="20" spans="2:11" s="168" customFormat="1" ht="29.25" thickBot="1">
      <c r="B20" s="92">
        <f>+'EVALUACIÓN ALIMENT (ACNN) '!B19</f>
        <v>8</v>
      </c>
      <c r="C20" s="95" t="str">
        <f>+'EVALUACIÓN ALIMENT (ACNN) '!C19</f>
        <v>CORPORACION SOCIAL PARA EL DESARROLLO DE LOS GRUPOS ETNICOS Y CULTURALES MULTIETNIAS</v>
      </c>
      <c r="D20" s="90">
        <f>+'EVALUACIÓN ALIMENT (ACNN) '!D19</f>
        <v>46161</v>
      </c>
      <c r="E20" s="93" t="str">
        <f>+'EVALUACIÓN ALIMENT (ACNN) '!E19</f>
        <v>9:07PM</v>
      </c>
      <c r="F20" s="94">
        <v>35363900</v>
      </c>
      <c r="G20" s="256"/>
      <c r="H20" s="256"/>
      <c r="I20" s="112">
        <f t="shared" si="0"/>
        <v>95758.333333335817</v>
      </c>
      <c r="J20" s="80">
        <f t="shared" si="1"/>
        <v>0</v>
      </c>
      <c r="K20" s="167">
        <f t="shared" si="2"/>
        <v>0</v>
      </c>
    </row>
    <row r="21" spans="2:11" ht="15.75">
      <c r="B21" s="38"/>
      <c r="C21" s="39"/>
      <c r="D21" s="38"/>
      <c r="E21" s="40"/>
      <c r="F21" s="41"/>
      <c r="G21" s="41"/>
      <c r="I21" s="169"/>
      <c r="J21" s="33"/>
    </row>
    <row r="22" spans="2:11" ht="15.75">
      <c r="B22" s="38"/>
      <c r="C22" s="43"/>
      <c r="D22" s="38"/>
      <c r="E22" s="40"/>
      <c r="F22" s="41"/>
      <c r="G22" s="41"/>
      <c r="I22" s="169"/>
      <c r="J22" s="33"/>
    </row>
    <row r="23" spans="2:11" ht="18" customHeight="1">
      <c r="B23" s="230" t="s">
        <v>57</v>
      </c>
      <c r="C23" s="230"/>
      <c r="D23" s="230"/>
      <c r="E23" s="230"/>
      <c r="F23" s="230"/>
      <c r="G23" s="230"/>
      <c r="H23" s="230"/>
      <c r="I23" s="230"/>
      <c r="J23" s="230"/>
      <c r="K23" s="230"/>
    </row>
    <row r="24" spans="2:11" ht="15.75">
      <c r="B24" s="38"/>
      <c r="C24" s="43"/>
      <c r="D24" s="38"/>
      <c r="E24" s="40"/>
      <c r="F24" s="41"/>
      <c r="G24" s="41"/>
      <c r="I24" s="169"/>
      <c r="J24" s="33"/>
    </row>
    <row r="25" spans="2:11" ht="15.75">
      <c r="B25" s="32" t="s">
        <v>58</v>
      </c>
      <c r="F25" s="33"/>
      <c r="G25" s="41"/>
      <c r="I25" s="169"/>
      <c r="J25" s="33"/>
    </row>
    <row r="26" spans="2:11" ht="16.5" thickBot="1">
      <c r="F26" s="33"/>
      <c r="G26" s="41"/>
      <c r="I26" s="169"/>
      <c r="J26" s="33"/>
    </row>
    <row r="27" spans="2:11" ht="45">
      <c r="B27" s="49" t="s">
        <v>47</v>
      </c>
      <c r="C27" s="50" t="s">
        <v>48</v>
      </c>
      <c r="D27" s="54" t="s">
        <v>49</v>
      </c>
      <c r="E27" s="54" t="s">
        <v>50</v>
      </c>
      <c r="F27" s="55" t="s">
        <v>51</v>
      </c>
      <c r="G27" s="41"/>
      <c r="I27" s="169"/>
      <c r="J27" s="33"/>
    </row>
    <row r="28" spans="2:11" ht="15.75">
      <c r="B28" s="59">
        <f t="shared" ref="B28:F33" si="3">+B15</f>
        <v>1</v>
      </c>
      <c r="C28" s="35" t="str">
        <f t="shared" si="3"/>
        <v>CORPORACIÓN ORIENTAR PARA CRECER (CASA 1)</v>
      </c>
      <c r="D28" s="52">
        <f t="shared" si="3"/>
        <v>46161</v>
      </c>
      <c r="E28" s="34" t="str">
        <f t="shared" si="3"/>
        <v>7:28AM</v>
      </c>
      <c r="F28" s="62">
        <f t="shared" si="3"/>
        <v>35363900</v>
      </c>
      <c r="G28" s="41"/>
      <c r="I28" s="169"/>
      <c r="J28" s="33"/>
    </row>
    <row r="29" spans="2:11" ht="15.75">
      <c r="B29" s="59">
        <f t="shared" si="3"/>
        <v>2</v>
      </c>
      <c r="C29" s="35" t="str">
        <f t="shared" si="3"/>
        <v>CORPORACIÓN ORIENTAR PARA CRECER (CASA 2)</v>
      </c>
      <c r="D29" s="52">
        <f t="shared" si="3"/>
        <v>46161</v>
      </c>
      <c r="E29" s="34" t="str">
        <f t="shared" si="3"/>
        <v>7:28AM</v>
      </c>
      <c r="F29" s="62">
        <f t="shared" si="3"/>
        <v>35363900</v>
      </c>
      <c r="G29" s="41"/>
      <c r="I29" s="169"/>
      <c r="J29" s="33"/>
    </row>
    <row r="30" spans="2:11" ht="15.75">
      <c r="B30" s="78">
        <f t="shared" si="3"/>
        <v>3</v>
      </c>
      <c r="C30" s="166" t="str">
        <f t="shared" si="3"/>
        <v>FEZ INVERSIONES SAS</v>
      </c>
      <c r="D30" s="72">
        <f t="shared" si="3"/>
        <v>46161</v>
      </c>
      <c r="E30" s="73" t="str">
        <f t="shared" si="3"/>
        <v>3:22PM</v>
      </c>
      <c r="F30" s="77">
        <f t="shared" si="3"/>
        <v>35363900</v>
      </c>
      <c r="G30" s="41"/>
      <c r="I30" s="169"/>
      <c r="J30" s="33"/>
    </row>
    <row r="31" spans="2:11" ht="15.75">
      <c r="B31" s="59">
        <f t="shared" si="3"/>
        <v>5</v>
      </c>
      <c r="C31" s="35" t="str">
        <f t="shared" si="3"/>
        <v>ASOCIACION CRISTIANA NUEVO NACIMIENTO -ACNN</v>
      </c>
      <c r="D31" s="52">
        <f t="shared" si="3"/>
        <v>46161</v>
      </c>
      <c r="E31" s="34" t="str">
        <f t="shared" si="3"/>
        <v>6:11PM</v>
      </c>
      <c r="F31" s="62">
        <f t="shared" si="3"/>
        <v>34789350</v>
      </c>
      <c r="G31" s="41"/>
      <c r="I31" s="169"/>
      <c r="J31" s="33"/>
    </row>
    <row r="32" spans="2:11" ht="15.75">
      <c r="B32" s="59">
        <f t="shared" si="3"/>
        <v>7</v>
      </c>
      <c r="C32" s="35" t="str">
        <f t="shared" si="3"/>
        <v>SOCIEDAD INVERSIONES PF SAS</v>
      </c>
      <c r="D32" s="52">
        <f t="shared" si="3"/>
        <v>46161</v>
      </c>
      <c r="E32" s="34" t="str">
        <f t="shared" si="3"/>
        <v>6:41PM</v>
      </c>
      <c r="F32" s="62">
        <f t="shared" si="3"/>
        <v>35363900</v>
      </c>
      <c r="G32" s="41"/>
      <c r="I32" s="169"/>
      <c r="J32" s="33"/>
    </row>
    <row r="33" spans="2:10" ht="16.5" thickBot="1">
      <c r="B33" s="170">
        <f t="shared" si="3"/>
        <v>8</v>
      </c>
      <c r="C33" s="171" t="str">
        <f t="shared" si="3"/>
        <v>CORPORACION SOCIAL PARA EL DESARROLLO DE LOS GRUPOS ETNICOS Y CULTURALES MULTIETNIAS</v>
      </c>
      <c r="D33" s="172">
        <f t="shared" si="3"/>
        <v>46161</v>
      </c>
      <c r="E33" s="173" t="str">
        <f t="shared" si="3"/>
        <v>9:07PM</v>
      </c>
      <c r="F33" s="174">
        <f t="shared" si="3"/>
        <v>35363900</v>
      </c>
      <c r="G33" s="41"/>
      <c r="I33" s="169"/>
      <c r="J33" s="33"/>
    </row>
    <row r="34" spans="2:10" ht="15.75">
      <c r="B34" s="38"/>
      <c r="C34" s="43"/>
      <c r="D34" s="38"/>
      <c r="E34" s="40"/>
      <c r="F34" s="41"/>
      <c r="G34" s="41"/>
      <c r="I34" s="169"/>
      <c r="J34" s="33"/>
    </row>
    <row r="35" spans="2:10">
      <c r="B35" s="32" t="s">
        <v>59</v>
      </c>
      <c r="F35" s="33"/>
    </row>
    <row r="36" spans="2:10">
      <c r="F36" s="33"/>
    </row>
    <row r="37" spans="2:10" ht="15.75">
      <c r="C37" s="44" t="s">
        <v>60</v>
      </c>
      <c r="E37" s="33"/>
      <c r="F37" s="45">
        <f>MEDIAN(F28:F33)</f>
        <v>35363900</v>
      </c>
      <c r="H37" s="169"/>
    </row>
    <row r="38" spans="2:10">
      <c r="C38" s="43"/>
      <c r="E38" s="33"/>
      <c r="F38" s="33"/>
    </row>
    <row r="39" spans="2:10" ht="15">
      <c r="C39" s="44" t="s">
        <v>61</v>
      </c>
      <c r="E39" s="33"/>
      <c r="F39" s="45">
        <f>AVERAGE(F28:F33)</f>
        <v>35268141.666666664</v>
      </c>
    </row>
    <row r="40" spans="2:10" ht="15" customHeight="1">
      <c r="C40" s="43"/>
      <c r="E40" s="33"/>
      <c r="F40" s="33"/>
    </row>
    <row r="41" spans="2:10">
      <c r="B41" s="32" t="s">
        <v>62</v>
      </c>
      <c r="C41" s="43"/>
      <c r="E41" s="33"/>
      <c r="F41" s="33"/>
    </row>
    <row r="42" spans="2:10">
      <c r="C42" s="43"/>
      <c r="E42" s="33"/>
      <c r="F42" s="33"/>
    </row>
    <row r="43" spans="2:10" ht="15" thickBot="1">
      <c r="C43" s="43"/>
      <c r="E43" s="33"/>
      <c r="F43" s="33"/>
    </row>
    <row r="44" spans="2:10" ht="45">
      <c r="B44" s="49" t="s">
        <v>47</v>
      </c>
      <c r="C44" s="50" t="s">
        <v>48</v>
      </c>
      <c r="D44" s="54" t="s">
        <v>49</v>
      </c>
      <c r="E44" s="54" t="s">
        <v>50</v>
      </c>
      <c r="F44" s="55" t="s">
        <v>51</v>
      </c>
      <c r="G44" s="63"/>
      <c r="H44" s="33"/>
    </row>
    <row r="45" spans="2:10">
      <c r="B45" s="59">
        <f t="shared" ref="B45:F50" si="4">+B28</f>
        <v>1</v>
      </c>
      <c r="C45" s="35" t="str">
        <f t="shared" si="4"/>
        <v>CORPORACIÓN ORIENTAR PARA CRECER (CASA 1)</v>
      </c>
      <c r="D45" s="52">
        <f t="shared" si="4"/>
        <v>46161</v>
      </c>
      <c r="E45" s="34" t="str">
        <f t="shared" si="4"/>
        <v>7:28AM</v>
      </c>
      <c r="F45" s="62">
        <f t="shared" si="4"/>
        <v>35363900</v>
      </c>
      <c r="G45" s="51">
        <f>+(F45-$F$39)^2</f>
        <v>9169658402.7782536</v>
      </c>
      <c r="H45" s="33"/>
    </row>
    <row r="46" spans="2:10">
      <c r="B46" s="59">
        <f t="shared" si="4"/>
        <v>2</v>
      </c>
      <c r="C46" s="35" t="str">
        <f t="shared" si="4"/>
        <v>CORPORACIÓN ORIENTAR PARA CRECER (CASA 2)</v>
      </c>
      <c r="D46" s="52">
        <f t="shared" si="4"/>
        <v>46161</v>
      </c>
      <c r="E46" s="34" t="str">
        <f t="shared" si="4"/>
        <v>7:28AM</v>
      </c>
      <c r="F46" s="62">
        <f t="shared" si="4"/>
        <v>35363900</v>
      </c>
      <c r="G46" s="51">
        <f t="shared" ref="G46:G50" si="5">+(F46-$F$39)^2</f>
        <v>9169658402.7782536</v>
      </c>
      <c r="H46" s="33"/>
    </row>
    <row r="47" spans="2:10">
      <c r="B47" s="78">
        <f t="shared" si="4"/>
        <v>3</v>
      </c>
      <c r="C47" s="166" t="str">
        <f t="shared" si="4"/>
        <v>FEZ INVERSIONES SAS</v>
      </c>
      <c r="D47" s="72">
        <f t="shared" si="4"/>
        <v>46161</v>
      </c>
      <c r="E47" s="73" t="str">
        <f t="shared" si="4"/>
        <v>3:22PM</v>
      </c>
      <c r="F47" s="77">
        <f t="shared" si="4"/>
        <v>35363900</v>
      </c>
      <c r="G47" s="175">
        <f t="shared" si="5"/>
        <v>9169658402.7782536</v>
      </c>
      <c r="H47" s="33"/>
    </row>
    <row r="48" spans="2:10">
      <c r="B48" s="59">
        <f t="shared" si="4"/>
        <v>5</v>
      </c>
      <c r="C48" s="35" t="str">
        <f t="shared" si="4"/>
        <v>ASOCIACION CRISTIANA NUEVO NACIMIENTO -ACNN</v>
      </c>
      <c r="D48" s="52">
        <f t="shared" si="4"/>
        <v>46161</v>
      </c>
      <c r="E48" s="34" t="str">
        <f t="shared" si="4"/>
        <v>6:11PM</v>
      </c>
      <c r="F48" s="62">
        <f t="shared" si="4"/>
        <v>34789350</v>
      </c>
      <c r="G48" s="51">
        <f t="shared" si="5"/>
        <v>229241460069.44208</v>
      </c>
      <c r="H48" s="33"/>
    </row>
    <row r="49" spans="2:10">
      <c r="B49" s="59">
        <f t="shared" si="4"/>
        <v>7</v>
      </c>
      <c r="C49" s="35" t="str">
        <f t="shared" si="4"/>
        <v>SOCIEDAD INVERSIONES PF SAS</v>
      </c>
      <c r="D49" s="52">
        <f t="shared" si="4"/>
        <v>46161</v>
      </c>
      <c r="E49" s="34" t="str">
        <f t="shared" si="4"/>
        <v>6:41PM</v>
      </c>
      <c r="F49" s="62">
        <f t="shared" si="4"/>
        <v>35363900</v>
      </c>
      <c r="G49" s="51">
        <f t="shared" si="5"/>
        <v>9169658402.7782536</v>
      </c>
      <c r="H49" s="33"/>
    </row>
    <row r="50" spans="2:10" ht="15" thickBot="1">
      <c r="B50" s="170">
        <f t="shared" si="4"/>
        <v>8</v>
      </c>
      <c r="C50" s="171" t="str">
        <f t="shared" si="4"/>
        <v>CORPORACION SOCIAL PARA EL DESARROLLO DE LOS GRUPOS ETNICOS Y CULTURALES MULTIETNIAS</v>
      </c>
      <c r="D50" s="172">
        <f t="shared" si="4"/>
        <v>46161</v>
      </c>
      <c r="E50" s="173" t="str">
        <f t="shared" si="4"/>
        <v>9:07PM</v>
      </c>
      <c r="F50" s="174">
        <f t="shared" si="4"/>
        <v>35363900</v>
      </c>
      <c r="G50" s="176">
        <f t="shared" si="5"/>
        <v>9169658402.7782536</v>
      </c>
      <c r="H50" s="33"/>
    </row>
    <row r="51" spans="2:10" ht="15.75" thickBot="1">
      <c r="C51" s="43"/>
      <c r="E51" s="33"/>
      <c r="F51" s="46" t="s">
        <v>63</v>
      </c>
      <c r="G51" s="64">
        <f>SUM(G45:G50)/(D52)</f>
        <v>45848292013.888893</v>
      </c>
      <c r="H51" s="33"/>
    </row>
    <row r="52" spans="2:10">
      <c r="C52" s="43" t="s">
        <v>64</v>
      </c>
      <c r="D52" s="38">
        <f>COUNT(B45:B50)</f>
        <v>6</v>
      </c>
      <c r="E52" s="33"/>
      <c r="F52" s="33"/>
      <c r="H52" s="33"/>
    </row>
    <row r="53" spans="2:10">
      <c r="C53" s="43"/>
      <c r="E53" s="33"/>
      <c r="F53" s="33"/>
      <c r="H53" s="33"/>
    </row>
    <row r="54" spans="2:10" ht="15">
      <c r="C54" s="44" t="s">
        <v>65</v>
      </c>
      <c r="F54" s="45">
        <f>SQRT(G51)</f>
        <v>214122.14274541737</v>
      </c>
    </row>
    <row r="55" spans="2:10">
      <c r="F55" s="33"/>
    </row>
    <row r="56" spans="2:10">
      <c r="B56" s="32" t="s">
        <v>66</v>
      </c>
      <c r="C56" s="43"/>
      <c r="E56" s="33"/>
      <c r="F56" s="33"/>
    </row>
    <row r="57" spans="2:10">
      <c r="C57" s="43"/>
      <c r="E57" s="33"/>
      <c r="F57" s="33"/>
    </row>
    <row r="58" spans="2:10" ht="15">
      <c r="C58" s="44" t="s">
        <v>67</v>
      </c>
      <c r="F58" s="45">
        <f>+F37-F54</f>
        <v>35149777.85725458</v>
      </c>
    </row>
    <row r="59" spans="2:10">
      <c r="F59" s="33"/>
    </row>
    <row r="60" spans="2:10">
      <c r="F60" s="33"/>
    </row>
    <row r="61" spans="2:10" ht="15.75">
      <c r="B61" s="32" t="s">
        <v>68</v>
      </c>
      <c r="H61" s="47"/>
      <c r="I61" s="48"/>
      <c r="J61" s="33"/>
    </row>
    <row r="62" spans="2:10" ht="15" thickBot="1"/>
    <row r="63" spans="2:10" ht="52.5" customHeight="1" thickBot="1">
      <c r="B63" s="68" t="s">
        <v>47</v>
      </c>
      <c r="C63" s="69" t="s">
        <v>48</v>
      </c>
      <c r="D63" s="29" t="s">
        <v>49</v>
      </c>
      <c r="E63" s="29" t="s">
        <v>50</v>
      </c>
      <c r="F63" s="30" t="s">
        <v>51</v>
      </c>
      <c r="G63" s="76" t="s">
        <v>67</v>
      </c>
      <c r="H63" s="76" t="s">
        <v>69</v>
      </c>
      <c r="I63" s="70" t="s">
        <v>70</v>
      </c>
    </row>
    <row r="64" spans="2:10">
      <c r="B64" s="177">
        <f t="shared" ref="B64:F69" si="6">+B45</f>
        <v>1</v>
      </c>
      <c r="C64" s="178" t="str">
        <f t="shared" si="6"/>
        <v>CORPORACIÓN ORIENTAR PARA CRECER (CASA 1)</v>
      </c>
      <c r="D64" s="179">
        <f t="shared" si="6"/>
        <v>46161</v>
      </c>
      <c r="E64" s="180" t="str">
        <f t="shared" si="6"/>
        <v>7:28AM</v>
      </c>
      <c r="F64" s="181">
        <f t="shared" si="6"/>
        <v>35363900</v>
      </c>
      <c r="G64" s="182">
        <f>+$F$58</f>
        <v>35149777.85725458</v>
      </c>
      <c r="H64" s="182">
        <f>+F64-G64</f>
        <v>214122.14274542034</v>
      </c>
      <c r="I64" s="183" t="s">
        <v>71</v>
      </c>
    </row>
    <row r="65" spans="2:9">
      <c r="B65" s="59">
        <f t="shared" si="6"/>
        <v>2</v>
      </c>
      <c r="C65" s="35" t="str">
        <f t="shared" si="6"/>
        <v>CORPORACIÓN ORIENTAR PARA CRECER (CASA 2)</v>
      </c>
      <c r="D65" s="52">
        <f t="shared" si="6"/>
        <v>46161</v>
      </c>
      <c r="E65" s="34" t="str">
        <f t="shared" si="6"/>
        <v>7:28AM</v>
      </c>
      <c r="F65" s="164">
        <f t="shared" si="6"/>
        <v>35363900</v>
      </c>
      <c r="G65" s="36">
        <f t="shared" ref="G65:G69" si="7">+$F$58</f>
        <v>35149777.85725458</v>
      </c>
      <c r="H65" s="36">
        <f t="shared" ref="H65:H69" si="8">+F65-G65</f>
        <v>214122.14274542034</v>
      </c>
      <c r="I65" s="65" t="s">
        <v>71</v>
      </c>
    </row>
    <row r="66" spans="2:9">
      <c r="B66" s="78">
        <f t="shared" si="6"/>
        <v>3</v>
      </c>
      <c r="C66" s="166" t="str">
        <f t="shared" si="6"/>
        <v>FEZ INVERSIONES SAS</v>
      </c>
      <c r="D66" s="72">
        <f t="shared" si="6"/>
        <v>46161</v>
      </c>
      <c r="E66" s="73" t="str">
        <f t="shared" si="6"/>
        <v>3:22PM</v>
      </c>
      <c r="F66" s="74">
        <f t="shared" si="6"/>
        <v>35363900</v>
      </c>
      <c r="G66" s="75">
        <f t="shared" si="7"/>
        <v>35149777.85725458</v>
      </c>
      <c r="H66" s="75">
        <f t="shared" si="8"/>
        <v>214122.14274542034</v>
      </c>
      <c r="I66" s="65" t="s">
        <v>71</v>
      </c>
    </row>
    <row r="67" spans="2:9">
      <c r="B67" s="59">
        <f t="shared" si="6"/>
        <v>5</v>
      </c>
      <c r="C67" s="191" t="str">
        <f t="shared" si="6"/>
        <v>ASOCIACION CRISTIANA NUEVO NACIMIENTO -ACNN</v>
      </c>
      <c r="D67" s="52">
        <f t="shared" si="6"/>
        <v>46161</v>
      </c>
      <c r="E67" s="192" t="str">
        <f t="shared" si="6"/>
        <v>6:11PM</v>
      </c>
      <c r="F67" s="193">
        <f t="shared" si="6"/>
        <v>34789350</v>
      </c>
      <c r="G67" s="194">
        <f t="shared" si="7"/>
        <v>35149777.85725458</v>
      </c>
      <c r="H67" s="194">
        <f t="shared" si="8"/>
        <v>-360427.85725457966</v>
      </c>
      <c r="I67" s="130" t="s">
        <v>72</v>
      </c>
    </row>
    <row r="68" spans="2:9">
      <c r="B68" s="59">
        <f t="shared" si="6"/>
        <v>7</v>
      </c>
      <c r="C68" s="191" t="str">
        <f t="shared" si="6"/>
        <v>SOCIEDAD INVERSIONES PF SAS</v>
      </c>
      <c r="D68" s="52">
        <f t="shared" si="6"/>
        <v>46161</v>
      </c>
      <c r="E68" s="192" t="str">
        <f t="shared" si="6"/>
        <v>6:41PM</v>
      </c>
      <c r="F68" s="193">
        <f t="shared" si="6"/>
        <v>35363900</v>
      </c>
      <c r="G68" s="194">
        <f t="shared" si="7"/>
        <v>35149777.85725458</v>
      </c>
      <c r="H68" s="194">
        <f t="shared" si="8"/>
        <v>214122.14274542034</v>
      </c>
      <c r="I68" s="65" t="s">
        <v>71</v>
      </c>
    </row>
    <row r="69" spans="2:9" ht="15" thickBot="1">
      <c r="B69" s="170">
        <f t="shared" si="6"/>
        <v>8</v>
      </c>
      <c r="C69" s="171" t="str">
        <f t="shared" si="6"/>
        <v>CORPORACION SOCIAL PARA EL DESARROLLO DE LOS GRUPOS ETNICOS Y CULTURALES MULTIETNIAS</v>
      </c>
      <c r="D69" s="172">
        <f t="shared" si="6"/>
        <v>46161</v>
      </c>
      <c r="E69" s="173" t="str">
        <f t="shared" si="6"/>
        <v>9:07PM</v>
      </c>
      <c r="F69" s="184">
        <f t="shared" si="6"/>
        <v>35363900</v>
      </c>
      <c r="G69" s="185">
        <f t="shared" si="7"/>
        <v>35149777.85725458</v>
      </c>
      <c r="H69" s="185">
        <f t="shared" si="8"/>
        <v>214122.14274542034</v>
      </c>
      <c r="I69" s="66" t="s">
        <v>71</v>
      </c>
    </row>
  </sheetData>
  <mergeCells count="10">
    <mergeCell ref="B11:K11"/>
    <mergeCell ref="G15:G20"/>
    <mergeCell ref="H15:H20"/>
    <mergeCell ref="B23:K23"/>
    <mergeCell ref="B2:J2"/>
    <mergeCell ref="B4:E4"/>
    <mergeCell ref="B5:C5"/>
    <mergeCell ref="D5:E5"/>
    <mergeCell ref="B9:K9"/>
    <mergeCell ref="B10:K10"/>
  </mergeCells>
  <pageMargins left="0.7" right="0.7" top="0.75" bottom="0.75" header="0.3" footer="0.3"/>
  <pageSetup paperSize="9" scale="28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4B555-31F1-483A-813D-52A48EF63C62}">
  <sheetPr>
    <tabColor rgb="FFFFFF00"/>
  </sheetPr>
  <dimension ref="B2:G19"/>
  <sheetViews>
    <sheetView topLeftCell="A3" zoomScale="80" zoomScaleNormal="80" workbookViewId="0">
      <selection activeCell="C24" sqref="C24"/>
    </sheetView>
  </sheetViews>
  <sheetFormatPr defaultColWidth="11" defaultRowHeight="14.25"/>
  <cols>
    <col min="1" max="1" width="11" style="27"/>
    <col min="2" max="2" width="5.125" style="27" customWidth="1"/>
    <col min="3" max="3" width="54" style="27" bestFit="1" customWidth="1"/>
    <col min="4" max="5" width="10.75" style="27" bestFit="1" customWidth="1"/>
    <col min="6" max="6" width="18.875" style="27" customWidth="1"/>
    <col min="7" max="7" width="45.75" style="27" bestFit="1" customWidth="1"/>
    <col min="8" max="16384" width="11" style="27"/>
  </cols>
  <sheetData>
    <row r="2" spans="2:7" ht="78.75" customHeight="1">
      <c r="B2" s="244" t="str">
        <f>+'[1]EVALUACIÓN 2026_lote_1_MES1'!A4</f>
        <v>Objeto: LOTE 1 MODALIDAD INTEGRAL:“Prestar el servicio integral para la puesta en marcha y funcionamiento de las Casas Refugio para la atención a mujeres victimas de violencias y sus personas a cargo, de acuerdo con las características técnicas descritas en el anexo técnico y las normas vigentes que regulan la materia.”</v>
      </c>
      <c r="C2" s="244"/>
      <c r="D2" s="244"/>
      <c r="E2" s="244"/>
      <c r="F2" s="244"/>
      <c r="G2" s="244"/>
    </row>
    <row r="3" spans="2:7" ht="18">
      <c r="B3" s="26"/>
      <c r="C3" s="26"/>
      <c r="D3" s="26"/>
      <c r="E3" s="26"/>
      <c r="F3" s="26"/>
      <c r="G3" s="26"/>
    </row>
    <row r="4" spans="2:7" ht="15">
      <c r="B4" s="28" t="s">
        <v>44</v>
      </c>
    </row>
    <row r="5" spans="2:7" ht="15">
      <c r="B5" s="28"/>
    </row>
    <row r="6" spans="2:7" ht="28.5" customHeight="1">
      <c r="B6" s="259" t="s">
        <v>113</v>
      </c>
      <c r="C6" s="259"/>
      <c r="D6" s="260">
        <v>35363900</v>
      </c>
      <c r="E6" s="261"/>
    </row>
    <row r="9" spans="2:7" ht="18">
      <c r="B9" s="249" t="s">
        <v>74</v>
      </c>
      <c r="C9" s="249"/>
      <c r="D9" s="249"/>
      <c r="E9" s="249"/>
      <c r="F9" s="249"/>
      <c r="G9" s="249"/>
    </row>
    <row r="11" spans="2:7">
      <c r="B11" s="27" t="s">
        <v>75</v>
      </c>
    </row>
    <row r="12" spans="2:7" ht="15" thickBot="1"/>
    <row r="13" spans="2:7" ht="45.75" thickBot="1">
      <c r="B13" s="190" t="s">
        <v>47</v>
      </c>
      <c r="C13" s="29" t="s">
        <v>48</v>
      </c>
      <c r="D13" s="29" t="s">
        <v>49</v>
      </c>
      <c r="E13" s="29" t="s">
        <v>50</v>
      </c>
      <c r="F13" s="30" t="s">
        <v>51</v>
      </c>
      <c r="G13" s="163" t="s">
        <v>76</v>
      </c>
    </row>
    <row r="14" spans="2:7" ht="15">
      <c r="B14" s="207">
        <v>1</v>
      </c>
      <c r="C14" s="208" t="str">
        <f>'EVAL PROP ARTIFI BAJA_Total'!C15</f>
        <v>CORPORACIÓN ORIENTAR PARA CRECER (CASA 1)</v>
      </c>
      <c r="D14" s="209">
        <f>'EVAL PROP ARTIFI BAJA_Total'!D15</f>
        <v>46161</v>
      </c>
      <c r="E14" s="210" t="str">
        <f>'EVAL PROP ARTIFI BAJA_Total'!E15</f>
        <v>7:28AM</v>
      </c>
      <c r="F14" s="211">
        <f>+'EVAL ALIMENT ARTIFI BAJA (ACNN)'!F15</f>
        <v>35363900</v>
      </c>
      <c r="G14" s="212" t="str">
        <f>+'EVAL ALIMENT ARTIFI BAJA (ACNN)'!I64</f>
        <v>Propuesta incluida dentro de la minima aceptable</v>
      </c>
    </row>
    <row r="15" spans="2:7" ht="15">
      <c r="B15" s="84">
        <v>2</v>
      </c>
      <c r="C15" s="83" t="str">
        <f>'EVAL PROP ARTIFI BAJA_Total'!C16</f>
        <v>CORPORACIÓN ORIENTAR PARA CRECER (CASA 2)</v>
      </c>
      <c r="D15" s="186">
        <f>'EVAL PROP ARTIFI BAJA_Total'!D16</f>
        <v>46161</v>
      </c>
      <c r="E15" s="195" t="str">
        <f>'EVAL PROP ARTIFI BAJA_Total'!E16</f>
        <v>7:28AM</v>
      </c>
      <c r="F15" s="197">
        <f>+'EVAL ALIMENT ARTIFI BAJA (ACNN)'!F16</f>
        <v>35363900</v>
      </c>
      <c r="G15" s="187" t="str">
        <f>+'EVAL ALIMENT ARTIFI BAJA (ACNN)'!I65</f>
        <v>Propuesta incluida dentro de la minima aceptable</v>
      </c>
    </row>
    <row r="16" spans="2:7" ht="15">
      <c r="B16" s="84">
        <v>3</v>
      </c>
      <c r="C16" s="83" t="str">
        <f>'EVAL PROP ARTIFI BAJA_Total'!C17</f>
        <v>FEZ INVERSIONES SAS</v>
      </c>
      <c r="D16" s="186">
        <f>'EVAL PROP ARTIFI BAJA_Total'!D17</f>
        <v>46161</v>
      </c>
      <c r="E16" s="195" t="str">
        <f>'EVAL PROP ARTIFI BAJA_Total'!E17</f>
        <v>3:22PM</v>
      </c>
      <c r="F16" s="197">
        <f>+'EVAL ALIMENT ARTIFI BAJA (ACNN)'!F17</f>
        <v>35363900</v>
      </c>
      <c r="G16" s="187" t="str">
        <f>+'EVAL ALIMENT ARTIFI BAJA (ACNN)'!I66</f>
        <v>Propuesta incluida dentro de la minima aceptable</v>
      </c>
    </row>
    <row r="17" spans="2:7" ht="15">
      <c r="B17" s="84">
        <v>5</v>
      </c>
      <c r="C17" s="83" t="str">
        <f>'EVAL PROP ARTIFI BAJA_Total'!C18</f>
        <v>ASOCIACION CRISTIANA NUEVO NACIMIENTO -ACNN</v>
      </c>
      <c r="D17" s="186">
        <f>'EVAL PROP ARTIFI BAJA_Total'!D18</f>
        <v>46161</v>
      </c>
      <c r="E17" s="195" t="str">
        <f>'EVAL PROP ARTIFI BAJA_Total'!E18</f>
        <v>6:11PM</v>
      </c>
      <c r="F17" s="197">
        <f>+'EVAL ALIMENT ARTIFI BAJA (ACNN)'!F18</f>
        <v>34789350</v>
      </c>
      <c r="G17" s="187" t="str">
        <f>+'EVAL ALIMENT ARTIFI BAJA (ACNN)'!I67</f>
        <v>Propuesta artificialmente baja</v>
      </c>
    </row>
    <row r="18" spans="2:7" ht="15">
      <c r="B18" s="84">
        <v>7</v>
      </c>
      <c r="C18" s="83" t="str">
        <f>'EVAL PROP ARTIFI BAJA_Total'!C19</f>
        <v>SOCIEDAD INVERSIONES PF SAS</v>
      </c>
      <c r="D18" s="186">
        <f>'EVAL PROP ARTIFI BAJA_Total'!D19</f>
        <v>46161</v>
      </c>
      <c r="E18" s="195" t="str">
        <f>'EVAL PROP ARTIFI BAJA_Total'!E19</f>
        <v>6:41PM</v>
      </c>
      <c r="F18" s="197">
        <f>+'EVAL ALIMENT ARTIFI BAJA (ACNN)'!F19</f>
        <v>35363900</v>
      </c>
      <c r="G18" s="187" t="str">
        <f>+'EVAL ALIMENT ARTIFI BAJA (ACNN)'!I68</f>
        <v>Propuesta incluida dentro de la minima aceptable</v>
      </c>
    </row>
    <row r="19" spans="2:7" ht="29.25" thickBot="1">
      <c r="B19" s="85">
        <v>8</v>
      </c>
      <c r="C19" s="86" t="str">
        <f>'EVAL PROP ARTIFI BAJA_Total'!C20</f>
        <v>CORPORACION SOCIAL PARA EL DESARROLLO DE LOS GRUPOS ETNICOS Y CULTURALES MULTIETNIAS</v>
      </c>
      <c r="D19" s="189">
        <f>'EVAL PROP ARTIFI BAJA_Total'!D20</f>
        <v>46161</v>
      </c>
      <c r="E19" s="196" t="str">
        <f>'EVAL PROP ARTIFI BAJA_Total'!E20</f>
        <v>9:07PM</v>
      </c>
      <c r="F19" s="213">
        <f>+'EVAL ALIMENT ARTIFI BAJA (ACNN)'!F20</f>
        <v>35363900</v>
      </c>
      <c r="G19" s="188" t="str">
        <f>+'EVAL ALIMENT ARTIFI BAJA (ACNN)'!I69</f>
        <v>Propuesta incluida dentro de la minima aceptable</v>
      </c>
    </row>
  </sheetData>
  <mergeCells count="4">
    <mergeCell ref="B2:G2"/>
    <mergeCell ref="B6:C6"/>
    <mergeCell ref="D6:E6"/>
    <mergeCell ref="B9:G9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505B3-441B-4A99-8E17-94DA540BBEEB}">
  <dimension ref="A1:H21"/>
  <sheetViews>
    <sheetView topLeftCell="A8" workbookViewId="0">
      <selection activeCell="E25" sqref="E25"/>
    </sheetView>
  </sheetViews>
  <sheetFormatPr defaultColWidth="11" defaultRowHeight="14.25"/>
  <cols>
    <col min="1" max="1" width="27.25" style="204" customWidth="1"/>
    <col min="2" max="2" width="47.875" style="204" customWidth="1"/>
    <col min="3" max="3" width="13" style="204" customWidth="1"/>
    <col min="4" max="4" width="17.5" style="204" customWidth="1"/>
    <col min="5" max="5" width="15.625" style="204" customWidth="1"/>
    <col min="6" max="6" width="14.25" style="204" customWidth="1"/>
    <col min="7" max="7" width="16.25" style="204" customWidth="1"/>
    <col min="8" max="8" width="20" style="204" customWidth="1"/>
    <col min="9" max="16384" width="11" style="204"/>
  </cols>
  <sheetData>
    <row r="1" spans="1:8" ht="15">
      <c r="A1" s="262" t="s">
        <v>114</v>
      </c>
      <c r="B1" s="262"/>
      <c r="C1" s="262"/>
      <c r="D1" s="262"/>
      <c r="E1" s="262"/>
      <c r="F1" s="262"/>
      <c r="G1" s="262"/>
      <c r="H1" s="262"/>
    </row>
    <row r="2" spans="1:8" ht="15">
      <c r="A2" s="262" t="s">
        <v>115</v>
      </c>
      <c r="B2" s="262"/>
      <c r="C2" s="262"/>
      <c r="D2" s="262"/>
      <c r="E2" s="262"/>
      <c r="F2" s="262"/>
      <c r="G2" s="262"/>
      <c r="H2" s="262"/>
    </row>
    <row r="3" spans="1:8" ht="78.75">
      <c r="A3" s="146" t="s">
        <v>116</v>
      </c>
      <c r="B3" s="146" t="s">
        <v>117</v>
      </c>
      <c r="C3" s="146" t="s">
        <v>118</v>
      </c>
      <c r="D3" s="146" t="s">
        <v>119</v>
      </c>
      <c r="E3" s="146" t="s">
        <v>120</v>
      </c>
      <c r="F3" s="146" t="s">
        <v>121</v>
      </c>
      <c r="G3" s="146" t="s">
        <v>122</v>
      </c>
      <c r="H3" s="146" t="s">
        <v>70</v>
      </c>
    </row>
    <row r="4" spans="1:8" ht="63">
      <c r="A4" s="198" t="s">
        <v>123</v>
      </c>
      <c r="B4" s="199" t="s">
        <v>124</v>
      </c>
      <c r="C4" s="205">
        <v>14200</v>
      </c>
      <c r="D4" s="205">
        <v>11218</v>
      </c>
      <c r="E4" s="205">
        <v>14200</v>
      </c>
      <c r="F4" s="205">
        <v>14200</v>
      </c>
      <c r="G4" s="205" t="s">
        <v>125</v>
      </c>
      <c r="H4" s="199" t="s">
        <v>126</v>
      </c>
    </row>
    <row r="5" spans="1:8" ht="30" customHeight="1">
      <c r="A5" s="198" t="s">
        <v>127</v>
      </c>
      <c r="B5" s="199" t="s">
        <v>128</v>
      </c>
      <c r="C5" s="205">
        <v>3100</v>
      </c>
      <c r="D5" s="205">
        <v>2449</v>
      </c>
      <c r="E5" s="205">
        <v>3100</v>
      </c>
      <c r="F5" s="205" t="s">
        <v>125</v>
      </c>
      <c r="G5" s="205" t="s">
        <v>125</v>
      </c>
      <c r="H5" s="199" t="s">
        <v>129</v>
      </c>
    </row>
    <row r="6" spans="1:8" ht="47.25">
      <c r="A6" s="198" t="s">
        <v>130</v>
      </c>
      <c r="B6" s="203" t="s">
        <v>131</v>
      </c>
      <c r="C6" s="205">
        <v>25300</v>
      </c>
      <c r="D6" s="205">
        <v>19987</v>
      </c>
      <c r="E6" s="205">
        <v>25300</v>
      </c>
      <c r="F6" s="205" t="s">
        <v>125</v>
      </c>
      <c r="G6" s="205">
        <v>19987</v>
      </c>
      <c r="H6" s="199" t="s">
        <v>132</v>
      </c>
    </row>
    <row r="7" spans="1:8" ht="63">
      <c r="A7" s="198" t="s">
        <v>133</v>
      </c>
      <c r="B7" s="199" t="s">
        <v>134</v>
      </c>
      <c r="C7" s="205">
        <v>20300</v>
      </c>
      <c r="D7" s="205">
        <v>16037</v>
      </c>
      <c r="E7" s="205" t="s">
        <v>125</v>
      </c>
      <c r="F7" s="205">
        <v>20300</v>
      </c>
      <c r="G7" s="205" t="s">
        <v>125</v>
      </c>
      <c r="H7" s="199" t="s">
        <v>135</v>
      </c>
    </row>
    <row r="8" spans="1:8" ht="63">
      <c r="A8" s="198" t="s">
        <v>136</v>
      </c>
      <c r="B8" s="199" t="s">
        <v>137</v>
      </c>
      <c r="C8" s="205">
        <v>28600</v>
      </c>
      <c r="D8" s="205">
        <v>22594</v>
      </c>
      <c r="E8" s="205" t="s">
        <v>125</v>
      </c>
      <c r="F8" s="205">
        <v>28600</v>
      </c>
      <c r="G8" s="205" t="s">
        <v>125</v>
      </c>
      <c r="H8" s="199" t="s">
        <v>138</v>
      </c>
    </row>
    <row r="9" spans="1:8" ht="30" customHeight="1">
      <c r="A9" s="198" t="s">
        <v>139</v>
      </c>
      <c r="B9" s="199" t="s">
        <v>140</v>
      </c>
      <c r="C9" s="205">
        <v>12300</v>
      </c>
      <c r="D9" s="205" t="s">
        <v>125</v>
      </c>
      <c r="E9" s="205">
        <v>12300</v>
      </c>
      <c r="F9" s="205" t="s">
        <v>125</v>
      </c>
      <c r="G9" s="205">
        <v>9717</v>
      </c>
      <c r="H9" s="199" t="s">
        <v>141</v>
      </c>
    </row>
    <row r="10" spans="1:8" ht="30" customHeight="1">
      <c r="A10" s="198" t="s">
        <v>142</v>
      </c>
      <c r="B10" s="199" t="s">
        <v>143</v>
      </c>
      <c r="C10" s="205">
        <v>12600</v>
      </c>
      <c r="D10" s="205">
        <v>9954</v>
      </c>
      <c r="E10" s="205" t="s">
        <v>125</v>
      </c>
      <c r="F10" s="205">
        <v>12600</v>
      </c>
      <c r="G10" s="205" t="s">
        <v>125</v>
      </c>
      <c r="H10" s="199" t="s">
        <v>144</v>
      </c>
    </row>
    <row r="12" spans="1:8" ht="15">
      <c r="A12" s="263" t="s">
        <v>18</v>
      </c>
      <c r="B12" s="263"/>
      <c r="C12" s="263"/>
      <c r="D12" s="263"/>
      <c r="E12" s="263"/>
      <c r="F12" s="263"/>
      <c r="G12" s="263"/>
      <c r="H12" s="263"/>
    </row>
    <row r="13" spans="1:8" ht="15">
      <c r="A13" s="263" t="s">
        <v>115</v>
      </c>
      <c r="B13" s="263"/>
      <c r="C13" s="263"/>
      <c r="D13" s="263"/>
      <c r="E13" s="263"/>
      <c r="F13" s="263"/>
      <c r="G13" s="263"/>
      <c r="H13" s="263"/>
    </row>
    <row r="14" spans="1:8" ht="78.75">
      <c r="A14" s="201" t="s">
        <v>116</v>
      </c>
      <c r="B14" s="201" t="s">
        <v>117</v>
      </c>
      <c r="C14" s="201" t="s">
        <v>118</v>
      </c>
      <c r="D14" s="146" t="s">
        <v>119</v>
      </c>
      <c r="E14" s="146" t="s">
        <v>120</v>
      </c>
      <c r="F14" s="146" t="s">
        <v>121</v>
      </c>
      <c r="G14" s="146" t="s">
        <v>122</v>
      </c>
      <c r="H14" s="201" t="s">
        <v>70</v>
      </c>
    </row>
    <row r="15" spans="1:8" ht="57">
      <c r="A15" s="202" t="s">
        <v>123</v>
      </c>
      <c r="B15" s="203" t="s">
        <v>124</v>
      </c>
      <c r="C15" s="206">
        <v>14200</v>
      </c>
      <c r="D15" s="206">
        <v>11502</v>
      </c>
      <c r="E15" s="206">
        <v>14200</v>
      </c>
      <c r="F15" s="206">
        <v>14200</v>
      </c>
      <c r="G15" s="206" t="s">
        <v>125</v>
      </c>
      <c r="H15" s="203" t="s">
        <v>126</v>
      </c>
    </row>
    <row r="16" spans="1:8" ht="28.5">
      <c r="A16" s="202" t="s">
        <v>127</v>
      </c>
      <c r="B16" s="203" t="s">
        <v>128</v>
      </c>
      <c r="C16" s="206">
        <v>3100</v>
      </c>
      <c r="D16" s="206">
        <v>2511</v>
      </c>
      <c r="E16" s="206">
        <v>3100</v>
      </c>
      <c r="F16" s="206" t="s">
        <v>125</v>
      </c>
      <c r="G16" s="206" t="s">
        <v>125</v>
      </c>
      <c r="H16" s="203" t="s">
        <v>145</v>
      </c>
    </row>
    <row r="17" spans="1:8" ht="57.75" customHeight="1">
      <c r="A17" s="202" t="s">
        <v>130</v>
      </c>
      <c r="B17" s="203" t="s">
        <v>131</v>
      </c>
      <c r="C17" s="206">
        <v>25300</v>
      </c>
      <c r="D17" s="206">
        <v>20493</v>
      </c>
      <c r="E17" s="206">
        <v>25300</v>
      </c>
      <c r="F17" s="206" t="s">
        <v>125</v>
      </c>
      <c r="G17" s="206">
        <v>20493</v>
      </c>
      <c r="H17" s="203" t="s">
        <v>132</v>
      </c>
    </row>
    <row r="18" spans="1:8" ht="60">
      <c r="A18" s="202" t="s">
        <v>133</v>
      </c>
      <c r="B18" s="200" t="s">
        <v>134</v>
      </c>
      <c r="C18" s="206">
        <v>20300</v>
      </c>
      <c r="D18" s="206">
        <v>16443</v>
      </c>
      <c r="E18" s="206" t="s">
        <v>125</v>
      </c>
      <c r="F18" s="206">
        <v>20300</v>
      </c>
      <c r="G18" s="206" t="s">
        <v>125</v>
      </c>
      <c r="H18" s="203" t="s">
        <v>135</v>
      </c>
    </row>
    <row r="19" spans="1:8" ht="60">
      <c r="A19" s="202" t="s">
        <v>136</v>
      </c>
      <c r="B19" s="200" t="s">
        <v>137</v>
      </c>
      <c r="C19" s="206">
        <v>28600</v>
      </c>
      <c r="D19" s="206">
        <v>23166</v>
      </c>
      <c r="E19" s="206" t="s">
        <v>125</v>
      </c>
      <c r="F19" s="206">
        <v>28600</v>
      </c>
      <c r="G19" s="206" t="s">
        <v>125</v>
      </c>
      <c r="H19" s="203" t="s">
        <v>138</v>
      </c>
    </row>
    <row r="20" spans="1:8" ht="30">
      <c r="A20" s="202" t="s">
        <v>139</v>
      </c>
      <c r="B20" s="203" t="s">
        <v>146</v>
      </c>
      <c r="C20" s="206">
        <v>12300</v>
      </c>
      <c r="D20" s="206" t="s">
        <v>125</v>
      </c>
      <c r="E20" s="206">
        <v>12300</v>
      </c>
      <c r="F20" s="206" t="s">
        <v>125</v>
      </c>
      <c r="G20" s="206">
        <v>9963</v>
      </c>
      <c r="H20" s="203" t="s">
        <v>141</v>
      </c>
    </row>
    <row r="21" spans="1:8" ht="28.5">
      <c r="A21" s="202" t="s">
        <v>142</v>
      </c>
      <c r="B21" s="203" t="s">
        <v>143</v>
      </c>
      <c r="C21" s="206">
        <v>12600</v>
      </c>
      <c r="D21" s="206">
        <v>10206</v>
      </c>
      <c r="E21" s="206" t="s">
        <v>125</v>
      </c>
      <c r="F21" s="206">
        <v>12600</v>
      </c>
      <c r="G21" s="206" t="s">
        <v>125</v>
      </c>
      <c r="H21" s="203" t="s">
        <v>144</v>
      </c>
    </row>
  </sheetData>
  <mergeCells count="4">
    <mergeCell ref="A1:H1"/>
    <mergeCell ref="A2:H2"/>
    <mergeCell ref="A12:H12"/>
    <mergeCell ref="A13:H13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1C5BD7BB7A32498F7D151BECF690AD" ma:contentTypeVersion="4" ma:contentTypeDescription="Crear nuevo documento." ma:contentTypeScope="" ma:versionID="36381d66bafd0f6997b9a9344bb4a78e">
  <xsd:schema xmlns:xsd="http://www.w3.org/2001/XMLSchema" xmlns:xs="http://www.w3.org/2001/XMLSchema" xmlns:p="http://schemas.microsoft.com/office/2006/metadata/properties" xmlns:ns3="af181f09-5764-49fd-b908-2694e75391f3" targetNamespace="http://schemas.microsoft.com/office/2006/metadata/properties" ma:root="true" ma:fieldsID="c1b4f60d75fefb83d859a8c5d03eb7c0" ns3:_="">
    <xsd:import namespace="af181f09-5764-49fd-b908-2694e75391f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181f09-5764-49fd-b908-2694e75391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679321-B1A7-4965-A9B4-3F1D0D85D024}"/>
</file>

<file path=customXml/itemProps2.xml><?xml version="1.0" encoding="utf-8"?>
<ds:datastoreItem xmlns:ds="http://schemas.openxmlformats.org/officeDocument/2006/customXml" ds:itemID="{1DE228AD-EDA6-4361-9DB7-29DE769DA2D5}"/>
</file>

<file path=customXml/itemProps3.xml><?xml version="1.0" encoding="utf-8"?>
<ds:datastoreItem xmlns:ds="http://schemas.openxmlformats.org/officeDocument/2006/customXml" ds:itemID="{AB9129A1-5613-4734-A05F-E50698CD0D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Leila Durán</dc:creator>
  <cp:keywords/>
  <dc:description/>
  <cp:lastModifiedBy>Judy Alexandra Sanabria Castro</cp:lastModifiedBy>
  <cp:revision/>
  <dcterms:created xsi:type="dcterms:W3CDTF">2021-04-28T23:37:26Z</dcterms:created>
  <dcterms:modified xsi:type="dcterms:W3CDTF">2026-06-09T21:46:37Z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0x010100111C5BD7BB7A32498F7D151BECF690AD</vt:lpwstr>
  </property>
  <property fmtid="{D5CDD505-2E9C-101B-9397-08002B2CF9AE}" pid="3" name="MSIP_Label_6d4a1d0b-1085-4621-a04c-793d50865184_Enabled">
    <vt:lpwstr>true</vt:lpwstr>
  </property>
  <property fmtid="{D5CDD505-2E9C-101B-9397-08002B2CF9AE}" pid="4" name="MSIP_Label_6d4a1d0b-1085-4621-a04c-793d50865184_SetDate">
    <vt:lpwstr>2023-05-19T16:25:32Z</vt:lpwstr>
  </property>
  <property fmtid="{D5CDD505-2E9C-101B-9397-08002B2CF9AE}" pid="5" name="MSIP_Label_6d4a1d0b-1085-4621-a04c-793d50865184_Method">
    <vt:lpwstr>Standard</vt:lpwstr>
  </property>
  <property fmtid="{D5CDD505-2E9C-101B-9397-08002B2CF9AE}" pid="6" name="MSIP_Label_6d4a1d0b-1085-4621-a04c-793d50865184_Name">
    <vt:lpwstr>Criticidad media</vt:lpwstr>
  </property>
  <property fmtid="{D5CDD505-2E9C-101B-9397-08002B2CF9AE}" pid="7" name="MSIP_Label_6d4a1d0b-1085-4621-a04c-793d50865184_SiteId">
    <vt:lpwstr>052126ec-16f8-47eb-ae56-6886b94a9358</vt:lpwstr>
  </property>
  <property fmtid="{D5CDD505-2E9C-101B-9397-08002B2CF9AE}" pid="8" name="MSIP_Label_6d4a1d0b-1085-4621-a04c-793d50865184_ActionId">
    <vt:lpwstr>4f6cb2ea-94f6-4115-849d-e34a7642dcdb</vt:lpwstr>
  </property>
  <property fmtid="{D5CDD505-2E9C-101B-9397-08002B2CF9AE}" pid="9" name="MSIP_Label_6d4a1d0b-1085-4621-a04c-793d50865184_ContentBits">
    <vt:lpwstr>0</vt:lpwstr>
  </property>
</Properties>
</file>