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.sharepoint.com/sites/ARSEC/Documentos compartidos/1. CONTRATOS ARSEC/1. ESTRUCTURACION DE PROCESOS/6. CTO PUNTOS AEROPUERTOS Y GRANELES/"/>
    </mc:Choice>
  </mc:AlternateContent>
  <xr:revisionPtr revIDLastSave="1279" documentId="8_{BBFA49BF-A206-4303-B7EB-73400C8594BE}" xr6:coauthVersionLast="47" xr6:coauthVersionMax="47" xr10:uidLastSave="{84A57F3B-5576-438A-96D6-74307A343776}"/>
  <bookViews>
    <workbookView xWindow="-98" yWindow="-98" windowWidth="19396" windowHeight="11475" tabRatio="802" xr2:uid="{5A446BEF-623E-4D56-9464-B809FC1C8E75}"/>
  </bookViews>
  <sheets>
    <sheet name="PUNTOS AVIACION " sheetId="1" r:id="rId1"/>
    <sheet name="Puntos de Tanqueo" sheetId="2" r:id="rId2"/>
    <sheet name="Consumos Historicos x punto" sheetId="4" r:id="rId3"/>
    <sheet name="Diferencia Necesidad" sheetId="7" r:id="rId4"/>
    <sheet name="Historicos" sheetId="9" r:id="rId5"/>
    <sheet name="EDP" sheetId="8" r:id="rId6"/>
  </sheets>
  <externalReferences>
    <externalReference r:id="rId7"/>
  </externalReferences>
  <definedNames>
    <definedName name="_xlnm._FilterDatabase" localSheetId="0" hidden="1">'PUNTOS AVIACION '!$B$3:$G$31</definedName>
    <definedName name="_xlnm._FilterDatabase" localSheetId="1" hidden="1">'Puntos de Tanqueo'!$B$4:$L$193</definedName>
    <definedName name="DEPARTAMENTO">[1]Listas!$A$2:$A$34</definedName>
  </definedNames>
  <calcPr calcId="191028"/>
  <pivotCaches>
    <pivotCache cacheId="86" r:id="rId8"/>
    <pivotCache cacheId="87" r:id="rId9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8" l="1"/>
  <c r="P9" i="8"/>
  <c r="P8" i="8"/>
  <c r="U32" i="1" l="1"/>
  <c r="P32" i="1"/>
  <c r="C20" i="8"/>
  <c r="D20" i="8"/>
  <c r="E20" i="8"/>
  <c r="I6" i="8" s="1"/>
  <c r="E6" i="8"/>
  <c r="F4" i="7"/>
  <c r="C38" i="8"/>
  <c r="G6" i="8" l="1"/>
  <c r="G9" i="8" s="1"/>
  <c r="G10" i="8" s="1"/>
  <c r="F37" i="1"/>
  <c r="J11" i="1"/>
  <c r="J13" i="1"/>
  <c r="J5" i="1"/>
  <c r="J12" i="1"/>
  <c r="J7" i="1"/>
  <c r="J6" i="1"/>
  <c r="J29" i="1"/>
  <c r="J4" i="1"/>
  <c r="J20" i="1"/>
  <c r="J30" i="1"/>
  <c r="J9" i="1"/>
  <c r="J8" i="1"/>
  <c r="J27" i="1"/>
  <c r="J16" i="1"/>
  <c r="J22" i="1"/>
  <c r="J24" i="1"/>
  <c r="J19" i="1"/>
  <c r="J14" i="1"/>
  <c r="J15" i="1"/>
  <c r="J17" i="1"/>
  <c r="J21" i="1"/>
  <c r="J18" i="1"/>
  <c r="J10" i="1"/>
  <c r="J25" i="1"/>
  <c r="J28" i="1"/>
  <c r="J23" i="1"/>
  <c r="J31" i="1"/>
  <c r="J26" i="1"/>
  <c r="J32" i="1" l="1"/>
  <c r="T32" i="1"/>
  <c r="K30" i="1" l="1"/>
  <c r="K29" i="1"/>
  <c r="K11" i="1"/>
  <c r="K24" i="1"/>
  <c r="K13" i="1"/>
  <c r="K12" i="1"/>
  <c r="K27" i="1"/>
  <c r="K5" i="1"/>
  <c r="K22" i="1"/>
  <c r="K4" i="1"/>
  <c r="K6" i="1"/>
  <c r="K7" i="1"/>
  <c r="K9" i="1"/>
  <c r="K8" i="1"/>
  <c r="K28" i="1"/>
  <c r="K23" i="1"/>
  <c r="K10" i="1"/>
  <c r="K25" i="1"/>
  <c r="K31" i="1"/>
  <c r="K14" i="1"/>
  <c r="K20" i="1"/>
  <c r="K16" i="1"/>
  <c r="K17" i="1"/>
  <c r="K19" i="1"/>
  <c r="K21" i="1"/>
  <c r="K18" i="1"/>
  <c r="K15" i="1"/>
  <c r="K26" i="1"/>
  <c r="I30" i="1" l="1"/>
  <c r="L30" i="1" s="1"/>
  <c r="M30" i="1" s="1"/>
  <c r="I29" i="1"/>
  <c r="L29" i="1" s="1"/>
  <c r="M29" i="1" s="1"/>
  <c r="I11" i="1"/>
  <c r="L11" i="1" s="1"/>
  <c r="I24" i="1"/>
  <c r="L24" i="1" s="1"/>
  <c r="M24" i="1" s="1"/>
  <c r="I13" i="1"/>
  <c r="L13" i="1" s="1"/>
  <c r="M13" i="1" s="1"/>
  <c r="I12" i="1"/>
  <c r="L12" i="1" s="1"/>
  <c r="M12" i="1" s="1"/>
  <c r="I27" i="1"/>
  <c r="L27" i="1" s="1"/>
  <c r="M27" i="1" s="1"/>
  <c r="I5" i="1"/>
  <c r="L5" i="1" s="1"/>
  <c r="M5" i="1" s="1"/>
  <c r="I22" i="1"/>
  <c r="L22" i="1" s="1"/>
  <c r="M22" i="1" s="1"/>
  <c r="I4" i="1"/>
  <c r="L4" i="1" s="1"/>
  <c r="M4" i="1" s="1"/>
  <c r="I6" i="1"/>
  <c r="L6" i="1" s="1"/>
  <c r="M6" i="1" s="1"/>
  <c r="I7" i="1"/>
  <c r="L7" i="1" s="1"/>
  <c r="M7" i="1" s="1"/>
  <c r="I9" i="1"/>
  <c r="L9" i="1" s="1"/>
  <c r="M9" i="1" s="1"/>
  <c r="I8" i="1"/>
  <c r="L8" i="1" s="1"/>
  <c r="M8" i="1" s="1"/>
  <c r="I28" i="1"/>
  <c r="L28" i="1" s="1"/>
  <c r="M28" i="1" s="1"/>
  <c r="I23" i="1"/>
  <c r="L23" i="1" s="1"/>
  <c r="M23" i="1" s="1"/>
  <c r="I10" i="1"/>
  <c r="L10" i="1" s="1"/>
  <c r="M10" i="1" s="1"/>
  <c r="I25" i="1"/>
  <c r="L25" i="1" s="1"/>
  <c r="M25" i="1" s="1"/>
  <c r="I31" i="1"/>
  <c r="L31" i="1" s="1"/>
  <c r="M31" i="1" s="1"/>
  <c r="I14" i="1"/>
  <c r="L14" i="1" s="1"/>
  <c r="M14" i="1" s="1"/>
  <c r="I20" i="1"/>
  <c r="L20" i="1" s="1"/>
  <c r="M20" i="1" s="1"/>
  <c r="I16" i="1"/>
  <c r="L16" i="1" s="1"/>
  <c r="M16" i="1" s="1"/>
  <c r="I17" i="1"/>
  <c r="L17" i="1" s="1"/>
  <c r="M17" i="1" s="1"/>
  <c r="I19" i="1"/>
  <c r="L19" i="1" s="1"/>
  <c r="M19" i="1" s="1"/>
  <c r="I21" i="1"/>
  <c r="L21" i="1" s="1"/>
  <c r="M21" i="1" s="1"/>
  <c r="I18" i="1"/>
  <c r="L18" i="1" s="1"/>
  <c r="M18" i="1" s="1"/>
  <c r="I15" i="1"/>
  <c r="L15" i="1" s="1"/>
  <c r="M15" i="1" s="1"/>
  <c r="I26" i="1"/>
  <c r="L26" i="1" s="1"/>
  <c r="M26" i="1" s="1"/>
  <c r="M11" i="1" l="1"/>
  <c r="F39" i="1" s="1"/>
  <c r="L32" i="1"/>
  <c r="I32" i="1"/>
  <c r="H32" i="1"/>
  <c r="D4" i="7" l="1"/>
  <c r="F41" i="1"/>
  <c r="G4" i="7" s="1"/>
  <c r="M32" i="1"/>
  <c r="M34" i="1" s="1"/>
  <c r="N21" i="1"/>
  <c r="O21" i="1" s="1"/>
  <c r="N4" i="1"/>
  <c r="O4" i="1" s="1"/>
  <c r="N23" i="1"/>
  <c r="O23" i="1" s="1"/>
  <c r="N16" i="1"/>
  <c r="O16" i="1" s="1"/>
  <c r="N13" i="1"/>
  <c r="O13" i="1" s="1"/>
  <c r="N14" i="1"/>
  <c r="O14" i="1" s="1"/>
  <c r="N12" i="1"/>
  <c r="O12" i="1" s="1"/>
  <c r="N26" i="1"/>
  <c r="O26" i="1" s="1"/>
  <c r="N8" i="1"/>
  <c r="O8" i="1" s="1"/>
  <c r="N18" i="1"/>
  <c r="O18" i="1" s="1"/>
  <c r="N11" i="1"/>
  <c r="O11" i="1" s="1"/>
  <c r="N25" i="1"/>
  <c r="O25" i="1" s="1"/>
  <c r="N30" i="1"/>
  <c r="O30" i="1" s="1"/>
  <c r="N24" i="1"/>
  <c r="O24" i="1" s="1"/>
  <c r="N19" i="1"/>
  <c r="O19" i="1" s="1"/>
  <c r="N22" i="1"/>
  <c r="O22" i="1" s="1"/>
  <c r="N7" i="1"/>
  <c r="O7" i="1" s="1"/>
  <c r="N27" i="1"/>
  <c r="O27" i="1" s="1"/>
  <c r="N31" i="1"/>
  <c r="O31" i="1" s="1"/>
  <c r="N6" i="1"/>
  <c r="O6" i="1" s="1"/>
  <c r="N9" i="1"/>
  <c r="O9" i="1" s="1"/>
  <c r="N28" i="1"/>
  <c r="O28" i="1" s="1"/>
  <c r="N5" i="1"/>
  <c r="O5" i="1" s="1"/>
  <c r="N15" i="1"/>
  <c r="O15" i="1" s="1"/>
  <c r="N10" i="1"/>
  <c r="O10" i="1" s="1"/>
  <c r="N29" i="1"/>
  <c r="O29" i="1" s="1"/>
  <c r="N20" i="1"/>
  <c r="O20" i="1" s="1"/>
  <c r="N17" i="1"/>
  <c r="O17" i="1" s="1"/>
  <c r="M38" i="1" l="1"/>
  <c r="O32" i="1"/>
  <c r="F43" i="1" s="1"/>
  <c r="N32" i="1"/>
</calcChain>
</file>

<file path=xl/sharedStrings.xml><?xml version="1.0" encoding="utf-8"?>
<sst xmlns="http://schemas.openxmlformats.org/spreadsheetml/2006/main" count="1769" uniqueCount="452">
  <si>
    <t>COTIZACIONES</t>
  </si>
  <si>
    <t>PRECIO HISTORICO</t>
  </si>
  <si>
    <t>LOTE</t>
  </si>
  <si>
    <t>PUNTO</t>
  </si>
  <si>
    <t>MODALIDAD</t>
  </si>
  <si>
    <t>TIPO</t>
  </si>
  <si>
    <t>DEPARTAMENTO</t>
  </si>
  <si>
    <t>CIUDAD</t>
  </si>
  <si>
    <t>LUGAR</t>
  </si>
  <si>
    <t>Consumo (gal/día)</t>
  </si>
  <si>
    <t>Consumo (gal/mes)</t>
  </si>
  <si>
    <t>Margen Estimado</t>
  </si>
  <si>
    <t>Precio Combustible</t>
  </si>
  <si>
    <t>Cantidad Requerida (gal)</t>
  </si>
  <si>
    <t>Presupuesto Requerido</t>
  </si>
  <si>
    <t>% Total</t>
  </si>
  <si>
    <t>Presupuesto Asignado</t>
  </si>
  <si>
    <t>GAF</t>
  </si>
  <si>
    <t>ORGANIZACIÓN TERPEL S.A</t>
  </si>
  <si>
    <t xml:space="preserve">COMBUSTIBLES Y TRANSPORTES HERNANDEZ </t>
  </si>
  <si>
    <t>ENERGIZAR SAS</t>
  </si>
  <si>
    <t>FASTER FUEL SAS</t>
  </si>
  <si>
    <t>WFS</t>
  </si>
  <si>
    <t>OC 136963</t>
  </si>
  <si>
    <t>OC 161000</t>
  </si>
  <si>
    <t>AL ALA</t>
  </si>
  <si>
    <t>JET A-1</t>
  </si>
  <si>
    <t>CALDAS</t>
  </si>
  <si>
    <t>MANIZALES</t>
  </si>
  <si>
    <t>AEROPUERTO LA NUBIA</t>
  </si>
  <si>
    <t>No cotiza</t>
  </si>
  <si>
    <t>CAUCA</t>
  </si>
  <si>
    <t>GUAPI</t>
  </si>
  <si>
    <t>AEROPUERTO JUAN CASIANO SOLÍS</t>
  </si>
  <si>
    <t>POPAYÁN</t>
  </si>
  <si>
    <t>AEROPUERTO GUILLERMO LEÓN VALENCIA</t>
  </si>
  <si>
    <t>CHOCÓ</t>
  </si>
  <si>
    <t>QUIBDÓ</t>
  </si>
  <si>
    <t>AEROPUERTO EL CARAÑO</t>
  </si>
  <si>
    <t>GUAVIARE</t>
  </si>
  <si>
    <t>SAN JOSÉ DEL GUAVIARE</t>
  </si>
  <si>
    <t>AEROPUERTO JORGE ENRIQUE GONZÁLEZ TORRES</t>
  </si>
  <si>
    <t>LA GUAJIRA</t>
  </si>
  <si>
    <t>RIOHACHA</t>
  </si>
  <si>
    <t>AEROPUERTO INTERNACIONAL ALMIRANTE PADILLA</t>
  </si>
  <si>
    <t>GRANEL</t>
  </si>
  <si>
    <t>NORTE DE SANTANDER</t>
  </si>
  <si>
    <t>OCAÑA</t>
  </si>
  <si>
    <t>BATALLÓN DE INFANTERÍA NO. 15 "GR. FRANCISCO DE PAULA SANTANDER"</t>
  </si>
  <si>
    <t>QUINDÍO</t>
  </si>
  <si>
    <t>ARMENIA</t>
  </si>
  <si>
    <t>AEROPUERTO EL EDÉN</t>
  </si>
  <si>
    <t>SUCRE</t>
  </si>
  <si>
    <t>COROZAL</t>
  </si>
  <si>
    <t>AEROPUERTO LAS BRUJAS</t>
  </si>
  <si>
    <t>VALLE DEL CAUCA</t>
  </si>
  <si>
    <t>BUENAVENTURA</t>
  </si>
  <si>
    <t>AEROPUERTO GERARDO TOBAR LÓPEZ</t>
  </si>
  <si>
    <t>ANTIOQUIA</t>
  </si>
  <si>
    <t>CAUCASIA</t>
  </si>
  <si>
    <t>AEROPUERTO JUAN H WHITE</t>
  </si>
  <si>
    <t>Sin Respuesta</t>
  </si>
  <si>
    <t>HUILA</t>
  </si>
  <si>
    <t>NEIVA</t>
  </si>
  <si>
    <t>AEROPUERTO BENITO SALAS</t>
  </si>
  <si>
    <t>NARIÑO</t>
  </si>
  <si>
    <t>IPIALES</t>
  </si>
  <si>
    <t>AEROPUERTO SAN LUIS</t>
  </si>
  <si>
    <t>PASTO</t>
  </si>
  <si>
    <t>AEROPUERTO ANTONIO NARIÑO</t>
  </si>
  <si>
    <t>TUMACO</t>
  </si>
  <si>
    <t>AEROPUERTO LA FLORIDA</t>
  </si>
  <si>
    <t>PUTUMAYO</t>
  </si>
  <si>
    <t>PUERTO ASIS</t>
  </si>
  <si>
    <t>AEROPUERTO NACIONAL TRES DE MAYO</t>
  </si>
  <si>
    <t>COVEÑAS</t>
  </si>
  <si>
    <t>AEROPUERTO RAMIRO SALAZAR</t>
  </si>
  <si>
    <t>VICHADA</t>
  </si>
  <si>
    <t>PUERTO CARREÑO</t>
  </si>
  <si>
    <t>AEROPUERTO GERMAN OLANO</t>
  </si>
  <si>
    <t>AMAZONAS</t>
  </si>
  <si>
    <t>LETICIA</t>
  </si>
  <si>
    <t>AEROPUERTO INTERNACIONAL ALFREDO VÁSQUEZ COBO</t>
  </si>
  <si>
    <t>ARAUCA</t>
  </si>
  <si>
    <t>CAÑO LIMÓN</t>
  </si>
  <si>
    <t>BASE MILITAR CARI CARI DEL EJERCITO NACIONAL EN EL ÁREA GENERAL DEL BAEV NO. 16</t>
  </si>
  <si>
    <t>ATLÁNTICO</t>
  </si>
  <si>
    <t xml:space="preserve">BARRANQUILLA </t>
  </si>
  <si>
    <t>AEROPUERTO INTERNACIONAL ERNESTO CORTISSOZ</t>
  </si>
  <si>
    <t>BOLÍVAR</t>
  </si>
  <si>
    <t>SANTA ROSA DEL SUR</t>
  </si>
  <si>
    <t>BATALLÓN DE SELVA NO. 48 "PRÓCER MANUEL RODRÍGUEZ TORICES"</t>
  </si>
  <si>
    <t>BOYACÁ</t>
  </si>
  <si>
    <t>TUNJA</t>
  </si>
  <si>
    <t>PRIMERA BRIGADA DEL EJÉRCITO / AEROPOUERTO GSTAVO ROJAS PINILLA</t>
  </si>
  <si>
    <t>No se cotiza</t>
  </si>
  <si>
    <t>CAQUETÁ</t>
  </si>
  <si>
    <t>FLORENCIA</t>
  </si>
  <si>
    <t>AEROPUERTO GUSTAVO ARTUNDUAGA</t>
  </si>
  <si>
    <t>CESAR</t>
  </si>
  <si>
    <t>AGUACHICA</t>
  </si>
  <si>
    <t>BATALLÓN DE INSTRUCCIÓN, ENTRENAMIENTO Y REENTRENAMIENTO NO. 5 "ANDRÉS MARÍA ROSILLO"</t>
  </si>
  <si>
    <t>AV GAS</t>
  </si>
  <si>
    <t>TOLIMA</t>
  </si>
  <si>
    <t>IBAGUÉ</t>
  </si>
  <si>
    <t>AEROPUERTO PERALES</t>
  </si>
  <si>
    <t>CHAPARRAL</t>
  </si>
  <si>
    <t>BATALLÓN DE INGENIEROS DE DESMINADO HUMANITARIO #2</t>
  </si>
  <si>
    <t>No se Cotiza</t>
  </si>
  <si>
    <t>TOTAL</t>
  </si>
  <si>
    <t>TOTAL RECURSOS ASIGNADOS</t>
  </si>
  <si>
    <t>PRECIO COMBUSTIBLE</t>
  </si>
  <si>
    <t>TIEMPO REQUERIDO MESES</t>
  </si>
  <si>
    <t>TOTAL REQUERIDO $</t>
  </si>
  <si>
    <t>DIFERENCIA VALOR REQUERIDO</t>
  </si>
  <si>
    <t>CATÁLOGO DEL ACUERDO MARCO PARA EL SUMINISTRO DE COMBUSTIBLE DE AVIACIÓN II</t>
  </si>
  <si>
    <t>No.</t>
  </si>
  <si>
    <t>CIUDAD / MUNICIPIO</t>
  </si>
  <si>
    <t>MODALIDAD DE ENTREGA</t>
  </si>
  <si>
    <t>TIPO DE COMBUSTIBLE</t>
  </si>
  <si>
    <t>PUNTO DE TANQUEO</t>
  </si>
  <si>
    <t xml:space="preserve">Margen de Comercialización en pesos (COP) / Galón </t>
  </si>
  <si>
    <t>COMBUSTIBLES Y TRANSPORTES HERNANDEZ S.A</t>
  </si>
  <si>
    <t>FASTER FUEL S.A.S</t>
  </si>
  <si>
    <t>GLOBE AIR FUEL S.A.S</t>
  </si>
  <si>
    <t>WORLD FUEL SERVICES COMPANY</t>
  </si>
  <si>
    <t>A GRANEL</t>
  </si>
  <si>
    <t>JET A1</t>
  </si>
  <si>
    <t>AEROPUERTO HACARITAMA</t>
  </si>
  <si>
    <t>ANORÍ</t>
  </si>
  <si>
    <t>BASE MILITAR MONTAÑITA ANORÍ ANTIOQUIA</t>
  </si>
  <si>
    <t>APARTADÓ</t>
  </si>
  <si>
    <t>AEROPUERTO ANTONIO ROLDÁN BETANCOURT</t>
  </si>
  <si>
    <t>META</t>
  </si>
  <si>
    <t>APIAY</t>
  </si>
  <si>
    <t>COMANDO AÉREO DE COMBATE NO. 2 APIAY - META</t>
  </si>
  <si>
    <t>BATALLÓN DE SERVICIOS NO. 18</t>
  </si>
  <si>
    <t>AEROPUERTO SANTIAGO PÉREZ QUIROZ</t>
  </si>
  <si>
    <t>AEROPUERTO SANTIAGO PEREZ QUIROZ</t>
  </si>
  <si>
    <t>BAHIA MALAGA</t>
  </si>
  <si>
    <t>BASE NAVAL ARC  MALAGA - MUELLE PRINCIPAL DE UNIDADES MAYORES ( BUQUES )</t>
  </si>
  <si>
    <t>SANTANDER</t>
  </si>
  <si>
    <t>BARRANCABERMEJA</t>
  </si>
  <si>
    <t>BATALLÓN DE ARTILLERÍA DE DEFENSA AÉREA NO. 2 "NUEVA GRANADA"</t>
  </si>
  <si>
    <t>AEROPUERTO YARIGUÍES</t>
  </si>
  <si>
    <t>BARRANQUILLA</t>
  </si>
  <si>
    <t>GRUPO AERONAVAL DEL CARIBE - GANCA</t>
  </si>
  <si>
    <t>COMANDO AÉREO DE COMBATE NO. 3 - CACOM-3 - MALAMBO - ATLÁNTICO</t>
  </si>
  <si>
    <t>BELLO</t>
  </si>
  <si>
    <t>BATALLÓN DE INGENIEROS NO. 4 PEDRO NEL OSPINA</t>
  </si>
  <si>
    <t>BOGOTÁ D.C.</t>
  </si>
  <si>
    <t>GRUPO AERONAVAL CENTRAL - AEROPUERTO EL DORADO</t>
  </si>
  <si>
    <t>BATALLÓN DE ABASTECIMIENTOS Y SERVICIOS PARA LA AVIACIÓN</t>
  </si>
  <si>
    <t>COMANDO AÉREO DE TRANSPORTE MILITAR CATAM - AEROPUERTO EL DORADO</t>
  </si>
  <si>
    <t>COMPAÑÍA ANTINARCÓTICOS POLICÍA</t>
  </si>
  <si>
    <t>AEROPUERTO INTERNACIONAL EL DORADO</t>
  </si>
  <si>
    <t>BUCARAMANGA</t>
  </si>
  <si>
    <t>AEROPUERTO INTERNACIONAL PALONEGRO</t>
  </si>
  <si>
    <t>BASE NAVAL BAHIA MALAGA BN2</t>
  </si>
  <si>
    <t>BUENAVISTA</t>
  </si>
  <si>
    <t>FUERTE MILITAR BUENAVISTA BATALLÓN RONDÓN BUENAVISTA GUAJIRA</t>
  </si>
  <si>
    <t>CALAMAR</t>
  </si>
  <si>
    <t>BATALLÓN DE INFANTERÍA DE SELVA NO. 24 “GR. LUIS CARLOS CAMACHO LEYVA”</t>
  </si>
  <si>
    <t>CALI</t>
  </si>
  <si>
    <t>BATALLÓN DE LOS SERVICIOS NO. 3</t>
  </si>
  <si>
    <t>ESCUELA MILITAR DE AVIACIÓN - EMAVI</t>
  </si>
  <si>
    <t>AEROPUERTO INTERNACIONAL ALFONSO BONILLA ARAGÓN</t>
  </si>
  <si>
    <t>CAREPA</t>
  </si>
  <si>
    <t>BATALLÓN DE ASPC NO. 17 CLARA ELISA NARVÁEZ ARTEAGA</t>
  </si>
  <si>
    <t>CARTAGENA</t>
  </si>
  <si>
    <t>AEROPUERTO INTERNACIONAL RAFAEL NÚÑEZ</t>
  </si>
  <si>
    <t>ESTACION AERONAVAL DE CARTAGENA</t>
  </si>
  <si>
    <t>BASE NAVAL ARC BOLIVAR, MUELLE PRINCIPAL BN1</t>
  </si>
  <si>
    <t>CARTAGENA DEL CHAIRÁ</t>
  </si>
  <si>
    <t>BASE MILITAR IDEMA CARTAGENA DEL CHAIRÁ</t>
  </si>
  <si>
    <t>CARTAGO</t>
  </si>
  <si>
    <t>AEROPUERTO SANTA ANA</t>
  </si>
  <si>
    <t>BATALLÓN DE INFANTERÍA AEROTRANSPORTADO NO. 31 "RIFLES"</t>
  </si>
  <si>
    <t>AEROPUERTO JUAN H. WHITE</t>
  </si>
  <si>
    <t>BATALLÓN DE INFANTERÍA NO. 17 "GR. DOMINGO CAICEDO"</t>
  </si>
  <si>
    <t>BRIGADA DE INFANTERÍA DE MARINA NO. 1 - COROZAL - SUCRE</t>
  </si>
  <si>
    <t>CÚCUTA</t>
  </si>
  <si>
    <t>AEROPUERTO INTERNACIONAL CAMILO DAZA</t>
  </si>
  <si>
    <t>BATALLÓN ASPC NO. 30 GUASIMALES</t>
  </si>
  <si>
    <t>CUMARIBO</t>
  </si>
  <si>
    <t>BATALLÓN DE INFANTERÍA MOTORIZADO NO. 43 "GR. EFRAÍN ROJAS ACEVEDO"</t>
  </si>
  <si>
    <t>AEROPUERTO CUMARIBO</t>
  </si>
  <si>
    <t>AERÓDROMO CUMARIBO</t>
  </si>
  <si>
    <t>EL BAGRE</t>
  </si>
  <si>
    <t>BATALLÓN ESPECIAL ENERGÉTICO VIAL Y MINERO- BAEEV NO. 5 EL BAGRE ANTIOQUIA</t>
  </si>
  <si>
    <t>AEROPUERTO EL TOMÍN</t>
  </si>
  <si>
    <t>MAGDALENA</t>
  </si>
  <si>
    <t>EL BANCO</t>
  </si>
  <si>
    <t>BASE MILITAR DEL BANCO MAGDALENA</t>
  </si>
  <si>
    <t>CUNDINAMARCA</t>
  </si>
  <si>
    <t>GIRARDOT</t>
  </si>
  <si>
    <t>AEROPUERTO SANTIAGO VILA</t>
  </si>
  <si>
    <t>GUALTAL</t>
  </si>
  <si>
    <t>BATALLÓN DE SELVA NO. 53</t>
  </si>
  <si>
    <t>GUAYMARAL</t>
  </si>
  <si>
    <t>AEROPUERTO FLAMINIO SUÁREZ CAMACHO - GUAYMARAL</t>
  </si>
  <si>
    <t>CANTÓN MILITAR JAIME ROOKE</t>
  </si>
  <si>
    <t>JUANCHACO</t>
  </si>
  <si>
    <t>UNIDAD MILITAR JUANCHACO</t>
  </si>
  <si>
    <t>LA MACARENA</t>
  </si>
  <si>
    <t>AEROPUERTO JAVIER NOREÑA VALENCIA</t>
  </si>
  <si>
    <t>LA PLATA</t>
  </si>
  <si>
    <t>BATALLÓN DE INSTRUCCIÓN, ENTRENAMIENTO Y REENTRENAMIENTO NO. 9" VICENTE DE LA ROCHA Y FLÓREZ"</t>
  </si>
  <si>
    <t>LA URIBE</t>
  </si>
  <si>
    <t>AEROPUERTO LA URIBE</t>
  </si>
  <si>
    <t>AERÓDROMO LA URIBE</t>
  </si>
  <si>
    <t>BATALLÓN DE INFANTERÍA NO. 29 "TC. GERMÁN OCAMPO HERRERA"</t>
  </si>
  <si>
    <t>LARANDIA</t>
  </si>
  <si>
    <t>BATALLÓN DE MANIOBRA DE AVIACIÓN NO. 6 "TE. JULIO TURRIAGO HINCAPIÉ" / COMPAÑÍA ANTINARCÓTICOS POLICÍA</t>
  </si>
  <si>
    <t>BATALLÓN DE APOYO DE SERVICIOS CONTRA EL NARCOTRÁFICO</t>
  </si>
  <si>
    <t>LAS ANIMAS</t>
  </si>
  <si>
    <t>BATALLÓN DE INGENIEROS NO. 15 "GR. JULIO LONDOÑO LONDOÑO"</t>
  </si>
  <si>
    <t>GRUPO AÉREO DEL AMAZONAS GAAMA - LETICIA</t>
  </si>
  <si>
    <t>MADRID</t>
  </si>
  <si>
    <t>COMANDO AÉREO DE MANTENIMIENTO - CAMAN - MADRID - CUNDINAMARCA</t>
  </si>
  <si>
    <t>MAICAO</t>
  </si>
  <si>
    <t>GRUPO DE CABALLERÍA BLINDADO MEDIANO "GR. GUSTAVO MATAMOROS D´COSTA"</t>
  </si>
  <si>
    <t>AEROPUERTO JORGE ISAACS</t>
  </si>
  <si>
    <t>AEROPUERTO LA MAJAYURA</t>
  </si>
  <si>
    <t>MAPIRIPÁN</t>
  </si>
  <si>
    <t>BASE MILITAR MAPIRIPÁN</t>
  </si>
  <si>
    <t>MARIQUITA</t>
  </si>
  <si>
    <t>AEROPUERTO JOSE CELESTINO MUTIS</t>
  </si>
  <si>
    <t>MEDELLÍN</t>
  </si>
  <si>
    <t>AEROPUERTO OLAYA HERRERA</t>
  </si>
  <si>
    <t>MELGAR</t>
  </si>
  <si>
    <t>COMANDO AÉREO DE COMBATE NO. 4 - CACOM-4 - MELGAR - TOLIMA</t>
  </si>
  <si>
    <t>MIRANDA</t>
  </si>
  <si>
    <t>BASE MILITAR MIRANDA</t>
  </si>
  <si>
    <t>VAUPÉS</t>
  </si>
  <si>
    <t>MITÚ</t>
  </si>
  <si>
    <t>AEROPUERTO FABIO ALBERTO LEON BENTLEY</t>
  </si>
  <si>
    <t xml:space="preserve">AEROPUERTO FABIO ALBERTO LEÓN BENTLEY </t>
  </si>
  <si>
    <t>AEROPUERTO FABIO ALBERTO LEÓN BENTLEY</t>
  </si>
  <si>
    <t>CORDOBA</t>
  </si>
  <si>
    <t>MONTERÍA</t>
  </si>
  <si>
    <t>DÉCIMA PRIMERA BRIGADA</t>
  </si>
  <si>
    <t>AEROPUERTO INTERNACIONAL LOS GARZONES</t>
  </si>
  <si>
    <t>MUTATÁ</t>
  </si>
  <si>
    <t>BASE MILITAR DE MUTATÁ (ANTIOQUIA)</t>
  </si>
  <si>
    <t>NECOCLÍ</t>
  </si>
  <si>
    <t>AEROPUERTO NECOCLÍ</t>
  </si>
  <si>
    <t>BATALLÓN DE ARTILLERÍA NO. 9 "TENERIFE"</t>
  </si>
  <si>
    <t>BRIGADA EJERCITO</t>
  </si>
  <si>
    <t>NILO</t>
  </si>
  <si>
    <t>FUERTE MILITAR DE TOLEMAIDA</t>
  </si>
  <si>
    <t>PATÍA</t>
  </si>
  <si>
    <t>BATALLÓN DE INSTRUCCIÓN, ENTRENAMIENTO Y REENTRENAMIENTO NO. 29 "CAMILLO TORRES TENORIO" EL ESTRECHO</t>
  </si>
  <si>
    <t>CASANARE</t>
  </si>
  <si>
    <t>PAZ DE ARIPORO</t>
  </si>
  <si>
    <t>BASE MILITAR DE PAZ DE ARIPORO</t>
  </si>
  <si>
    <t>RISARALDA</t>
  </si>
  <si>
    <t>PEREIRA</t>
  </si>
  <si>
    <t>AEROPUERTO INTERNACIONAL MATECAÑA</t>
  </si>
  <si>
    <t>PITALITO</t>
  </si>
  <si>
    <t>BATALLÓN DE INFANTERÍA NO. 27 "MAGDALENA"</t>
  </si>
  <si>
    <t>PLANADAS</t>
  </si>
  <si>
    <t>BATALLÓN DE COMBATE TERRESTRE NO. 18</t>
  </si>
  <si>
    <t>BATALLÓN DE MANIOBRA DE AVIACIÓN NO. 3 "TE. EDUARDO VILLAMIL BERMÉO"</t>
  </si>
  <si>
    <t>PUERTO BERRÍO</t>
  </si>
  <si>
    <t>BATALLÓN DE INFANTERÍA N° 42 BATALLA DE BOMBONÁ</t>
  </si>
  <si>
    <t>PUERTO BOYACÁ</t>
  </si>
  <si>
    <t>UNIDAD MILITAR VELASQUEZ</t>
  </si>
  <si>
    <t>AEROPUERTO GERMÁN OLANO</t>
  </si>
  <si>
    <t>GUAINÍA</t>
  </si>
  <si>
    <t>PUERTO INÍRIDA</t>
  </si>
  <si>
    <t>AEROPUERTO CESAR GAVIRIA TRUJILLO</t>
  </si>
  <si>
    <t>PUERTO JORDÁN</t>
  </si>
  <si>
    <t>BATALLÓN DE ARTILLERÍA NO. 18 MANTILLA SAN MIGUEL</t>
  </si>
  <si>
    <t>PUERTO LEGUIZAMO</t>
  </si>
  <si>
    <t>AEROPUERTO CAUCAYA</t>
  </si>
  <si>
    <t>PUERTO LIBERTADOR</t>
  </si>
  <si>
    <t>BATALLÓN DE OPERACIONES TERRESTRES NO. 23 BASE MILITAR CARBONES</t>
  </si>
  <si>
    <t>PUERTO RICO</t>
  </si>
  <si>
    <t>BATALLÓN DE OPERACIONES TERRESTRES NO. 20 BASE MILITAR EL CARMELO</t>
  </si>
  <si>
    <t>BATALLÓN DE OPERACIONES TERRESTRE NO. 4</t>
  </si>
  <si>
    <t>AEROPUERTO PUERTO RICO</t>
  </si>
  <si>
    <t>PUERTO SALGAR</t>
  </si>
  <si>
    <t>COMANDO AÉREO DE COMBATE NO. 1 - CACOM-1 - PUERTO SALGAR - CUNDINAMARCA</t>
  </si>
  <si>
    <t>BATALLÓN DE SERVICIOS  NO. 15 BASE MILITAR EL CARAÑO</t>
  </si>
  <si>
    <t>RIONEGRO</t>
  </si>
  <si>
    <t>COMANDO AÉREO DE COMBATE NO. 5 - CACOM-5 - RIONEGRO - ANTIOQUIA</t>
  </si>
  <si>
    <t>AEROPUERTO INTERNACIONAL JOSÉ MARÍA CÓRDOVA</t>
  </si>
  <si>
    <t>SAN ANDRÉS Y PROVIDENCIA</t>
  </si>
  <si>
    <t>SAN ANDRÉS</t>
  </si>
  <si>
    <t>AEROPUERTO GUSTAVO ROJAS PINILLA</t>
  </si>
  <si>
    <t>BATALLÓN DE APOYO Y SERVICIOS NO. 22</t>
  </si>
  <si>
    <t>SAN VICENTE DEL CAGUÁN</t>
  </si>
  <si>
    <t>AEROPUERTO EDUARDO FALLA SOLANO</t>
  </si>
  <si>
    <t>SANTA ANA</t>
  </si>
  <si>
    <t>BATALLÓN DE ARTILLERÍA NO. 27 "GR. LUIS ERNESTO ORDOÑEZ CASTILLO"</t>
  </si>
  <si>
    <t>SANTA MARTA</t>
  </si>
  <si>
    <t>FUERTE MILITAR SAN FERNANDO / COMPAÑÍA ANTINARCÓTICOS POLICÍA</t>
  </si>
  <si>
    <t>AEROPUERTO INTERNACIONAL SIMÓN BOLÍVAR</t>
  </si>
  <si>
    <t>SARAVENA</t>
  </si>
  <si>
    <t>AEROPUERTO LOS COLONIZADORES</t>
  </si>
  <si>
    <t>BATALLÓN DE MOVILIDAD Y MANIOBRA NO 8</t>
  </si>
  <si>
    <t>SEGOVIA</t>
  </si>
  <si>
    <t>BATALLÓN ESPECIAL ENERGÉTICO Y VIAL NO. 8 "MY. MARIO SERPA CUESTO"</t>
  </si>
  <si>
    <t>TAME</t>
  </si>
  <si>
    <t>BATALLÓN DE INGENIEROS NO. 18 "GR. RAFAEL NAVAS PARDO"</t>
  </si>
  <si>
    <t>AEROPUERTO GABRIEL VARGAS SANTOS</t>
  </si>
  <si>
    <t>TARAZÁ</t>
  </si>
  <si>
    <t>BATALLÓN DE OPERACIONES TERRESTRES #24</t>
  </si>
  <si>
    <t>TRES ESQUINAS</t>
  </si>
  <si>
    <t>COMANDO AÉREO DE COMBATE NO. 6 - CACOM-6 - TRES ESQUINAS - CAQUETÁ</t>
  </si>
  <si>
    <t>TUCURINCA</t>
  </si>
  <si>
    <t>BASE MILITAR DE TUCURINCA</t>
  </si>
  <si>
    <t>TULUÁ</t>
  </si>
  <si>
    <t xml:space="preserve">AEROPUERTO HERIBERTO GIL MARTÍNEZ </t>
  </si>
  <si>
    <t>FUERZA DE TAREA HÉRCULES.</t>
  </si>
  <si>
    <t>BATALLÓN DE INFANTERÍA NO 4</t>
  </si>
  <si>
    <t>URIBIA</t>
  </si>
  <si>
    <t>AEROPUERTO PUERTO BOLÍVAR</t>
  </si>
  <si>
    <t>URRAO</t>
  </si>
  <si>
    <t>BATALLÓN NUTIBARA BASE MILITAR BUENOS AIRES</t>
  </si>
  <si>
    <t>VALLEDUPAR</t>
  </si>
  <si>
    <t>BATALLÓN DE ARTILLERÍA NO. 2 LA POPA</t>
  </si>
  <si>
    <t>AEROPUERTO ALFONSO LÓPEZ PUMAREJO</t>
  </si>
  <si>
    <t>VILLAGARZÓN</t>
  </si>
  <si>
    <t>AEROPUERTO VILLA GARZÓN</t>
  </si>
  <si>
    <t>AEROPUERTO CANANGUCHAL</t>
  </si>
  <si>
    <t>VILLAVICENCIO</t>
  </si>
  <si>
    <t>AEROPUERTO VANGUARDIA</t>
  </si>
  <si>
    <t>VISTA HERMOSA</t>
  </si>
  <si>
    <t>BATALLÓN DE OPERACIONES TERRESTRES NO. 6</t>
  </si>
  <si>
    <t>YOPAL</t>
  </si>
  <si>
    <t>BATALLÓN DE SERVICIOS NO. 16</t>
  </si>
  <si>
    <t>AEROPUERTO EL ALCARAVÁN</t>
  </si>
  <si>
    <t>GRUPO AÉREO DEL CASANARE - GACAS - YOPAL - CASANARE</t>
  </si>
  <si>
    <t>Arauca</t>
  </si>
  <si>
    <t>Cravo Norte</t>
  </si>
  <si>
    <t>BATALLÓN DE ARTILLERÍA NO 18 “GENERAL JOSÉ MARÍA MANTILLA”</t>
  </si>
  <si>
    <t>Guainía</t>
  </si>
  <si>
    <t>Barrancominas</t>
  </si>
  <si>
    <t>BASE MILITAR EJERCITO NACIONAL - BARRANCOMINAS</t>
  </si>
  <si>
    <t>Putumayo</t>
  </si>
  <si>
    <t>Puerto Asis</t>
  </si>
  <si>
    <t>TIPO COMBUSTIBLE</t>
  </si>
  <si>
    <t>CONSUMO (Gal/Día)</t>
  </si>
  <si>
    <t>JET-A1</t>
  </si>
  <si>
    <t>CUCUTA</t>
  </si>
  <si>
    <t>SAN ANDRES</t>
  </si>
  <si>
    <t>ARARACUARA</t>
  </si>
  <si>
    <t>TIBÚ</t>
  </si>
  <si>
    <t>APARTADO</t>
  </si>
  <si>
    <t>PUERTO BOLIVAR</t>
  </si>
  <si>
    <t>BOGOTA</t>
  </si>
  <si>
    <t>VILLAGARZON</t>
  </si>
  <si>
    <t>MACARENA</t>
  </si>
  <si>
    <t>MEDELLIN</t>
  </si>
  <si>
    <t>SAN VICENTE DEL CAGUAN</t>
  </si>
  <si>
    <t>IBAGUE</t>
  </si>
  <si>
    <t>AVGAS</t>
  </si>
  <si>
    <t>PUERTO BERRIO</t>
  </si>
  <si>
    <t>GRANADA</t>
  </si>
  <si>
    <t>FLANDES</t>
  </si>
  <si>
    <t>CAPURGANA</t>
  </si>
  <si>
    <t>SINCELEJO</t>
  </si>
  <si>
    <t>TOLEMAIDA</t>
  </si>
  <si>
    <t>URIBE</t>
  </si>
  <si>
    <t>ÍTEM </t>
  </si>
  <si>
    <t>REQUERIMIENTO GENERAL </t>
  </si>
  <si>
    <t>NECESIDAD REAL </t>
  </si>
  <si>
    <t>EXISTENCIAS ALMACÉN  </t>
  </si>
  <si>
    <t>CANTIDAD AUTORIZADA PRESUPUESTO </t>
  </si>
  <si>
    <t>CANTIDAD FALTANTE </t>
  </si>
  <si>
    <t>1 </t>
  </si>
  <si>
    <t>COMBUSTIBLE AVIACIÓN EN PUNTOS REQUERIDOS</t>
  </si>
  <si>
    <t>N/A</t>
  </si>
  <si>
    <t>No Contrato</t>
  </si>
  <si>
    <t>Proveedor</t>
  </si>
  <si>
    <t>Tipo Combustible</t>
  </si>
  <si>
    <t>Modalidad de entrega</t>
  </si>
  <si>
    <t>Departamento</t>
  </si>
  <si>
    <t>Punto o Lugar de Suministro</t>
  </si>
  <si>
    <t>FASTER</t>
  </si>
  <si>
    <t>ALA</t>
  </si>
  <si>
    <t>BARRANCOMINAS</t>
  </si>
  <si>
    <t>CRAVO NORTE</t>
  </si>
  <si>
    <t>Producto a contratar</t>
  </si>
  <si>
    <t>Cantidad autorizada CPA</t>
  </si>
  <si>
    <t>Adquisiciones últimos años en concordancia con la consulta SILOG</t>
  </si>
  <si>
    <t>2025 </t>
  </si>
  <si>
    <t>CANT.</t>
  </si>
  <si>
    <t>VALOR</t>
  </si>
  <si>
    <t>UNITARIO</t>
  </si>
  <si>
    <t>COMBUSTIBLE DE AVIACIÓN JET A-1</t>
  </si>
  <si>
    <t>GLOBAL</t>
  </si>
  <si>
    <t>Row Labels</t>
  </si>
  <si>
    <t>Sum of Presupuesto Asignado</t>
  </si>
  <si>
    <t>SMMLV</t>
  </si>
  <si>
    <t>Grand Total</t>
  </si>
  <si>
    <t>036-00-A-COFAC-
DILOA-2023
ENERGIZAR</t>
  </si>
  <si>
    <t>036-01-A-COFAC-
DILOA-2023
CTH</t>
  </si>
  <si>
    <t>036-02-A-COFAC-
DILOA-2023
GLOBE AIR FUEL SAS</t>
  </si>
  <si>
    <t>059-04-A-COFAC-
JELOG-2023
FASTER FUEL</t>
  </si>
  <si>
    <t>oc 136963</t>
  </si>
  <si>
    <t>OC150544</t>
  </si>
  <si>
    <t>Sum of TOTAL (por punto)</t>
  </si>
  <si>
    <t>FASTER FUEL S.A.S.</t>
  </si>
  <si>
    <t>GLOBE AIR FUEL S.A.S.</t>
  </si>
  <si>
    <t>TERPEL S.A.</t>
  </si>
  <si>
    <t>TRANSPORTES HERNÁNDEZ S.A.S.</t>
  </si>
  <si>
    <t>WORLD FUEL SERVICES LLC</t>
  </si>
  <si>
    <t>Punto / Ciudad – Lugar</t>
  </si>
  <si>
    <t>Modalidad</t>
  </si>
  <si>
    <t>Tipo</t>
  </si>
  <si>
    <t>Nº Contrato</t>
  </si>
  <si>
    <t>TOTAL (por punto)</t>
  </si>
  <si>
    <t>Leticia – Aeropuerto Alfredo Vásquez Cobo</t>
  </si>
  <si>
    <t>Al Ala</t>
  </si>
  <si>
    <t>Jet A-1</t>
  </si>
  <si>
    <t>158-00</t>
  </si>
  <si>
    <t>Caucasia – Aeropuerto Juan H White</t>
  </si>
  <si>
    <t>Caño Limón – Base Militar Cari Cari (Arauca)</t>
  </si>
  <si>
    <t>Granel</t>
  </si>
  <si>
    <t>158-02</t>
  </si>
  <si>
    <t>Barranquilla – Aeropuerto Ernesto Cortissoz</t>
  </si>
  <si>
    <t>Santa Rosa del Sur – Batallón de Selva No. 48</t>
  </si>
  <si>
    <t>158-04</t>
  </si>
  <si>
    <t>Tunja – Brigada / Aeropuerto Gustavo Rojas Pinilla</t>
  </si>
  <si>
    <t>Manizales – Aeropuerto La Nubia</t>
  </si>
  <si>
    <t>158-03</t>
  </si>
  <si>
    <t>Florencia – Aeropuerto Gustavo Artunduaga</t>
  </si>
  <si>
    <t>Guapi – Aeropuerto Juan Casiano Solís</t>
  </si>
  <si>
    <t>158-01</t>
  </si>
  <si>
    <t>Popayán – Aeropuerto Guillermo León Valencia</t>
  </si>
  <si>
    <t>Aguachica – Batallón de Instrucción No. 5</t>
  </si>
  <si>
    <t>Quibdó – Aeropuerto El Caraño</t>
  </si>
  <si>
    <t>San José del Guaviare – Aeropuerto Jorge Enrique González Torres</t>
  </si>
  <si>
    <t>Neiva – Aeropuerto Benito Salas</t>
  </si>
  <si>
    <t>Riohacha – Aeropuerto Almirante Padilla</t>
  </si>
  <si>
    <t>Ipiales – Aeropuerto San Luis</t>
  </si>
  <si>
    <t>Pasto – Aeropuerto Antonio Nariño</t>
  </si>
  <si>
    <t>Tumaco – Aeropuerto La Florida</t>
  </si>
  <si>
    <t>Ocaña – Batallón de Infantería No. 15</t>
  </si>
  <si>
    <t>Puerto Asís – Aeropuerto Tres de Mayo</t>
  </si>
  <si>
    <t>Armenia – Aeropuerto El Edén</t>
  </si>
  <si>
    <t>Corozal – Aeropuerto Las Brujas</t>
  </si>
  <si>
    <t>Coveñas – Aeropuerto Ramiro Salazar</t>
  </si>
  <si>
    <t>Ibagué – Aeropuerto Perales (AV Gas)</t>
  </si>
  <si>
    <t>AV Gas</t>
  </si>
  <si>
    <t>Ibagué – Aeropuerto Perales (Jet A-1)</t>
  </si>
  <si>
    <t>Chaparral – Batallón de Ingenieros de Desminado Humanitario #2</t>
  </si>
  <si>
    <t>Buenaventura – Aeropuerto Gerardo Tobar López</t>
  </si>
  <si>
    <t>Puerto Carreño – Aeropuerto Germán Olano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</si>
</sst>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#,##0_);[Red]\(&quot;$&quot;#,##0\)"/>
    <numFmt numFmtId="8" formatCode="&quot;$&quot;#,##0.00_);[Red]\(&quot;$&quot;#,##0.00\)"/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&quot;$&quot;\ #,##0"/>
    <numFmt numFmtId="167" formatCode="&quot;$&quot;\ #,##0.00"/>
    <numFmt numFmtId="168" formatCode="&quot;$&quot;#,##0.00"/>
    <numFmt numFmtId="169" formatCode="0.000%"/>
    <numFmt numFmtId="170" formatCode="&quot;$&quot;#,##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entury Gothic"/>
      <family val="2"/>
    </font>
    <font>
      <b/>
      <sz val="10"/>
      <color theme="0"/>
      <name val="Century Gothic"/>
      <family val="2"/>
    </font>
    <font>
      <sz val="8"/>
      <color theme="1" tint="4.9989318521683403E-2"/>
      <name val="Century Gothic"/>
      <family val="2"/>
    </font>
    <font>
      <sz val="8"/>
      <color theme="1"/>
      <name val="Century Gothic"/>
      <family val="2"/>
    </font>
    <font>
      <b/>
      <sz val="11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9"/>
      <color theme="0"/>
      <name val="Calibri"/>
      <family val="2"/>
      <scheme val="minor"/>
    </font>
    <font>
      <b/>
      <sz val="8"/>
      <color rgb="FFFFFFFF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  <fill>
      <patternFill patternType="solid">
        <fgColor rgb="FF92D050"/>
        <bgColor indexed="64"/>
      </patternFill>
    </fill>
    <fill>
      <patternFill patternType="solid">
        <fgColor rgb="FFD9E1F2"/>
        <bgColor rgb="FFD9E1F2"/>
      </patternFill>
    </fill>
    <fill>
      <patternFill patternType="solid">
        <fgColor rgb="FF00B05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222A35"/>
        <bgColor indexed="64"/>
      </patternFill>
    </fill>
    <fill>
      <patternFill patternType="solid">
        <fgColor theme="3" tint="-0.499984740745262"/>
        <bgColor theme="9"/>
      </patternFill>
    </fill>
    <fill>
      <patternFill patternType="solid">
        <fgColor theme="5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rgb="FF8EA9DB"/>
      </right>
      <top style="thin">
        <color rgb="FF8EA9DB"/>
      </top>
      <bottom style="thin">
        <color rgb="FF8EA9DB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9">
    <xf numFmtId="0" fontId="0" fillId="0" borderId="0" xfId="0"/>
    <xf numFmtId="0" fontId="2" fillId="0" borderId="0" xfId="2"/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166" fontId="6" fillId="0" borderId="7" xfId="1" applyNumberFormat="1" applyFont="1" applyBorder="1" applyAlignment="1" applyProtection="1">
      <alignment horizontal="center" vertical="center" wrapText="1"/>
    </xf>
    <xf numFmtId="166" fontId="6" fillId="0" borderId="8" xfId="1" applyNumberFormat="1" applyFont="1" applyBorder="1" applyAlignment="1" applyProtection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6" fontId="7" fillId="0" borderId="1" xfId="1" applyNumberFormat="1" applyFont="1" applyBorder="1" applyAlignment="1" applyProtection="1">
      <alignment horizontal="center" vertical="center" wrapText="1"/>
    </xf>
    <xf numFmtId="166" fontId="7" fillId="0" borderId="16" xfId="1" applyNumberFormat="1" applyFont="1" applyBorder="1" applyAlignment="1" applyProtection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166" fontId="6" fillId="0" borderId="1" xfId="1" applyNumberFormat="1" applyFont="1" applyBorder="1" applyAlignment="1" applyProtection="1">
      <alignment horizontal="center" vertical="center" wrapText="1"/>
    </xf>
    <xf numFmtId="166" fontId="6" fillId="0" borderId="16" xfId="1" applyNumberFormat="1" applyFont="1" applyBorder="1" applyAlignment="1" applyProtection="1">
      <alignment horizontal="center" vertical="center" wrapText="1"/>
    </xf>
    <xf numFmtId="167" fontId="6" fillId="0" borderId="1" xfId="1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6" fontId="6" fillId="0" borderId="1" xfId="1" applyNumberFormat="1" applyFont="1" applyBorder="1" applyAlignment="1" applyProtection="1">
      <alignment horizontal="center" vertical="center"/>
    </xf>
    <xf numFmtId="166" fontId="6" fillId="0" borderId="16" xfId="1" applyNumberFormat="1" applyFont="1" applyBorder="1" applyAlignment="1" applyProtection="1">
      <alignment horizontal="center" vertical="center"/>
    </xf>
    <xf numFmtId="166" fontId="6" fillId="0" borderId="1" xfId="1" applyNumberFormat="1" applyFont="1" applyFill="1" applyBorder="1" applyAlignment="1" applyProtection="1">
      <alignment horizontal="center" vertical="center" wrapText="1"/>
    </xf>
    <xf numFmtId="166" fontId="6" fillId="0" borderId="16" xfId="1" applyNumberFormat="1" applyFont="1" applyFill="1" applyBorder="1" applyAlignment="1" applyProtection="1">
      <alignment horizontal="center" vertical="center" wrapText="1"/>
    </xf>
    <xf numFmtId="166" fontId="0" fillId="0" borderId="1" xfId="0" applyNumberFormat="1" applyBorder="1"/>
    <xf numFmtId="166" fontId="0" fillId="0" borderId="16" xfId="0" applyNumberFormat="1" applyBorder="1"/>
    <xf numFmtId="0" fontId="7" fillId="0" borderId="1" xfId="0" applyFont="1" applyBorder="1" applyAlignment="1">
      <alignment horizontal="center" vertical="center"/>
    </xf>
    <xf numFmtId="166" fontId="0" fillId="4" borderId="1" xfId="0" applyNumberFormat="1" applyFill="1" applyBorder="1"/>
    <xf numFmtId="0" fontId="7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166" fontId="0" fillId="4" borderId="18" xfId="0" applyNumberFormat="1" applyFill="1" applyBorder="1"/>
    <xf numFmtId="166" fontId="6" fillId="0" borderId="19" xfId="1" applyNumberFormat="1" applyFont="1" applyBorder="1" applyAlignment="1" applyProtection="1">
      <alignment horizontal="center" vertical="center" wrapText="1"/>
    </xf>
    <xf numFmtId="0" fontId="0" fillId="5" borderId="21" xfId="0" applyFill="1" applyBorder="1"/>
    <xf numFmtId="0" fontId="0" fillId="5" borderId="22" xfId="0" applyFill="1" applyBorder="1"/>
    <xf numFmtId="0" fontId="0" fillId="0" borderId="21" xfId="0" applyBorder="1"/>
    <xf numFmtId="0" fontId="0" fillId="0" borderId="22" xfId="0" applyBorder="1"/>
    <xf numFmtId="0" fontId="8" fillId="6" borderId="21" xfId="0" applyFont="1" applyFill="1" applyBorder="1"/>
    <xf numFmtId="0" fontId="8" fillId="6" borderId="22" xfId="0" applyFont="1" applyFill="1" applyBorder="1"/>
    <xf numFmtId="2" fontId="2" fillId="0" borderId="0" xfId="2" applyNumberFormat="1"/>
    <xf numFmtId="0" fontId="3" fillId="0" borderId="0" xfId="2" applyFont="1"/>
    <xf numFmtId="168" fontId="2" fillId="0" borderId="0" xfId="2" applyNumberFormat="1"/>
    <xf numFmtId="4" fontId="9" fillId="8" borderId="23" xfId="0" applyNumberFormat="1" applyFont="1" applyFill="1" applyBorder="1" applyAlignment="1">
      <alignment horizontal="center" vertical="center"/>
    </xf>
    <xf numFmtId="0" fontId="2" fillId="9" borderId="0" xfId="2" applyFill="1"/>
    <xf numFmtId="0" fontId="2" fillId="7" borderId="0" xfId="2" applyFill="1"/>
    <xf numFmtId="0" fontId="0" fillId="0" borderId="0" xfId="0" pivotButton="1"/>
    <xf numFmtId="0" fontId="0" fillId="0" borderId="0" xfId="0" applyAlignment="1">
      <alignment horizontal="left"/>
    </xf>
    <xf numFmtId="0" fontId="2" fillId="0" borderId="0" xfId="2" applyAlignment="1">
      <alignment horizontal="right"/>
    </xf>
    <xf numFmtId="0" fontId="2" fillId="9" borderId="0" xfId="2" applyFill="1" applyAlignment="1">
      <alignment horizontal="right"/>
    </xf>
    <xf numFmtId="0" fontId="2" fillId="0" borderId="0" xfId="2" applyAlignment="1">
      <alignment horizontal="center"/>
    </xf>
    <xf numFmtId="0" fontId="2" fillId="9" borderId="0" xfId="2" applyFill="1" applyAlignment="1">
      <alignment horizontal="center"/>
    </xf>
    <xf numFmtId="0" fontId="2" fillId="0" borderId="0" xfId="2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4" fontId="11" fillId="0" borderId="1" xfId="1" applyNumberFormat="1" applyFont="1" applyBorder="1" applyAlignment="1">
      <alignment horizontal="center" vertical="center"/>
    </xf>
    <xf numFmtId="164" fontId="11" fillId="0" borderId="1" xfId="1" applyFont="1" applyFill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168" fontId="11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164" fontId="11" fillId="0" borderId="1" xfId="1" applyFont="1" applyBorder="1" applyAlignment="1">
      <alignment horizontal="center" vertical="center"/>
    </xf>
    <xf numFmtId="2" fontId="11" fillId="0" borderId="1" xfId="1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/>
    </xf>
    <xf numFmtId="169" fontId="11" fillId="0" borderId="0" xfId="0" applyNumberFormat="1" applyFont="1" applyAlignment="1">
      <alignment horizontal="center" vertical="center"/>
    </xf>
    <xf numFmtId="0" fontId="10" fillId="10" borderId="20" xfId="2" applyFont="1" applyFill="1" applyBorder="1" applyAlignment="1">
      <alignment horizontal="center" vertical="center" wrapText="1"/>
    </xf>
    <xf numFmtId="168" fontId="11" fillId="0" borderId="1" xfId="1" applyNumberFormat="1" applyFont="1" applyBorder="1" applyAlignment="1">
      <alignment horizontal="center" vertical="center"/>
    </xf>
    <xf numFmtId="168" fontId="11" fillId="0" borderId="1" xfId="2" applyNumberFormat="1" applyFont="1" applyBorder="1" applyAlignment="1">
      <alignment horizontal="center" vertical="center"/>
    </xf>
    <xf numFmtId="169" fontId="11" fillId="0" borderId="1" xfId="4" applyNumberFormat="1" applyFont="1" applyBorder="1" applyAlignment="1">
      <alignment horizontal="center" vertical="center"/>
    </xf>
    <xf numFmtId="167" fontId="11" fillId="0" borderId="1" xfId="2" applyNumberFormat="1" applyFont="1" applyBorder="1" applyAlignment="1">
      <alignment horizontal="center" vertical="center"/>
    </xf>
    <xf numFmtId="168" fontId="11" fillId="0" borderId="1" xfId="0" applyNumberFormat="1" applyFont="1" applyBorder="1" applyAlignment="1">
      <alignment horizontal="center" vertical="center"/>
    </xf>
    <xf numFmtId="10" fontId="11" fillId="0" borderId="1" xfId="4" applyNumberFormat="1" applyFont="1" applyBorder="1" applyAlignment="1">
      <alignment horizontal="center" vertical="center"/>
    </xf>
    <xf numFmtId="0" fontId="10" fillId="10" borderId="0" xfId="2" applyFont="1" applyFill="1" applyAlignment="1">
      <alignment horizontal="center" vertical="center" wrapText="1"/>
    </xf>
    <xf numFmtId="0" fontId="10" fillId="10" borderId="2" xfId="2" applyFont="1" applyFill="1" applyBorder="1" applyAlignment="1">
      <alignment horizontal="center" vertical="center" wrapText="1"/>
    </xf>
    <xf numFmtId="2" fontId="10" fillId="10" borderId="20" xfId="2" applyNumberFormat="1" applyFont="1" applyFill="1" applyBorder="1" applyAlignment="1">
      <alignment horizontal="center" vertical="center" wrapText="1"/>
    </xf>
    <xf numFmtId="168" fontId="11" fillId="0" borderId="1" xfId="3" applyNumberFormat="1" applyFont="1" applyBorder="1" applyAlignment="1">
      <alignment horizontal="center" vertical="center"/>
    </xf>
    <xf numFmtId="0" fontId="11" fillId="7" borderId="1" xfId="2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6" fontId="0" fillId="0" borderId="0" xfId="0" applyNumberFormat="1"/>
    <xf numFmtId="8" fontId="0" fillId="0" borderId="0" xfId="0" applyNumberFormat="1"/>
    <xf numFmtId="0" fontId="16" fillId="11" borderId="25" xfId="0" applyFont="1" applyFill="1" applyBorder="1" applyAlignment="1">
      <alignment horizontal="center" vertical="center" wrapText="1"/>
    </xf>
    <xf numFmtId="0" fontId="16" fillId="11" borderId="5" xfId="0" applyFont="1" applyFill="1" applyBorder="1" applyAlignment="1">
      <alignment horizontal="center" vertical="center" wrapText="1"/>
    </xf>
    <xf numFmtId="0" fontId="17" fillId="12" borderId="28" xfId="0" applyFont="1" applyFill="1" applyBorder="1" applyAlignment="1">
      <alignment horizontal="center" vertical="center" wrapText="1"/>
    </xf>
    <xf numFmtId="0" fontId="17" fillId="12" borderId="30" xfId="0" applyFont="1" applyFill="1" applyBorder="1" applyAlignment="1">
      <alignment horizontal="center" vertical="center" wrapText="1"/>
    </xf>
    <xf numFmtId="8" fontId="11" fillId="0" borderId="30" xfId="0" applyNumberFormat="1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1" fillId="0" borderId="29" xfId="0" applyFont="1" applyBorder="1" applyAlignment="1">
      <alignment horizontal="center" vertical="center" wrapText="1"/>
    </xf>
    <xf numFmtId="8" fontId="18" fillId="0" borderId="30" xfId="0" applyNumberFormat="1" applyFont="1" applyBorder="1" applyAlignment="1">
      <alignment horizontal="center" vertical="center" wrapText="1"/>
    </xf>
    <xf numFmtId="6" fontId="11" fillId="0" borderId="30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168" fontId="0" fillId="0" borderId="0" xfId="0" applyNumberFormat="1"/>
    <xf numFmtId="0" fontId="13" fillId="0" borderId="0" xfId="0" applyFont="1" applyAlignment="1">
      <alignment horizontal="center" vertical="center" wrapText="1"/>
    </xf>
    <xf numFmtId="6" fontId="0" fillId="0" borderId="0" xfId="0" applyNumberFormat="1" applyAlignment="1">
      <alignment vertical="center" wrapText="1"/>
    </xf>
    <xf numFmtId="0" fontId="0" fillId="0" borderId="0" xfId="0" applyAlignment="1">
      <alignment horizontal="center"/>
    </xf>
    <xf numFmtId="0" fontId="13" fillId="0" borderId="0" xfId="0" applyFont="1" applyAlignment="1">
      <alignment wrapText="1"/>
    </xf>
    <xf numFmtId="168" fontId="13" fillId="0" borderId="0" xfId="0" applyNumberFormat="1" applyFont="1"/>
    <xf numFmtId="168" fontId="11" fillId="0" borderId="20" xfId="0" applyNumberFormat="1" applyFont="1" applyBorder="1" applyAlignment="1">
      <alignment horizontal="center" vertical="center"/>
    </xf>
    <xf numFmtId="168" fontId="12" fillId="0" borderId="24" xfId="0" applyNumberFormat="1" applyFont="1" applyBorder="1" applyAlignment="1">
      <alignment horizontal="center" vertical="center" wrapText="1"/>
    </xf>
    <xf numFmtId="168" fontId="11" fillId="0" borderId="20" xfId="0" applyNumberFormat="1" applyFont="1" applyBorder="1" applyAlignment="1">
      <alignment horizontal="center" vertical="center" wrapText="1"/>
    </xf>
    <xf numFmtId="168" fontId="2" fillId="0" borderId="0" xfId="2" applyNumberFormat="1" applyAlignment="1">
      <alignment horizontal="center" vertical="center"/>
    </xf>
    <xf numFmtId="170" fontId="11" fillId="0" borderId="1" xfId="1" applyNumberFormat="1" applyFont="1" applyBorder="1" applyAlignment="1">
      <alignment horizontal="center" vertical="center"/>
    </xf>
    <xf numFmtId="170" fontId="11" fillId="0" borderId="1" xfId="1" applyNumberFormat="1" applyFont="1" applyFill="1" applyBorder="1" applyAlignment="1">
      <alignment horizontal="center" vertical="center"/>
    </xf>
    <xf numFmtId="170" fontId="11" fillId="0" borderId="1" xfId="2" applyNumberFormat="1" applyFont="1" applyBorder="1" applyAlignment="1">
      <alignment horizontal="center" vertical="center"/>
    </xf>
    <xf numFmtId="170" fontId="11" fillId="0" borderId="0" xfId="0" applyNumberFormat="1" applyFont="1" applyAlignment="1">
      <alignment horizontal="center" vertical="center"/>
    </xf>
    <xf numFmtId="0" fontId="20" fillId="4" borderId="32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20" fillId="4" borderId="33" xfId="0" applyFont="1" applyFill="1" applyBorder="1" applyAlignment="1">
      <alignment horizontal="center" vertical="center" wrapText="1"/>
    </xf>
    <xf numFmtId="0" fontId="20" fillId="4" borderId="34" xfId="0" applyFont="1" applyFill="1" applyBorder="1" applyAlignment="1">
      <alignment horizontal="center" vertical="center"/>
    </xf>
    <xf numFmtId="0" fontId="20" fillId="4" borderId="34" xfId="0" applyFont="1" applyFill="1" applyBorder="1" applyAlignment="1">
      <alignment horizontal="center" vertical="center" wrapText="1"/>
    </xf>
    <xf numFmtId="0" fontId="23" fillId="11" borderId="31" xfId="0" applyFont="1" applyFill="1" applyBorder="1" applyAlignment="1">
      <alignment horizontal="center" vertical="center" wrapText="1"/>
    </xf>
    <xf numFmtId="0" fontId="23" fillId="11" borderId="35" xfId="0" applyFont="1" applyFill="1" applyBorder="1" applyAlignment="1">
      <alignment horizontal="center" vertical="center" wrapText="1"/>
    </xf>
    <xf numFmtId="168" fontId="20" fillId="4" borderId="1" xfId="1" applyNumberFormat="1" applyFont="1" applyFill="1" applyBorder="1" applyAlignment="1">
      <alignment horizontal="center" vertical="center"/>
    </xf>
    <xf numFmtId="168" fontId="0" fillId="4" borderId="0" xfId="1" applyNumberFormat="1" applyFont="1" applyFill="1"/>
    <xf numFmtId="168" fontId="20" fillId="4" borderId="34" xfId="1" applyNumberFormat="1" applyFont="1" applyFill="1" applyBorder="1" applyAlignment="1">
      <alignment horizontal="center" vertical="center"/>
    </xf>
    <xf numFmtId="168" fontId="22" fillId="4" borderId="1" xfId="1" applyNumberFormat="1" applyFont="1" applyFill="1" applyBorder="1" applyAlignment="1">
      <alignment horizontal="center" vertical="center"/>
    </xf>
    <xf numFmtId="168" fontId="22" fillId="4" borderId="2" xfId="1" applyNumberFormat="1" applyFont="1" applyFill="1" applyBorder="1" applyAlignment="1">
      <alignment horizontal="center" vertical="center"/>
    </xf>
    <xf numFmtId="0" fontId="8" fillId="13" borderId="0" xfId="0" applyFont="1" applyFill="1" applyAlignment="1">
      <alignment horizontal="center" vertical="center"/>
    </xf>
    <xf numFmtId="0" fontId="2" fillId="14" borderId="0" xfId="2" applyFill="1"/>
    <xf numFmtId="0" fontId="10" fillId="10" borderId="35" xfId="2" applyFont="1" applyFill="1" applyBorder="1" applyAlignment="1">
      <alignment horizontal="center" vertical="center" wrapText="1"/>
    </xf>
    <xf numFmtId="0" fontId="10" fillId="10" borderId="24" xfId="2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/>
    </xf>
    <xf numFmtId="168" fontId="22" fillId="4" borderId="34" xfId="1" applyNumberFormat="1" applyFont="1" applyFill="1" applyBorder="1" applyAlignment="1">
      <alignment horizontal="center" vertical="center"/>
    </xf>
    <xf numFmtId="168" fontId="21" fillId="4" borderId="1" xfId="1" applyNumberFormat="1" applyFont="1" applyFill="1" applyBorder="1" applyAlignment="1">
      <alignment horizontal="center" vertical="center"/>
    </xf>
    <xf numFmtId="168" fontId="20" fillId="4" borderId="0" xfId="1" applyNumberFormat="1" applyFont="1" applyFill="1" applyBorder="1" applyAlignment="1">
      <alignment horizontal="center" vertical="center"/>
    </xf>
    <xf numFmtId="168" fontId="0" fillId="4" borderId="1" xfId="1" applyNumberFormat="1" applyFont="1" applyFill="1" applyBorder="1"/>
    <xf numFmtId="168" fontId="24" fillId="0" borderId="0" xfId="2" applyNumberFormat="1" applyFont="1"/>
    <xf numFmtId="3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6" fontId="15" fillId="0" borderId="13" xfId="0" applyNumberFormat="1" applyFont="1" applyBorder="1" applyAlignment="1">
      <alignment horizontal="center" vertical="center" wrapText="1"/>
    </xf>
    <xf numFmtId="6" fontId="15" fillId="0" borderId="26" xfId="0" applyNumberFormat="1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8" fontId="15" fillId="0" borderId="13" xfId="0" applyNumberFormat="1" applyFont="1" applyBorder="1" applyAlignment="1">
      <alignment horizontal="center" vertical="center" wrapText="1"/>
    </xf>
    <xf numFmtId="8" fontId="15" fillId="0" borderId="26" xfId="0" applyNumberFormat="1" applyFont="1" applyBorder="1" applyAlignment="1">
      <alignment horizontal="center" vertical="center" wrapText="1"/>
    </xf>
    <xf numFmtId="0" fontId="17" fillId="12" borderId="13" xfId="0" applyFont="1" applyFill="1" applyBorder="1" applyAlignment="1">
      <alignment horizontal="center" vertical="center" wrapText="1"/>
    </xf>
    <xf numFmtId="0" fontId="17" fillId="12" borderId="27" xfId="0" applyFont="1" applyFill="1" applyBorder="1" applyAlignment="1">
      <alignment horizontal="center" vertical="center" wrapText="1"/>
    </xf>
    <xf numFmtId="0" fontId="17" fillId="12" borderId="29" xfId="0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horizontal="center" vertical="center" wrapText="1"/>
    </xf>
    <xf numFmtId="0" fontId="17" fillId="12" borderId="4" xfId="0" applyFont="1" applyFill="1" applyBorder="1" applyAlignment="1">
      <alignment horizontal="center" vertical="center" wrapText="1"/>
    </xf>
    <xf numFmtId="0" fontId="17" fillId="12" borderId="5" xfId="0" applyFont="1" applyFill="1" applyBorder="1" applyAlignment="1">
      <alignment horizontal="center" vertical="center" wrapText="1"/>
    </xf>
  </cellXfs>
  <cellStyles count="5">
    <cellStyle name="Millares" xfId="3" builtinId="3"/>
    <cellStyle name="Moneda" xfId="1" builtinId="4"/>
    <cellStyle name="Normal" xfId="0" builtinId="0"/>
    <cellStyle name="Normal 2" xfId="2" xr:uid="{24D0F7AC-0EC9-4FB4-A201-9EA7FBE954D5}"/>
    <cellStyle name="Porcentaje" xfId="4" builtinId="5"/>
  </cellStyles>
  <dxfs count="87">
    <dxf>
      <numFmt numFmtId="168" formatCode="&quot;$&quot;#,##0.00"/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numFmt numFmtId="168" formatCode="&quot;$&quot;#,##0.0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168" formatCode="&quot;$&quot;#,##0.00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168" formatCode="&quot;$&quot;#,##0.00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70" formatCode="&quot;$&quot;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167" formatCode="&quot;$&quot;\ #,##0.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70" formatCode="&quot;$&quot;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70" formatCode="&quot;$&quot;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70" formatCode="&quot;$&quot;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70" formatCode="&quot;$&quot;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70" formatCode="&quot;$&quot;#,##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168" formatCode="&quot;$&quot;#,##0.00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8" formatCode="&quot;$&quot;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2" formatCode="0.00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9" formatCode="0.0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numFmt numFmtId="168" formatCode="&quot;$&quot;#,##0.00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8" formatCode="&quot;$&quot;#,##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8" formatCode="&quot;$&quot;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8" formatCode="&quot;$&quot;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70" formatCode="&quot;$&quot;#,##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4" formatCode="#,##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2" formatCode="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8" formatCode="&quot;$&quot;#,##0.0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8" formatCode="&quot;$&quot;#,##0.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8" formatCode="&quot;$&quot;#,##0.00"/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8" formatCode="&quot;$&quot;#,##0.0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numFmt numFmtId="168" formatCode="&quot;$&quot;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name val="Arial"/>
        <family val="2"/>
        <scheme val="none"/>
      </font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8" formatCode="&quot;$&quot;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80564B1\227.amp-combustiblesaviacion_g2_v28_13-08-2024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Cotizacion"/>
      <sheetName val="ResumenCotizacion"/>
      <sheetName val="ProveedorCSV"/>
      <sheetName val="csv"/>
      <sheetName val="csvTemp"/>
      <sheetName val="Cotizacion"/>
      <sheetName val="Version"/>
      <sheetName val="Consolidado"/>
      <sheetName val="TempCalculos"/>
      <sheetName val="Evaluar"/>
      <sheetName val="Listas"/>
      <sheetName val="DatosCCE"/>
      <sheetName val="Parametros"/>
      <sheetName val="ConsolidadoEva"/>
      <sheetName val="Empates"/>
      <sheetName val="CalculosEva"/>
      <sheetName val="ListasEmpates"/>
      <sheetName val="ListasAutomaticas"/>
      <sheetName val="ListaProveedores"/>
      <sheetName val="Cuadro Tot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A2" t="str">
            <v>AMAZONAS</v>
          </cell>
        </row>
        <row r="3">
          <cell r="A3" t="str">
            <v>ANTIOQUIA</v>
          </cell>
        </row>
        <row r="4">
          <cell r="A4" t="str">
            <v>ARAUCA</v>
          </cell>
        </row>
        <row r="5">
          <cell r="A5" t="str">
            <v>ATLÁNTICO</v>
          </cell>
        </row>
        <row r="6">
          <cell r="A6" t="str">
            <v>BOGOTÁ D.C.</v>
          </cell>
        </row>
        <row r="7">
          <cell r="A7" t="str">
            <v>BOLÍVAR</v>
          </cell>
        </row>
        <row r="8">
          <cell r="A8" t="str">
            <v>BOYACÁ</v>
          </cell>
        </row>
        <row r="9">
          <cell r="A9" t="str">
            <v>CALDAS</v>
          </cell>
        </row>
        <row r="10">
          <cell r="A10" t="str">
            <v>CAQUETÁ</v>
          </cell>
        </row>
        <row r="11">
          <cell r="A11" t="str">
            <v>CASANARE</v>
          </cell>
        </row>
        <row r="12">
          <cell r="A12" t="str">
            <v>CAUCA</v>
          </cell>
        </row>
        <row r="13">
          <cell r="A13" t="str">
            <v>CESAR</v>
          </cell>
        </row>
        <row r="14">
          <cell r="A14" t="str">
            <v>CHOCÓ</v>
          </cell>
        </row>
        <row r="15">
          <cell r="A15" t="str">
            <v>CORDOBA</v>
          </cell>
        </row>
        <row r="16">
          <cell r="A16" t="str">
            <v>CUNDINAMARCA</v>
          </cell>
        </row>
        <row r="17">
          <cell r="A17" t="str">
            <v>GUAINÍA</v>
          </cell>
        </row>
        <row r="18">
          <cell r="A18" t="str">
            <v>GUAVIARE</v>
          </cell>
        </row>
        <row r="19">
          <cell r="A19" t="str">
            <v>HUILA</v>
          </cell>
        </row>
        <row r="20">
          <cell r="A20" t="str">
            <v>LA GUAJIRA</v>
          </cell>
        </row>
        <row r="21">
          <cell r="A21" t="str">
            <v>MAGDALENA</v>
          </cell>
        </row>
        <row r="22">
          <cell r="A22" t="str">
            <v>META</v>
          </cell>
        </row>
        <row r="23">
          <cell r="A23" t="str">
            <v>NARIÑO</v>
          </cell>
        </row>
        <row r="24">
          <cell r="A24" t="str">
            <v>NORTE DE SANTANDER</v>
          </cell>
        </row>
        <row r="25">
          <cell r="A25" t="str">
            <v>PUTUMAYO</v>
          </cell>
        </row>
        <row r="26">
          <cell r="A26" t="str">
            <v>QUINDÍO</v>
          </cell>
        </row>
        <row r="27">
          <cell r="A27" t="str">
            <v>RISARALDA</v>
          </cell>
        </row>
        <row r="28">
          <cell r="A28" t="str">
            <v>SAN ANDRÉS Y PROVIDENCIA</v>
          </cell>
        </row>
        <row r="29">
          <cell r="A29" t="str">
            <v>SANTANDER</v>
          </cell>
        </row>
        <row r="30">
          <cell r="A30" t="str">
            <v>SUCRE</v>
          </cell>
        </row>
        <row r="31">
          <cell r="A31" t="str">
            <v>TOLIMA</v>
          </cell>
        </row>
        <row r="32">
          <cell r="A32" t="str">
            <v>VALLE DEL CAUCA</v>
          </cell>
        </row>
        <row r="33">
          <cell r="A33" t="str">
            <v>VAUPÉS</v>
          </cell>
        </row>
        <row r="34">
          <cell r="A34" t="str">
            <v>VICHADA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AVIER FELIPE URBANO" refreshedDate="46145.318611689814" createdVersion="8" refreshedVersion="8" minRefreshableVersion="3" recordCount="28" xr:uid="{919096FE-892E-4F87-975C-42F914164899}">
  <cacheSource type="worksheet">
    <worksheetSource ref="B50:G78" sheet="EDP"/>
  </cacheSource>
  <cacheFields count="6">
    <cacheField name="Punto / Ciudad – Lugar" numFmtId="0">
      <sharedItems/>
    </cacheField>
    <cacheField name="Modalidad" numFmtId="0">
      <sharedItems/>
    </cacheField>
    <cacheField name="Tipo" numFmtId="0">
      <sharedItems/>
    </cacheField>
    <cacheField name="Nº Contrato" numFmtId="0">
      <sharedItems count="5">
        <s v="158-00"/>
        <s v="158-02"/>
        <s v="158-04"/>
        <s v="158-03"/>
        <s v="158-01"/>
      </sharedItems>
    </cacheField>
    <cacheField name="Proveedor" numFmtId="0">
      <sharedItems count="5">
        <s v="TERPEL S.A."/>
        <s v="WORLD FUEL SERVICES LLC"/>
        <s v="TRANSPORTES HERNÁNDEZ S.A.S."/>
        <s v="FASTER FUEL S.A.S."/>
        <s v="GLOBE AIR FUEL S.A.S."/>
      </sharedItems>
    </cacheField>
    <cacheField name="TOTAL (por punto)" numFmtId="6">
      <sharedItems containsSemiMixedTypes="0" containsString="0" containsNumber="1" containsInteger="1" minValue="35000000" maxValue="1800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AVIER FELIPE URBANO" refreshedDate="46145.885482060185" createdVersion="8" refreshedVersion="8" minRefreshableVersion="3" recordCount="28" xr:uid="{67126ED0-6BE5-41BE-8A3C-A3703818B025}">
  <cacheSource type="worksheet">
    <worksheetSource name="PUNTOS"/>
  </cacheSource>
  <cacheFields count="23">
    <cacheField name="LOTE" numFmtId="0">
      <sharedItems containsSemiMixedTypes="0" containsString="0" containsNumber="1" containsInteger="1" minValue="1" maxValue="3" count="3">
        <n v="1"/>
        <n v="2"/>
        <n v="3"/>
      </sharedItems>
    </cacheField>
    <cacheField name="PUNTO" numFmtId="0">
      <sharedItems containsSemiMixedTypes="0" containsString="0" containsNumber="1" containsInteger="1" minValue="1" maxValue="10"/>
    </cacheField>
    <cacheField name="MODALIDAD" numFmtId="0">
      <sharedItems/>
    </cacheField>
    <cacheField name="TIPO" numFmtId="0">
      <sharedItems/>
    </cacheField>
    <cacheField name="DEPARTAMENTO" numFmtId="0">
      <sharedItems/>
    </cacheField>
    <cacheField name="CIUDAD" numFmtId="0">
      <sharedItems/>
    </cacheField>
    <cacheField name="LUGAR" numFmtId="0">
      <sharedItems/>
    </cacheField>
    <cacheField name="Consumo (gal/día)" numFmtId="0">
      <sharedItems containsSemiMixedTypes="0" containsString="0" containsNumber="1" minValue="0.48" maxValue="129.5"/>
    </cacheField>
    <cacheField name="Consumo (gal/mes)" numFmtId="4">
      <sharedItems containsSemiMixedTypes="0" containsString="0" containsNumber="1" containsInteger="1" minValue="15" maxValue="3950"/>
    </cacheField>
    <cacheField name="Margen Estimado" numFmtId="0">
      <sharedItems containsSemiMixedTypes="0" containsString="0" containsNumber="1" containsInteger="1" minValue="6081" maxValue="43000"/>
    </cacheField>
    <cacheField name="Precio Combustible" numFmtId="168">
      <sharedItems containsSemiMixedTypes="0" containsString="0" containsNumber="1" containsInteger="1" minValue="19699" maxValue="19699"/>
    </cacheField>
    <cacheField name="Cantidad Requerida (gal)" numFmtId="0">
      <sharedItems containsSemiMixedTypes="0" containsString="0" containsNumber="1" containsInteger="1" minValue="90" maxValue="23700"/>
    </cacheField>
    <cacheField name="Presupuesto Requerido" numFmtId="168">
      <sharedItems containsSemiMixedTypes="0" containsString="0" containsNumber="1" containsInteger="1" minValue="3611340" maxValue="997746300"/>
    </cacheField>
    <cacheField name="% Total" numFmtId="0">
      <sharedItems containsSemiMixedTypes="0" containsString="0" containsNumber="1" minValue="4.903694184477369E-4" maxValue="0.13547998053060117"/>
    </cacheField>
    <cacheField name="Presupuesto Asignado" numFmtId="168">
      <sharedItems containsSemiMixedTypes="0" containsString="0" containsNumber="1" containsInteger="1" minValue="1178000" maxValue="325558000"/>
    </cacheField>
    <cacheField name="GAF" numFmtId="0">
      <sharedItems containsMixedTypes="1" containsNumber="1" minValue="7040.3735999999999" maxValue="24000"/>
    </cacheField>
    <cacheField name="ORGANIZACIÓN TERPEL S.A" numFmtId="0">
      <sharedItems containsMixedTypes="1" containsNumber="1" minValue="6427.7211400000006" maxValue="14936.78635"/>
    </cacheField>
    <cacheField name="COMBUSTIBLES Y TRANSPORTES HERNANDEZ " numFmtId="0">
      <sharedItems containsMixedTypes="1" containsNumber="1" containsInteger="1" minValue="4300" maxValue="8000"/>
    </cacheField>
    <cacheField name="ENERGIZAR SAS" numFmtId="0">
      <sharedItems/>
    </cacheField>
    <cacheField name="FASTER FUEL SAS" numFmtId="0">
      <sharedItems containsMixedTypes="1" containsNumber="1" containsInteger="1" minValue="4200" maxValue="43000"/>
    </cacheField>
    <cacheField name="WFS" numFmtId="0">
      <sharedItems containsMixedTypes="1" containsNumber="1" containsInteger="1" minValue="13500" maxValue="19000"/>
    </cacheField>
    <cacheField name="OC 136963" numFmtId="168">
      <sharedItems containsString="0" containsBlank="1" containsNumber="1" minValue="2825.5" maxValue="58131.03"/>
    </cacheField>
    <cacheField name="OC 161000" numFmtId="168">
      <sharedItems containsString="0" containsBlank="1" containsNumber="1" minValue="12435.49" maxValue="23461.7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s v="Leticia – Aeropuerto Alfredo Vásquez Cobo"/>
    <s v="Al Ala"/>
    <s v="Jet A-1"/>
    <x v="0"/>
    <x v="0"/>
    <n v="120000000"/>
  </r>
  <r>
    <s v="Caucasia – Aeropuerto Juan H White"/>
    <s v="Al Ala"/>
    <s v="Jet A-1"/>
    <x v="0"/>
    <x v="0"/>
    <n v="95000000"/>
  </r>
  <r>
    <s v="Caño Limón – Base Militar Cari Cari (Arauca)"/>
    <s v="Granel"/>
    <s v="Jet A-1"/>
    <x v="1"/>
    <x v="1"/>
    <n v="150000000"/>
  </r>
  <r>
    <s v="Barranquilla – Aeropuerto Ernesto Cortissoz"/>
    <s v="Al Ala"/>
    <s v="Jet A-1"/>
    <x v="1"/>
    <x v="1"/>
    <n v="180000000"/>
  </r>
  <r>
    <s v="Santa Rosa del Sur – Batallón de Selva No. 48"/>
    <s v="Granel"/>
    <s v="Jet A-1"/>
    <x v="2"/>
    <x v="2"/>
    <n v="85000000"/>
  </r>
  <r>
    <s v="Tunja – Brigada / Aeropuerto Gustavo Rojas Pinilla"/>
    <s v="Granel"/>
    <s v="Jet A-1"/>
    <x v="2"/>
    <x v="2"/>
    <n v="90000000"/>
  </r>
  <r>
    <s v="Manizales – Aeropuerto La Nubia"/>
    <s v="Al Ala"/>
    <s v="Jet A-1"/>
    <x v="3"/>
    <x v="3"/>
    <n v="45000000"/>
  </r>
  <r>
    <s v="Florencia – Aeropuerto Gustavo Artunduaga"/>
    <s v="Al Ala"/>
    <s v="Jet A-1"/>
    <x v="3"/>
    <x v="3"/>
    <n v="40000000"/>
  </r>
  <r>
    <s v="Guapi – Aeropuerto Juan Casiano Solís"/>
    <s v="Al Ala"/>
    <s v="Jet A-1"/>
    <x v="4"/>
    <x v="4"/>
    <n v="60000000"/>
  </r>
  <r>
    <s v="Popayán – Aeropuerto Guillermo León Valencia"/>
    <s v="Al Ala"/>
    <s v="Jet A-1"/>
    <x v="4"/>
    <x v="4"/>
    <n v="55000000"/>
  </r>
  <r>
    <s v="Aguachica – Batallón de Instrucción No. 5"/>
    <s v="Granel"/>
    <s v="Jet A-1"/>
    <x v="2"/>
    <x v="2"/>
    <n v="88000000"/>
  </r>
  <r>
    <s v="Quibdó – Aeropuerto El Caraño"/>
    <s v="Al Ala"/>
    <s v="Jet A-1"/>
    <x v="3"/>
    <x v="3"/>
    <n v="42000000"/>
  </r>
  <r>
    <s v="San José del Guaviare – Aeropuerto Jorge Enrique González Torres"/>
    <s v="Al Ala"/>
    <s v="Jet A-1"/>
    <x v="3"/>
    <x v="3"/>
    <n v="39000000"/>
  </r>
  <r>
    <s v="Neiva – Aeropuerto Benito Salas"/>
    <s v="Al Ala"/>
    <s v="Jet A-1"/>
    <x v="0"/>
    <x v="0"/>
    <n v="110000000"/>
  </r>
  <r>
    <s v="Riohacha – Aeropuerto Almirante Padilla"/>
    <s v="Al Ala"/>
    <s v="Jet A-1"/>
    <x v="1"/>
    <x v="1"/>
    <n v="160000000"/>
  </r>
  <r>
    <s v="Ipiales – Aeropuerto San Luis"/>
    <s v="Al Ala"/>
    <s v="Jet A-1"/>
    <x v="4"/>
    <x v="4"/>
    <n v="58000000"/>
  </r>
  <r>
    <s v="Pasto – Aeropuerto Antonio Nariño"/>
    <s v="Al Ala"/>
    <s v="Jet A-1"/>
    <x v="4"/>
    <x v="4"/>
    <n v="62000000"/>
  </r>
  <r>
    <s v="Tumaco – Aeropuerto La Florida"/>
    <s v="Al Ala"/>
    <s v="Jet A-1"/>
    <x v="4"/>
    <x v="4"/>
    <n v="57000000"/>
  </r>
  <r>
    <s v="Ocaña – Batallón de Infantería No. 15"/>
    <s v="Granel"/>
    <s v="Jet A-1"/>
    <x v="2"/>
    <x v="2"/>
    <n v="92000000"/>
  </r>
  <r>
    <s v="Puerto Asís – Aeropuerto Tres de Mayo"/>
    <s v="Al Ala"/>
    <s v="Jet A-1"/>
    <x v="3"/>
    <x v="3"/>
    <n v="41000000"/>
  </r>
  <r>
    <s v="Armenia – Aeropuerto El Edén"/>
    <s v="Al Ala"/>
    <s v="Jet A-1"/>
    <x v="0"/>
    <x v="0"/>
    <n v="105000000"/>
  </r>
  <r>
    <s v="Corozal – Aeropuerto Las Brujas"/>
    <s v="Al Ala"/>
    <s v="Jet A-1"/>
    <x v="1"/>
    <x v="1"/>
    <n v="155000000"/>
  </r>
  <r>
    <s v="Coveñas – Aeropuerto Ramiro Salazar"/>
    <s v="Al Ala"/>
    <s v="Jet A-1"/>
    <x v="1"/>
    <x v="1"/>
    <n v="148000000"/>
  </r>
  <r>
    <s v="Ibagué – Aeropuerto Perales (AV Gas)"/>
    <s v="Al Ala"/>
    <s v="AV Gas"/>
    <x v="3"/>
    <x v="3"/>
    <n v="35000000"/>
  </r>
  <r>
    <s v="Ibagué – Aeropuerto Perales (Jet A-1)"/>
    <s v="Al Ala"/>
    <s v="Jet A-1"/>
    <x v="3"/>
    <x v="3"/>
    <n v="38000000"/>
  </r>
  <r>
    <s v="Chaparral – Batallón de Ingenieros de Desminado Humanitario #2"/>
    <s v="Granel"/>
    <s v="Jet A-1"/>
    <x v="2"/>
    <x v="2"/>
    <n v="87000000"/>
  </r>
  <r>
    <s v="Buenaventura – Aeropuerto Gerardo Tobar López"/>
    <s v="Al Ala"/>
    <s v="Jet A-1"/>
    <x v="0"/>
    <x v="0"/>
    <n v="115000000"/>
  </r>
  <r>
    <s v="Puerto Carreño – Aeropuerto Germán Olano"/>
    <s v="Al Ala"/>
    <s v="Jet A-1"/>
    <x v="1"/>
    <x v="1"/>
    <n v="1700000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x v="0"/>
    <n v="1"/>
    <s v="AL ALA"/>
    <s v="JET A-1"/>
    <s v="CALDAS"/>
    <s v="MANIZALES"/>
    <s v="AEROPUERTO LA NUBIA"/>
    <n v="0.88"/>
    <n v="27"/>
    <n v="20200"/>
    <n v="19699"/>
    <n v="162"/>
    <n v="6463638"/>
    <n v="8.7767155878889656E-4"/>
    <n v="2109000"/>
    <s v="No cotiza"/>
    <s v="No cotiza"/>
    <s v="No cotiza"/>
    <s v="No cotiza"/>
    <n v="20200"/>
    <s v="No cotiza"/>
    <n v="20142.62"/>
    <m/>
  </r>
  <r>
    <x v="0"/>
    <n v="2"/>
    <s v="AL ALA"/>
    <s v="JET A-1"/>
    <s v="CAUCA"/>
    <s v="GUAPI"/>
    <s v="AEROPUERTO JUAN CASIANO SOLÍS"/>
    <n v="20.350000000000001"/>
    <n v="621"/>
    <n v="43000"/>
    <n v="19699"/>
    <n v="3726"/>
    <n v="233616474"/>
    <n v="3.1721846875450904E-2"/>
    <n v="76228000"/>
    <s v="No cotiza"/>
    <s v="No cotiza"/>
    <s v="No cotiza"/>
    <s v="No cotiza"/>
    <n v="43000"/>
    <s v="No cotiza"/>
    <n v="58131.03"/>
    <m/>
  </r>
  <r>
    <x v="0"/>
    <n v="3"/>
    <s v="AL ALA"/>
    <s v="JET A-1"/>
    <s v="CAUCA"/>
    <s v="POPAYÁN"/>
    <s v="AEROPUERTO GUILLERMO LEÓN VALENCIA"/>
    <n v="129.5"/>
    <n v="3950"/>
    <n v="22400"/>
    <n v="19699"/>
    <n v="23700"/>
    <n v="997746300"/>
    <n v="0.13547998053060117"/>
    <n v="325558000"/>
    <s v="No cotiza"/>
    <s v="No cotiza"/>
    <s v="No cotiza"/>
    <s v="No cotiza"/>
    <n v="22400"/>
    <s v="No cotiza"/>
    <n v="22306.01"/>
    <m/>
  </r>
  <r>
    <x v="0"/>
    <n v="4"/>
    <s v="AL ALA"/>
    <s v="JET A-1"/>
    <s v="CHOCÓ"/>
    <s v="QUIBDÓ"/>
    <s v="AEROPUERTO EL CARAÑO"/>
    <n v="57.25"/>
    <n v="1746"/>
    <n v="26400"/>
    <n v="19699"/>
    <n v="10476"/>
    <n v="482933124"/>
    <n v="6.5575557871878257E-2"/>
    <n v="157578000"/>
    <s v="No cotiza"/>
    <s v="No cotiza"/>
    <s v="No cotiza"/>
    <s v="No cotiza"/>
    <n v="26400"/>
    <s v="No cotiza"/>
    <n v="26362.2"/>
    <m/>
  </r>
  <r>
    <x v="0"/>
    <n v="5"/>
    <s v="AL ALA"/>
    <s v="JET A-1"/>
    <s v="GUAVIARE"/>
    <s v="SAN JOSÉ DEL GUAVIARE"/>
    <s v="AEROPUERTO JORGE ENRIQUE GONZÁLEZ TORRES"/>
    <n v="94.01"/>
    <n v="2867"/>
    <n v="6500"/>
    <n v="19699"/>
    <n v="17202"/>
    <n v="450675198"/>
    <n v="6.1195383085524684E-2"/>
    <n v="147053000"/>
    <s v="No cotiza"/>
    <s v="No cotiza"/>
    <n v="8000"/>
    <s v="No cotiza"/>
    <n v="5000"/>
    <s v="No cotiza"/>
    <n v="4641.07"/>
    <m/>
  </r>
  <r>
    <x v="0"/>
    <n v="6"/>
    <s v="AL ALA"/>
    <s v="JET A-1"/>
    <s v="LA GUAJIRA"/>
    <s v="RIOHACHA"/>
    <s v="AEROPUERTO INTERNACIONAL ALMIRANTE PADILLA"/>
    <n v="49.2"/>
    <n v="1501"/>
    <n v="6081"/>
    <n v="19699"/>
    <n v="9006"/>
    <n v="232174680"/>
    <n v="3.1526071433287763E-2"/>
    <n v="75757000"/>
    <s v="No cotiza"/>
    <n v="7961.7962850000004"/>
    <s v="No cotiza"/>
    <s v="No cotiza"/>
    <n v="4200"/>
    <s v="No cotiza"/>
    <n v="3578.95"/>
    <m/>
  </r>
  <r>
    <x v="0"/>
    <n v="7"/>
    <s v="GRANEL"/>
    <s v="JET A-1"/>
    <s v="NORTE DE SANTANDER"/>
    <s v="OCAÑA"/>
    <s v="BATALLÓN DE INFANTERÍA NO. 15 &quot;GR. FRANCISCO DE PAULA SANTANDER&quot;"/>
    <n v="104"/>
    <n v="3172"/>
    <n v="8528"/>
    <n v="19699"/>
    <n v="19032"/>
    <n v="537216264"/>
    <n v="7.2946448398197319E-2"/>
    <n v="175290000"/>
    <n v="8673"/>
    <s v="No cotiza"/>
    <s v="No cotiza"/>
    <s v="No cotiza"/>
    <n v="8383"/>
    <s v="No cotiza"/>
    <n v="4282.99"/>
    <m/>
  </r>
  <r>
    <x v="0"/>
    <n v="8"/>
    <s v="AL ALA"/>
    <s v="JET A-1"/>
    <s v="QUINDÍO"/>
    <s v="ARMENIA"/>
    <s v="AEROPUERTO EL EDÉN"/>
    <n v="9.31"/>
    <n v="284"/>
    <n v="19700"/>
    <n v="19699"/>
    <n v="1704"/>
    <n v="67135896"/>
    <n v="9.1161148710693952E-3"/>
    <n v="21906000"/>
    <s v="No cotiza"/>
    <s v="No cotiza"/>
    <s v="No cotiza"/>
    <s v="No cotiza"/>
    <n v="19700"/>
    <s v="No cotiza"/>
    <n v="19602.7"/>
    <m/>
  </r>
  <r>
    <x v="0"/>
    <n v="9"/>
    <s v="AL ALA"/>
    <s v="JET A-1"/>
    <s v="SUCRE"/>
    <s v="COROZAL"/>
    <s v="AEROPUERTO LAS BRUJAS"/>
    <n v="23.23"/>
    <n v="709"/>
    <n v="21000"/>
    <n v="19699"/>
    <n v="4254"/>
    <n v="173133546"/>
    <n v="2.3509111926823426E-2"/>
    <n v="56492000"/>
    <s v="No cotiza"/>
    <s v="No cotiza"/>
    <s v="No cotiza"/>
    <s v="No cotiza"/>
    <n v="21000"/>
    <s v="No cotiza"/>
    <n v="20954.349999999999"/>
    <m/>
  </r>
  <r>
    <x v="0"/>
    <n v="10"/>
    <s v="AL ALA"/>
    <s v="JET A-1"/>
    <s v="VALLE DEL CAUCA"/>
    <s v="BUENAVENTURA"/>
    <s v="AEROPUERTO GERARDO TOBAR LÓPEZ"/>
    <n v="12.52"/>
    <n v="382"/>
    <n v="23000"/>
    <n v="19699"/>
    <n v="2292"/>
    <n v="97866108"/>
    <n v="1.3288847482015932E-2"/>
    <n v="31933000"/>
    <s v="No cotiza"/>
    <s v="No cotiza"/>
    <s v="No cotiza"/>
    <s v="No cotiza"/>
    <n v="23000"/>
    <s v="No cotiza"/>
    <n v="22981.84"/>
    <m/>
  </r>
  <r>
    <x v="1"/>
    <n v="1"/>
    <s v="AL ALA"/>
    <s v="JET A-1"/>
    <s v="ANTIOQUIA"/>
    <s v="CAUCASIA"/>
    <s v="AEROPUERTO JUAN H WHITE"/>
    <n v="45.35"/>
    <n v="1383"/>
    <n v="19250"/>
    <n v="19699"/>
    <n v="8298"/>
    <n v="323198802"/>
    <n v="4.3885872994441202E-2"/>
    <n v="105458000"/>
    <n v="23000"/>
    <s v="No cotiza"/>
    <s v="No cotiza"/>
    <s v="No cotiza"/>
    <s v="Sin Respuesta"/>
    <n v="15500"/>
    <m/>
    <n v="21420.83"/>
  </r>
  <r>
    <x v="1"/>
    <n v="2"/>
    <s v="AL ALA"/>
    <s v="JET A-1"/>
    <s v="HUILA"/>
    <s v="NEIVA"/>
    <s v="AEROPUERTO BENITO SALAS"/>
    <n v="49.94"/>
    <n v="1523"/>
    <n v="16450"/>
    <n v="19699"/>
    <n v="9138"/>
    <n v="330329562"/>
    <n v="4.485413038208412E-2"/>
    <n v="107784000"/>
    <n v="18200"/>
    <s v="No cotiza"/>
    <s v="No cotiza"/>
    <s v="No cotiza"/>
    <s v="Sin Respuesta"/>
    <n v="14700"/>
    <m/>
    <n v="17427.07"/>
  </r>
  <r>
    <x v="1"/>
    <n v="3"/>
    <s v="AL ALA"/>
    <s v="JET A-1"/>
    <s v="NARIÑO"/>
    <s v="IPIALES"/>
    <s v="AEROPUERTO SAN LUIS"/>
    <n v="5.37"/>
    <n v="164"/>
    <n v="20490"/>
    <n v="19699"/>
    <n v="984"/>
    <n v="39545976"/>
    <n v="5.3697899541633193E-3"/>
    <n v="12904000"/>
    <n v="22980"/>
    <s v="No cotiza"/>
    <s v="No cotiza"/>
    <s v="No cotiza"/>
    <s v="Sin Respuesta"/>
    <n v="18000"/>
    <m/>
    <n v="22445.59"/>
  </r>
  <r>
    <x v="1"/>
    <n v="4"/>
    <s v="AL ALA"/>
    <s v="JET A-1"/>
    <s v="NARIÑO"/>
    <s v="PASTO"/>
    <s v="AEROPUERTO ANTONIO NARIÑO"/>
    <n v="53.74"/>
    <n v="1639"/>
    <n v="21350"/>
    <n v="19699"/>
    <n v="9834"/>
    <n v="403675866"/>
    <n v="5.4813531722797244E-2"/>
    <n v="131717000"/>
    <n v="23900"/>
    <s v="No cotiza"/>
    <s v="No cotiza"/>
    <s v="No cotiza"/>
    <s v="Sin Respuesta"/>
    <n v="18800"/>
    <m/>
    <n v="23055.3"/>
  </r>
  <r>
    <x v="1"/>
    <n v="5"/>
    <s v="AL ALA"/>
    <s v="JET A-1"/>
    <s v="NARIÑO"/>
    <s v="TUMACO"/>
    <s v="AEROPUERTO LA FLORIDA"/>
    <n v="79.010000000000005"/>
    <n v="2410"/>
    <n v="21500"/>
    <n v="19699"/>
    <n v="14460"/>
    <n v="595737540"/>
    <n v="8.0892818465524E-2"/>
    <n v="194385000"/>
    <n v="24000"/>
    <s v="No cotiza"/>
    <s v="No cotiza"/>
    <s v="No cotiza"/>
    <s v="Sin Respuesta"/>
    <n v="19000"/>
    <m/>
    <n v="23461.77"/>
  </r>
  <r>
    <x v="1"/>
    <n v="6"/>
    <s v="AL ALA"/>
    <s v="JET A-1"/>
    <s v="PUTUMAYO"/>
    <s v="PUERTO ASIS"/>
    <s v="AEROPUERTO NACIONAL TRES DE MAYO"/>
    <n v="43.29"/>
    <n v="1320"/>
    <n v="18220"/>
    <n v="19699"/>
    <n v="7920"/>
    <n v="300318480"/>
    <n v="4.0779045558354605E-2"/>
    <n v="97992000"/>
    <n v="20940"/>
    <s v="No cotiza"/>
    <s v="No cotiza"/>
    <s v="No cotiza"/>
    <s v="Sin Respuesta"/>
    <n v="15500"/>
    <m/>
    <n v="19960.2"/>
  </r>
  <r>
    <x v="1"/>
    <n v="7"/>
    <s v="AL ALA"/>
    <s v="JET A-1"/>
    <s v="SUCRE"/>
    <s v="COVEÑAS"/>
    <s v="AEROPUERTO RAMIRO SALAZAR"/>
    <n v="8.6199999999999992"/>
    <n v="263"/>
    <n v="13500"/>
    <n v="19699"/>
    <n v="1578"/>
    <n v="52388022"/>
    <n v="7.1135600308382067E-3"/>
    <n v="17094000"/>
    <s v="No cotiza"/>
    <s v="No cotiza"/>
    <s v="No cotiza"/>
    <s v="No cotiza"/>
    <s v="Sin Respuesta"/>
    <n v="13500"/>
    <m/>
    <n v="16409.650000000001"/>
  </r>
  <r>
    <x v="1"/>
    <n v="8"/>
    <s v="AL ALA"/>
    <s v="JET A-1"/>
    <s v="VICHADA"/>
    <s v="PUERTO CARREÑO"/>
    <s v="AEROPUERTO GERMAN OLANO"/>
    <n v="56.11"/>
    <n v="1711"/>
    <n v="16416"/>
    <n v="19699"/>
    <n v="10266"/>
    <n v="370756590"/>
    <n v="5.0343554864389961E-2"/>
    <n v="120975000"/>
    <n v="18932"/>
    <s v="No cotiza"/>
    <s v="No cotiza"/>
    <s v="No cotiza"/>
    <s v="Sin Respuesta"/>
    <n v="13900"/>
    <m/>
    <n v="12435.49"/>
  </r>
  <r>
    <x v="2"/>
    <n v="1"/>
    <s v="AL ALA"/>
    <s v="JET A-1"/>
    <s v="AMAZONAS"/>
    <s v="LETICIA"/>
    <s v="AEROPUERTO INTERNACIONAL ALFREDO VÁSQUEZ COBO"/>
    <n v="9.75"/>
    <n v="297"/>
    <n v="16268"/>
    <n v="19699"/>
    <n v="1782"/>
    <n v="64093194"/>
    <n v="8.7029585329096628E-3"/>
    <n v="20913000"/>
    <n v="15188"/>
    <n v="14936.78635"/>
    <s v="No cotiza"/>
    <s v="No cotiza"/>
    <n v="18680"/>
    <s v="No cotiza"/>
    <n v="11334.28"/>
    <m/>
  </r>
  <r>
    <x v="2"/>
    <n v="2"/>
    <s v="GRANEL"/>
    <s v="JET A-1"/>
    <s v="ARAUCA"/>
    <s v="CAÑO LIMÓN"/>
    <s v="BASE MILITAR CARI CARI DEL EJERCITO NACIONAL EN EL ÁREA GENERAL DEL BAEV NO. 16"/>
    <n v="8.2191780821917817"/>
    <n v="251"/>
    <n v="13054"/>
    <n v="19699"/>
    <n v="1506"/>
    <n v="49326018"/>
    <n v="6.6977827512786402E-3"/>
    <n v="16095000"/>
    <n v="9973.32"/>
    <s v="No cotiza"/>
    <s v="No cotiza"/>
    <s v="No cotiza"/>
    <n v="16135"/>
    <s v="No cotiza"/>
    <n v="12843.19"/>
    <m/>
  </r>
  <r>
    <x v="2"/>
    <n v="3"/>
    <s v="AL ALA"/>
    <s v="JET A-1"/>
    <s v="ATLÁNTICO"/>
    <s v="BARRANQUILLA "/>
    <s v="AEROPUERTO INTERNACIONAL ERNESTO CORTISSOZ"/>
    <n v="15.31"/>
    <n v="467"/>
    <n v="7202"/>
    <n v="19699"/>
    <n v="2802"/>
    <n v="75376602"/>
    <n v="1.0235087387868914E-2"/>
    <n v="24595000"/>
    <n v="7136.16"/>
    <n v="6427.7211400000006"/>
    <s v="No cotiza"/>
    <s v="No cotiza"/>
    <n v="8041"/>
    <s v="No cotiza"/>
    <n v="2825.5"/>
    <m/>
  </r>
  <r>
    <x v="2"/>
    <n v="4"/>
    <s v="GRANEL"/>
    <s v="JET A-1"/>
    <s v="BOLÍVAR"/>
    <s v="SANTA ROSA DEL SUR"/>
    <s v="BATALLÓN DE SELVA NO. 48 &quot;PRÓCER MANUEL RODRÍGUEZ TORICES&quot;"/>
    <n v="67"/>
    <n v="2044"/>
    <n v="7613"/>
    <n v="19699"/>
    <n v="12264"/>
    <n v="334954368"/>
    <n v="4.5482114296269326E-2"/>
    <n v="109294000"/>
    <n v="8839.32"/>
    <s v="No cotiza"/>
    <n v="6800"/>
    <s v="No cotiza"/>
    <n v="7200"/>
    <s v="No cotiza"/>
    <n v="3179.92"/>
    <m/>
  </r>
  <r>
    <x v="2"/>
    <n v="5"/>
    <s v="GRANEL"/>
    <s v="JET A-1"/>
    <s v="BOYACÁ"/>
    <s v="TUNJA"/>
    <s v="PRIMERA BRIGADA DEL EJÉRCITO / AEROPOUERTO GSTAVO ROJAS PINILLA"/>
    <n v="8.2191780821917817"/>
    <n v="251"/>
    <n v="7500"/>
    <n v="19699"/>
    <n v="1506"/>
    <n v="40961694"/>
    <n v="5.5620246405528578E-3"/>
    <n v="13366000"/>
    <n v="7500"/>
    <s v="No cotiza"/>
    <s v="No cotiza"/>
    <s v="No cotiza"/>
    <s v="Sin Respuesta"/>
    <s v="No se cotiza"/>
    <m/>
    <m/>
  </r>
  <r>
    <x v="2"/>
    <n v="6"/>
    <s v="AL ALA"/>
    <s v="JET A-1"/>
    <s v="CAQUETÁ"/>
    <s v="FLORENCIA"/>
    <s v="AEROPUERTO GUSTAVO ARTUNDUAGA"/>
    <n v="122.18"/>
    <n v="3726"/>
    <n v="12079"/>
    <n v="19699"/>
    <n v="22356"/>
    <n v="710428968"/>
    <n v="9.6466308873322901E-2"/>
    <n v="231809000"/>
    <n v="10820"/>
    <s v="No cotiza"/>
    <s v="No cotiza"/>
    <s v="No cotiza"/>
    <n v="13338"/>
    <s v="No cotiza"/>
    <n v="10670.01"/>
    <m/>
  </r>
  <r>
    <x v="2"/>
    <n v="7"/>
    <s v="GRANEL"/>
    <s v="JET A-1"/>
    <s v="CESAR"/>
    <s v="AGUACHICA"/>
    <s v="BATALLÓN DE INSTRUCCIÓN, ENTRENAMIENTO Y REENTRENAMIENTO NO. 5 &quot;ANDRÉS MARÍA ROSILLO&quot;"/>
    <n v="54"/>
    <n v="1647"/>
    <n v="6962"/>
    <n v="19699"/>
    <n v="9882"/>
    <n v="263464002"/>
    <n v="3.5774723355500561E-2"/>
    <n v="85967000"/>
    <n v="7040.3735999999999"/>
    <s v="No cotiza"/>
    <n v="4300"/>
    <s v="No cotiza"/>
    <n v="9546"/>
    <s v="No cotiza"/>
    <n v="3890.68"/>
    <m/>
  </r>
  <r>
    <x v="2"/>
    <n v="8"/>
    <s v="AL ALA"/>
    <s v="AV GAS"/>
    <s v="TOLIMA"/>
    <s v="IBAGUÉ"/>
    <s v="AEROPUERTO PERALES"/>
    <n v="0.48"/>
    <n v="15"/>
    <n v="20427"/>
    <n v="19699"/>
    <n v="90"/>
    <n v="3611340"/>
    <n v="4.903694184477369E-4"/>
    <n v="1178000"/>
    <n v="19900"/>
    <s v="No cotiza"/>
    <s v="No cotiza"/>
    <s v="No cotiza"/>
    <n v="20954"/>
    <s v="No cotiza"/>
    <n v="19602.7"/>
    <m/>
  </r>
  <r>
    <x v="2"/>
    <n v="9"/>
    <s v="AL ALA"/>
    <s v="JET A-1"/>
    <s v="TOLIMA"/>
    <s v="IBAGUÉ"/>
    <s v="AEROPUERTO PERALES"/>
    <n v="11.85"/>
    <n v="361"/>
    <n v="20417"/>
    <n v="19699"/>
    <n v="2166"/>
    <n v="86891256"/>
    <n v="1.1798616212517635E-2"/>
    <n v="28352000"/>
    <n v="19833.653600000001"/>
    <s v="No cotiza"/>
    <s v="No cotiza"/>
    <s v="No cotiza"/>
    <n v="21000"/>
    <s v="No cotiza"/>
    <n v="19602.7"/>
    <m/>
  </r>
  <r>
    <x v="2"/>
    <n v="10"/>
    <s v="GRANEL"/>
    <s v="JET A-1"/>
    <s v="TOLIMA"/>
    <s v="CHAPARRAL"/>
    <s v="BATALLÓN DE INGENIEROS DE DESMINADO HUMANITARIO #2"/>
    <n v="8.2191780821917817"/>
    <n v="251"/>
    <n v="7200"/>
    <n v="19699"/>
    <n v="1506"/>
    <n v="40509894"/>
    <n v="5.5006765251013386E-3"/>
    <n v="13218000"/>
    <n v="7200"/>
    <s v="No cotiza"/>
    <s v="No cotiza"/>
    <s v="No cotiza"/>
    <s v="Sin Respuesta"/>
    <s v="No se cotiza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83DB728-283C-4976-A67C-791F6ED062B6}" name="PivotTable1" cacheId="87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N7:O11" firstHeaderRow="1" firstDataRow="1" firstDataCol="1"/>
  <pivotFields count="23">
    <pivotField axis="axisRow" showAll="0">
      <items count="4"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4" showAll="0"/>
    <pivotField showAll="0"/>
    <pivotField numFmtId="168" showAll="0"/>
    <pivotField showAll="0"/>
    <pivotField numFmtId="168" showAll="0"/>
    <pivotField showAll="0"/>
    <pivotField dataField="1" numFmtId="168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um of Presupuesto Asignado" fld="14" baseField="0" baseItem="0" numFmtId="16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D37920-3628-4B64-B19E-74D005D6977E}" name="PivotTable3" cacheId="86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B25:C31" firstHeaderRow="1" firstDataRow="1" firstDataCol="1"/>
  <pivotFields count="6">
    <pivotField showAll="0"/>
    <pivotField showAll="0"/>
    <pivotField showAll="0"/>
    <pivotField showAll="0">
      <items count="6">
        <item x="0"/>
        <item x="4"/>
        <item x="1"/>
        <item x="3"/>
        <item x="2"/>
        <item t="default"/>
      </items>
    </pivotField>
    <pivotField axis="axisRow" showAll="0">
      <items count="6">
        <item x="3"/>
        <item x="4"/>
        <item x="0"/>
        <item x="2"/>
        <item x="1"/>
        <item t="default"/>
      </items>
    </pivotField>
    <pivotField dataField="1" showAll="0"/>
  </pivotFields>
  <rowFields count="1">
    <field x="4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um of TOTAL (por punto)" fld="5" baseField="0" baseItem="0" numFmtId="168"/>
  </dataFields>
  <formats count="1">
    <format dxfId="8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6CA020-5FDF-45B1-804E-1C3FBEFBD14D}" name="PUNTOS" displayName="PUNTOS" ref="A3:W32" totalsRowCount="1" headerRowDxfId="85" dataDxfId="84" totalsRowDxfId="83" headerRowCellStyle="Normal 2">
  <autoFilter ref="A3:W31" xr:uid="{00000000-0009-0000-0000-000007000000}"/>
  <sortState xmlns:xlrd2="http://schemas.microsoft.com/office/spreadsheetml/2017/richdata2" ref="A4:W31">
    <sortCondition ref="A4:A31"/>
    <sortCondition ref="B4:B31"/>
  </sortState>
  <tableColumns count="23">
    <tableColumn id="13" xr3:uid="{A1CBE9BD-C478-408B-A492-C2DE8D019934}" name="LOTE" dataDxfId="81" totalsRowDxfId="82" dataCellStyle="Normal 2"/>
    <tableColumn id="1" xr3:uid="{9A590355-D60A-4220-8F5F-C4AC1E24C9EB}" name="PUNTO" dataDxfId="79" totalsRowDxfId="80" dataCellStyle="Normal 2"/>
    <tableColumn id="4" xr3:uid="{6EDA7F8F-11E3-43E3-8918-EB0FD55FA735}" name="MODALIDAD" dataDxfId="77" totalsRowDxfId="78" dataCellStyle="Normal 2"/>
    <tableColumn id="5" xr3:uid="{9C09FB1C-5E71-4352-B496-1695BB49F8F1}" name="TIPO" dataDxfId="75" totalsRowDxfId="76" dataCellStyle="Normal 2"/>
    <tableColumn id="6" xr3:uid="{68A37341-CD76-4523-90C0-FE099B3C7FC5}" name="DEPARTAMENTO" dataDxfId="73" totalsRowDxfId="74" dataCellStyle="Normal 2"/>
    <tableColumn id="7" xr3:uid="{3B63E66C-1E8E-4D91-A8EA-D746B0DD4A21}" name="CIUDAD" dataDxfId="71" totalsRowDxfId="72" dataCellStyle="Normal 2"/>
    <tableColumn id="8" xr3:uid="{F5638ABB-E0FC-4265-B9C8-4C349F62B478}" name="LUGAR" totalsRowLabel="TOTAL" dataDxfId="69" totalsRowDxfId="70" dataCellStyle="Normal 2"/>
    <tableColumn id="3" xr3:uid="{82DCBD45-95DA-4C73-B1DE-179516DF01F8}" name="Consumo (gal/día)" totalsRowFunction="sum" dataDxfId="67" totalsRowDxfId="68">
      <calculatedColumnFormula>+$N$12*#REF!</calculatedColumnFormula>
    </tableColumn>
    <tableColumn id="15" xr3:uid="{4F27483C-F656-43AB-BE42-5065BF62E384}" name="Consumo (gal/mes)" totalsRowFunction="sum" dataDxfId="65" totalsRowDxfId="66">
      <calculatedColumnFormula>ROUND(PUNTOS[[#This Row],[Consumo (gal/día)]]*30.5,0)</calculatedColumnFormula>
    </tableColumn>
    <tableColumn id="16" xr3:uid="{FDE52E92-8F26-46C9-8551-261E49A93591}" name="Margen Estimado" totalsRowFunction="average" dataDxfId="63" totalsRowDxfId="64">
      <calculatedColumnFormula>ROUND(IFERROR(AVERAGE(PUNTOS[[#This Row],[GAF]:[WFS]]),0),)</calculatedColumnFormula>
    </tableColumn>
    <tableColumn id="17" xr3:uid="{A3852C43-5C2F-44F9-9CDA-F2FE1D52C8BD}" name="Precio Combustible" dataDxfId="61" totalsRowDxfId="62">
      <calculatedColumnFormula>$F$37</calculatedColumnFormula>
    </tableColumn>
    <tableColumn id="18" xr3:uid="{8A03FD53-928C-4AA3-981A-E88FC8FCF9CE}" name="Cantidad Requerida (gal)" totalsRowFunction="sum" dataDxfId="59" totalsRowDxfId="60">
      <calculatedColumnFormula>PUNTOS[[#This Row],[Consumo (gal/mes)]]*$F$38</calculatedColumnFormula>
    </tableColumn>
    <tableColumn id="19" xr3:uid="{ED75AE72-E25E-49AE-B5C1-BE331E4171F0}" name="Presupuesto Requerido" totalsRowFunction="sum" dataDxfId="57" totalsRowDxfId="58" dataCellStyle="Normal 2">
      <calculatedColumnFormula>PUNTOS[[#This Row],[Cantidad Requerida (gal)]]*(PUNTOS[[#This Row],[Margen Estimado]]+PUNTOS[[#This Row],[Precio Combustible]])</calculatedColumnFormula>
    </tableColumn>
    <tableColumn id="20" xr3:uid="{0B92D6B0-E9F4-44D8-A6F0-1EB3D174F217}" name="% Total" totalsRowFunction="sum" dataDxfId="55" totalsRowDxfId="56">
      <calculatedColumnFormula>PUNTOS[[#This Row],[Presupuesto Requerido]]/$F$39</calculatedColumnFormula>
    </tableColumn>
    <tableColumn id="21" xr3:uid="{5D01507B-07F2-4E47-8112-495837743354}" name="Presupuesto Asignado" totalsRowFunction="sum" dataDxfId="53" totalsRowDxfId="54">
      <calculatedColumnFormula>ROUND($F$36*PUNTOS[[#This Row],[% Total]],-3)</calculatedColumnFormula>
    </tableColumn>
    <tableColumn id="2" xr3:uid="{73393608-8D0F-4A1B-AAA5-0B42C0D1C5BB}" name="GAF" totalsRowFunction="average" dataDxfId="51" totalsRowDxfId="52"/>
    <tableColumn id="9" xr3:uid="{B2BC6F79-02F5-4726-9241-07C6647F4984}" name="ORGANIZACIÓN TERPEL S.A" dataDxfId="49" totalsRowDxfId="50"/>
    <tableColumn id="10" xr3:uid="{D24712E2-4AA2-4486-B813-061DE2FA24C7}" name="COMBUSTIBLES Y TRANSPORTES HERNANDEZ " dataDxfId="47" totalsRowDxfId="48"/>
    <tableColumn id="11" xr3:uid="{CCCD4929-209D-46F8-ADAF-1F4F2B8DF041}" name="ENERGIZAR SAS" dataDxfId="45" totalsRowDxfId="46" dataCellStyle="Normal 2"/>
    <tableColumn id="12" xr3:uid="{8EF910CF-4527-49D7-AB7B-D81A0F9C757C}" name="FASTER FUEL SAS" totalsRowFunction="sum" dataDxfId="43" totalsRowDxfId="44" dataCellStyle="Normal 2"/>
    <tableColumn id="14" xr3:uid="{AB521B68-1C42-461D-9AF6-801531B994EF}" name="WFS" totalsRowFunction="average" dataDxfId="41" totalsRowDxfId="42" dataCellStyle="Normal 2"/>
    <tableColumn id="22" xr3:uid="{F3391BC4-E2FC-4DDD-AF49-BEA0A81A9402}" name="OC 136963" dataDxfId="39" totalsRowDxfId="40"/>
    <tableColumn id="23" xr3:uid="{9EEE0064-7341-478C-8388-667C13FDB0E1}" name="OC 161000" dataDxfId="37" totalsRowDxfId="3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E6010BB-6C00-4A15-BFE1-731A02A95058}" name="Table2" displayName="Table2" ref="B2:I31" totalsRowShown="0">
  <autoFilter ref="B2:I31" xr:uid="{3E6010BB-6C00-4A15-BFE1-731A02A95058}"/>
  <sortState xmlns:xlrd2="http://schemas.microsoft.com/office/spreadsheetml/2017/richdata2" ref="B3:I31">
    <sortCondition ref="G2:G31"/>
  </sortState>
  <tableColumns count="8">
    <tableColumn id="1" xr3:uid="{2930E60C-FB09-4B86-8744-0F1698201E2C}" name="No Contrato" dataDxfId="7"/>
    <tableColumn id="2" xr3:uid="{B1C9E9D3-2C77-4587-AEEC-7B44E5F0A66E}" name="Proveedor" dataDxfId="6"/>
    <tableColumn id="3" xr3:uid="{162226D5-650D-467A-9EDC-2D86F02E35BE}" name="Tipo Combustible" dataDxfId="5"/>
    <tableColumn id="4" xr3:uid="{EB3B6DC2-6A22-430E-9BA3-D6CC306C1D99}" name="Modalidad de entrega" dataDxfId="4"/>
    <tableColumn id="6" xr3:uid="{8F8AD3B1-8902-4D7E-A758-82C72CF0936F}" name="Departamento" dataDxfId="3"/>
    <tableColumn id="7" xr3:uid="{18E3A663-79D3-4698-8237-ABA6E77F92AA}" name="Punto o Lugar de Suministro" dataDxfId="2"/>
    <tableColumn id="8" xr3:uid="{2D5945E1-EF08-477B-9C0B-98B07644F8FA}" name="OC 136963" dataDxfId="1"/>
    <tableColumn id="10" xr3:uid="{3143A0E1-AE6B-4EC5-8B39-13C82E228CE3}" name="OC 16100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9673-5F1F-446E-B513-1E44309D32CE}">
  <dimension ref="A1:W43"/>
  <sheetViews>
    <sheetView tabSelected="1" zoomScale="85" zoomScaleNormal="85" workbookViewId="0">
      <selection activeCell="I32" sqref="I32"/>
    </sheetView>
  </sheetViews>
  <sheetFormatPr defaultColWidth="13" defaultRowHeight="15.75"/>
  <cols>
    <col min="1" max="1" width="9.7109375" style="1" bestFit="1" customWidth="1"/>
    <col min="2" max="2" width="8" style="1" customWidth="1"/>
    <col min="3" max="3" width="9.140625" style="1" customWidth="1"/>
    <col min="4" max="4" width="12.7109375" style="1" customWidth="1"/>
    <col min="5" max="5" width="15" style="1" customWidth="1"/>
    <col min="6" max="6" width="17.140625" style="1" customWidth="1"/>
    <col min="7" max="7" width="23.140625" style="1" customWidth="1"/>
    <col min="8" max="8" width="13.28515625" style="38" customWidth="1"/>
    <col min="9" max="9" width="12.28515625" style="38" customWidth="1"/>
    <col min="10" max="10" width="14" style="38" customWidth="1"/>
    <col min="11" max="11" width="13.42578125" style="38" customWidth="1"/>
    <col min="12" max="12" width="12" style="38" customWidth="1"/>
    <col min="13" max="13" width="15.7109375" style="1" customWidth="1"/>
    <col min="14" max="14" width="17.28515625" style="1" customWidth="1"/>
    <col min="15" max="15" width="19" style="1" customWidth="1"/>
    <col min="16" max="16" width="16.28515625" style="1" customWidth="1"/>
    <col min="17" max="17" width="18" style="1" customWidth="1"/>
    <col min="18" max="18" width="22" style="48" customWidth="1"/>
    <col min="19" max="19" width="13" style="48" customWidth="1"/>
    <col min="20" max="20" width="22.140625" style="46" customWidth="1"/>
    <col min="21" max="21" width="13" style="1" customWidth="1"/>
    <col min="22" max="16384" width="13" style="1"/>
  </cols>
  <sheetData>
    <row r="1" spans="1:23">
      <c r="U1" s="43"/>
    </row>
    <row r="2" spans="1:23">
      <c r="P2" s="42"/>
      <c r="Q2" s="42" t="s">
        <v>0</v>
      </c>
      <c r="R2" s="49"/>
      <c r="S2" s="49"/>
      <c r="T2" s="47"/>
      <c r="U2" s="42"/>
      <c r="V2" s="119" t="s">
        <v>1</v>
      </c>
      <c r="W2" s="119"/>
    </row>
    <row r="3" spans="1:23" s="50" customFormat="1" ht="37.9" customHeight="1">
      <c r="A3" s="65" t="s">
        <v>2</v>
      </c>
      <c r="B3" s="72" t="s">
        <v>3</v>
      </c>
      <c r="C3" s="73" t="s">
        <v>4</v>
      </c>
      <c r="D3" s="73" t="s">
        <v>5</v>
      </c>
      <c r="E3" s="73" t="s">
        <v>6</v>
      </c>
      <c r="F3" s="73" t="s">
        <v>7</v>
      </c>
      <c r="G3" s="73" t="s">
        <v>8</v>
      </c>
      <c r="H3" s="74" t="s">
        <v>9</v>
      </c>
      <c r="I3" s="65" t="s">
        <v>10</v>
      </c>
      <c r="J3" s="65" t="s">
        <v>11</v>
      </c>
      <c r="K3" s="65" t="s">
        <v>12</v>
      </c>
      <c r="L3" s="65" t="s">
        <v>13</v>
      </c>
      <c r="M3" s="65" t="s">
        <v>14</v>
      </c>
      <c r="N3" s="65" t="s">
        <v>15</v>
      </c>
      <c r="O3" s="65" t="s">
        <v>16</v>
      </c>
      <c r="P3" s="65" t="s">
        <v>17</v>
      </c>
      <c r="Q3" s="65" t="s">
        <v>18</v>
      </c>
      <c r="R3" s="65" t="s">
        <v>19</v>
      </c>
      <c r="S3" s="65" t="s">
        <v>20</v>
      </c>
      <c r="T3" s="65" t="s">
        <v>21</v>
      </c>
      <c r="U3" s="65" t="s">
        <v>22</v>
      </c>
      <c r="V3" s="120" t="s">
        <v>23</v>
      </c>
      <c r="W3" s="121" t="s">
        <v>24</v>
      </c>
    </row>
    <row r="4" spans="1:23" s="50" customFormat="1">
      <c r="A4" s="51">
        <v>1</v>
      </c>
      <c r="B4" s="51">
        <v>1</v>
      </c>
      <c r="C4" s="52" t="s">
        <v>25</v>
      </c>
      <c r="D4" s="52" t="s">
        <v>26</v>
      </c>
      <c r="E4" s="52" t="s">
        <v>27</v>
      </c>
      <c r="F4" s="52" t="s">
        <v>28</v>
      </c>
      <c r="G4" s="53" t="s">
        <v>29</v>
      </c>
      <c r="H4" s="54">
        <v>0.88</v>
      </c>
      <c r="I4" s="54">
        <f>ROUND(PUNTOS[[#This Row],[Consumo (gal/día)]]*30.5,0)</f>
        <v>27</v>
      </c>
      <c r="J4" s="66">
        <f>ROUND(IFERROR(AVERAGE(PUNTOS[[#This Row],[GAF]:[WFS]]),0),)</f>
        <v>20200</v>
      </c>
      <c r="K4" s="66">
        <f t="shared" ref="K4:K31" si="0">$F$37</f>
        <v>19699</v>
      </c>
      <c r="L4" s="54">
        <f>PUNTOS[[#This Row],[Consumo (gal/mes)]]*$F$38</f>
        <v>162</v>
      </c>
      <c r="M4" s="67">
        <f>PUNTOS[[#This Row],[Cantidad Requerida (gal)]]*(PUNTOS[[#This Row],[Margen Estimado]]+PUNTOS[[#This Row],[Precio Combustible]])</f>
        <v>6463638</v>
      </c>
      <c r="N4" s="68">
        <f>PUNTOS[[#This Row],[Presupuesto Requerido]]/$F$39</f>
        <v>8.7767155878889656E-4</v>
      </c>
      <c r="O4" s="66">
        <f>ROUND($F$36*PUNTOS[[#This Row],[% Total]],-3)</f>
        <v>2109000</v>
      </c>
      <c r="P4" s="55" t="s">
        <v>30</v>
      </c>
      <c r="Q4" s="55" t="s">
        <v>30</v>
      </c>
      <c r="R4" s="55" t="s">
        <v>30</v>
      </c>
      <c r="S4" s="51" t="s">
        <v>30</v>
      </c>
      <c r="T4" s="69">
        <v>20200</v>
      </c>
      <c r="U4" s="55" t="s">
        <v>30</v>
      </c>
      <c r="V4" s="67">
        <v>20142.62</v>
      </c>
      <c r="W4" s="67"/>
    </row>
    <row r="5" spans="1:23" s="50" customFormat="1" ht="52.5" customHeight="1">
      <c r="A5" s="51">
        <v>1</v>
      </c>
      <c r="B5" s="51">
        <v>2</v>
      </c>
      <c r="C5" s="52" t="s">
        <v>25</v>
      </c>
      <c r="D5" s="52" t="s">
        <v>26</v>
      </c>
      <c r="E5" s="52" t="s">
        <v>31</v>
      </c>
      <c r="F5" s="52" t="s">
        <v>32</v>
      </c>
      <c r="G5" s="53" t="s">
        <v>33</v>
      </c>
      <c r="H5" s="54">
        <v>20.350000000000001</v>
      </c>
      <c r="I5" s="54">
        <f>ROUND(PUNTOS[[#This Row],[Consumo (gal/día)]]*30.5,0)</f>
        <v>621</v>
      </c>
      <c r="J5" s="66">
        <f>ROUND(IFERROR(AVERAGE(PUNTOS[[#This Row],[GAF]:[WFS]]),0),)</f>
        <v>43000</v>
      </c>
      <c r="K5" s="66">
        <f t="shared" si="0"/>
        <v>19699</v>
      </c>
      <c r="L5" s="54">
        <f>PUNTOS[[#This Row],[Consumo (gal/mes)]]*$F$38</f>
        <v>3726</v>
      </c>
      <c r="M5" s="67">
        <f>PUNTOS[[#This Row],[Cantidad Requerida (gal)]]*(PUNTOS[[#This Row],[Margen Estimado]]+PUNTOS[[#This Row],[Precio Combustible]])</f>
        <v>233616474</v>
      </c>
      <c r="N5" s="68">
        <f>PUNTOS[[#This Row],[Presupuesto Requerido]]/$F$39</f>
        <v>3.1721846875450904E-2</v>
      </c>
      <c r="O5" s="66">
        <f>ROUND($F$36*PUNTOS[[#This Row],[% Total]],-3)</f>
        <v>76228000</v>
      </c>
      <c r="P5" s="55" t="s">
        <v>30</v>
      </c>
      <c r="Q5" s="55" t="s">
        <v>30</v>
      </c>
      <c r="R5" s="55" t="s">
        <v>30</v>
      </c>
      <c r="S5" s="51" t="s">
        <v>30</v>
      </c>
      <c r="T5" s="69">
        <v>43000</v>
      </c>
      <c r="U5" s="55" t="s">
        <v>30</v>
      </c>
      <c r="V5" s="67">
        <v>58131.03</v>
      </c>
      <c r="W5" s="67"/>
    </row>
    <row r="6" spans="1:23" s="50" customFormat="1" ht="20.25">
      <c r="A6" s="51">
        <v>1</v>
      </c>
      <c r="B6" s="51">
        <v>3</v>
      </c>
      <c r="C6" s="52" t="s">
        <v>25</v>
      </c>
      <c r="D6" s="52" t="s">
        <v>26</v>
      </c>
      <c r="E6" s="52" t="s">
        <v>31</v>
      </c>
      <c r="F6" s="52" t="s">
        <v>34</v>
      </c>
      <c r="G6" s="53" t="s">
        <v>35</v>
      </c>
      <c r="H6" s="54">
        <v>129.5</v>
      </c>
      <c r="I6" s="54">
        <f>ROUND(PUNTOS[[#This Row],[Consumo (gal/día)]]*30.5,0)</f>
        <v>3950</v>
      </c>
      <c r="J6" s="66">
        <f>ROUND(IFERROR(AVERAGE(PUNTOS[[#This Row],[GAF]:[WFS]]),0),)</f>
        <v>22400</v>
      </c>
      <c r="K6" s="66">
        <f t="shared" si="0"/>
        <v>19699</v>
      </c>
      <c r="L6" s="54">
        <f>PUNTOS[[#This Row],[Consumo (gal/mes)]]*$F$38</f>
        <v>23700</v>
      </c>
      <c r="M6" s="67">
        <f>PUNTOS[[#This Row],[Cantidad Requerida (gal)]]*(PUNTOS[[#This Row],[Margen Estimado]]+PUNTOS[[#This Row],[Precio Combustible]])</f>
        <v>997746300</v>
      </c>
      <c r="N6" s="68">
        <f>PUNTOS[[#This Row],[Presupuesto Requerido]]/$F$39</f>
        <v>0.13547998053060117</v>
      </c>
      <c r="O6" s="66">
        <f>ROUND($F$36*PUNTOS[[#This Row],[% Total]],-3)</f>
        <v>325558000</v>
      </c>
      <c r="P6" s="55" t="s">
        <v>30</v>
      </c>
      <c r="Q6" s="55" t="s">
        <v>30</v>
      </c>
      <c r="R6" s="55" t="s">
        <v>30</v>
      </c>
      <c r="S6" s="51" t="s">
        <v>30</v>
      </c>
      <c r="T6" s="69">
        <v>22400</v>
      </c>
      <c r="U6" s="55" t="s">
        <v>30</v>
      </c>
      <c r="V6" s="67">
        <v>22306.01</v>
      </c>
      <c r="W6" s="67"/>
    </row>
    <row r="7" spans="1:23" s="50" customFormat="1">
      <c r="A7" s="51">
        <v>1</v>
      </c>
      <c r="B7" s="51">
        <v>4</v>
      </c>
      <c r="C7" s="52" t="s">
        <v>25</v>
      </c>
      <c r="D7" s="52" t="s">
        <v>26</v>
      </c>
      <c r="E7" s="52" t="s">
        <v>36</v>
      </c>
      <c r="F7" s="52" t="s">
        <v>37</v>
      </c>
      <c r="G7" s="53" t="s">
        <v>38</v>
      </c>
      <c r="H7" s="54">
        <v>57.25</v>
      </c>
      <c r="I7" s="54">
        <f>ROUND(PUNTOS[[#This Row],[Consumo (gal/día)]]*30.5,0)</f>
        <v>1746</v>
      </c>
      <c r="J7" s="66">
        <f>ROUND(IFERROR(AVERAGE(PUNTOS[[#This Row],[GAF]:[WFS]]),0),)</f>
        <v>26400</v>
      </c>
      <c r="K7" s="66">
        <f t="shared" si="0"/>
        <v>19699</v>
      </c>
      <c r="L7" s="54">
        <f>PUNTOS[[#This Row],[Consumo (gal/mes)]]*$F$38</f>
        <v>10476</v>
      </c>
      <c r="M7" s="67">
        <f>PUNTOS[[#This Row],[Cantidad Requerida (gal)]]*(PUNTOS[[#This Row],[Margen Estimado]]+PUNTOS[[#This Row],[Precio Combustible]])</f>
        <v>482933124</v>
      </c>
      <c r="N7" s="68">
        <f>PUNTOS[[#This Row],[Presupuesto Requerido]]/$F$39</f>
        <v>6.5575557871878257E-2</v>
      </c>
      <c r="O7" s="66">
        <f>ROUND($F$36*PUNTOS[[#This Row],[% Total]],-3)</f>
        <v>157578000</v>
      </c>
      <c r="P7" s="55" t="s">
        <v>30</v>
      </c>
      <c r="Q7" s="55" t="s">
        <v>30</v>
      </c>
      <c r="R7" s="55" t="s">
        <v>30</v>
      </c>
      <c r="S7" s="51" t="s">
        <v>30</v>
      </c>
      <c r="T7" s="69">
        <v>26400</v>
      </c>
      <c r="U7" s="55" t="s">
        <v>30</v>
      </c>
      <c r="V7" s="67">
        <v>26362.2</v>
      </c>
      <c r="W7" s="67"/>
    </row>
    <row r="8" spans="1:23" s="50" customFormat="1" ht="20.25">
      <c r="A8" s="51">
        <v>1</v>
      </c>
      <c r="B8" s="51">
        <v>5</v>
      </c>
      <c r="C8" s="52" t="s">
        <v>25</v>
      </c>
      <c r="D8" s="52" t="s">
        <v>26</v>
      </c>
      <c r="E8" s="52" t="s">
        <v>39</v>
      </c>
      <c r="F8" s="52" t="s">
        <v>40</v>
      </c>
      <c r="G8" s="53" t="s">
        <v>41</v>
      </c>
      <c r="H8" s="54">
        <v>94.01</v>
      </c>
      <c r="I8" s="54">
        <f>ROUND(PUNTOS[[#This Row],[Consumo (gal/día)]]*30.5,0)</f>
        <v>2867</v>
      </c>
      <c r="J8" s="66">
        <f>ROUND(IFERROR(AVERAGE(PUNTOS[[#This Row],[GAF]:[WFS]]),0),)</f>
        <v>6500</v>
      </c>
      <c r="K8" s="66">
        <f t="shared" si="0"/>
        <v>19699</v>
      </c>
      <c r="L8" s="54">
        <f>PUNTOS[[#This Row],[Consumo (gal/mes)]]*$F$38</f>
        <v>17202</v>
      </c>
      <c r="M8" s="67">
        <f>PUNTOS[[#This Row],[Cantidad Requerida (gal)]]*(PUNTOS[[#This Row],[Margen Estimado]]+PUNTOS[[#This Row],[Precio Combustible]])</f>
        <v>450675198</v>
      </c>
      <c r="N8" s="68">
        <f>PUNTOS[[#This Row],[Presupuesto Requerido]]/$F$39</f>
        <v>6.1195383085524684E-2</v>
      </c>
      <c r="O8" s="66">
        <f>ROUND($F$36*PUNTOS[[#This Row],[% Total]],-3)</f>
        <v>147053000</v>
      </c>
      <c r="P8" s="55" t="s">
        <v>30</v>
      </c>
      <c r="Q8" s="55" t="s">
        <v>30</v>
      </c>
      <c r="R8" s="59">
        <v>8000</v>
      </c>
      <c r="S8" s="51" t="s">
        <v>30</v>
      </c>
      <c r="T8" s="69">
        <v>5000</v>
      </c>
      <c r="U8" s="55" t="s">
        <v>30</v>
      </c>
      <c r="V8" s="67">
        <v>4641.07</v>
      </c>
      <c r="W8" s="67"/>
    </row>
    <row r="9" spans="1:23" s="50" customFormat="1" ht="20.25">
      <c r="A9" s="51">
        <v>1</v>
      </c>
      <c r="B9" s="51">
        <v>6</v>
      </c>
      <c r="C9" s="52" t="s">
        <v>25</v>
      </c>
      <c r="D9" s="52" t="s">
        <v>26</v>
      </c>
      <c r="E9" s="52" t="s">
        <v>42</v>
      </c>
      <c r="F9" s="52" t="s">
        <v>43</v>
      </c>
      <c r="G9" s="53" t="s">
        <v>44</v>
      </c>
      <c r="H9" s="54">
        <v>49.2</v>
      </c>
      <c r="I9" s="54">
        <f>ROUND(PUNTOS[[#This Row],[Consumo (gal/día)]]*30.5,0)</f>
        <v>1501</v>
      </c>
      <c r="J9" s="66">
        <f>ROUND(IFERROR(AVERAGE(PUNTOS[[#This Row],[GAF]:[WFS]]),0),)</f>
        <v>6081</v>
      </c>
      <c r="K9" s="66">
        <f t="shared" si="0"/>
        <v>19699</v>
      </c>
      <c r="L9" s="54">
        <f>PUNTOS[[#This Row],[Consumo (gal/mes)]]*$F$38</f>
        <v>9006</v>
      </c>
      <c r="M9" s="67">
        <f>PUNTOS[[#This Row],[Cantidad Requerida (gal)]]*(PUNTOS[[#This Row],[Margen Estimado]]+PUNTOS[[#This Row],[Precio Combustible]])</f>
        <v>232174680</v>
      </c>
      <c r="N9" s="68">
        <f>PUNTOS[[#This Row],[Presupuesto Requerido]]/$F$39</f>
        <v>3.1526071433287763E-2</v>
      </c>
      <c r="O9" s="66">
        <f>ROUND($F$36*PUNTOS[[#This Row],[% Total]],-3)</f>
        <v>75757000</v>
      </c>
      <c r="P9" s="55" t="s">
        <v>30</v>
      </c>
      <c r="Q9" s="55">
        <v>7961.7962850000004</v>
      </c>
      <c r="R9" s="55" t="s">
        <v>30</v>
      </c>
      <c r="S9" s="51" t="s">
        <v>30</v>
      </c>
      <c r="T9" s="69">
        <v>4200</v>
      </c>
      <c r="U9" s="55" t="s">
        <v>30</v>
      </c>
      <c r="V9" s="67">
        <v>3578.95</v>
      </c>
      <c r="W9" s="67"/>
    </row>
    <row r="10" spans="1:23" s="50" customFormat="1" ht="30.4">
      <c r="A10" s="51">
        <v>1</v>
      </c>
      <c r="B10" s="51">
        <v>7</v>
      </c>
      <c r="C10" s="52" t="s">
        <v>45</v>
      </c>
      <c r="D10" s="52" t="s">
        <v>26</v>
      </c>
      <c r="E10" s="52" t="s">
        <v>46</v>
      </c>
      <c r="F10" s="52" t="s">
        <v>47</v>
      </c>
      <c r="G10" s="53" t="s">
        <v>48</v>
      </c>
      <c r="H10" s="60">
        <v>104</v>
      </c>
      <c r="I10" s="54">
        <f>ROUND(PUNTOS[[#This Row],[Consumo (gal/día)]]*30.5,0)</f>
        <v>3172</v>
      </c>
      <c r="J10" s="66">
        <f>ROUND(IFERROR(AVERAGE(PUNTOS[[#This Row],[GAF]:[WFS]]),0),)</f>
        <v>8528</v>
      </c>
      <c r="K10" s="66">
        <f t="shared" si="0"/>
        <v>19699</v>
      </c>
      <c r="L10" s="60">
        <f>PUNTOS[[#This Row],[Consumo (gal/mes)]]*$F$38</f>
        <v>19032</v>
      </c>
      <c r="M10" s="67">
        <f>PUNTOS[[#This Row],[Cantidad Requerida (gal)]]*(PUNTOS[[#This Row],[Margen Estimado]]+PUNTOS[[#This Row],[Precio Combustible]])</f>
        <v>537216264</v>
      </c>
      <c r="N10" s="68">
        <f>PUNTOS[[#This Row],[Presupuesto Requerido]]/$F$39</f>
        <v>7.2946448398197319E-2</v>
      </c>
      <c r="O10" s="66">
        <f>ROUND($F$36*PUNTOS[[#This Row],[% Total]],-3)</f>
        <v>175290000</v>
      </c>
      <c r="P10" s="55">
        <v>8673</v>
      </c>
      <c r="Q10" s="55" t="s">
        <v>30</v>
      </c>
      <c r="R10" s="59" t="s">
        <v>30</v>
      </c>
      <c r="S10" s="51" t="s">
        <v>30</v>
      </c>
      <c r="T10" s="69">
        <v>8383</v>
      </c>
      <c r="U10" s="55" t="s">
        <v>30</v>
      </c>
      <c r="V10" s="67">
        <v>4282.99</v>
      </c>
      <c r="W10" s="67"/>
    </row>
    <row r="11" spans="1:23" s="50" customFormat="1">
      <c r="A11" s="51">
        <v>1</v>
      </c>
      <c r="B11" s="51">
        <v>8</v>
      </c>
      <c r="C11" s="52" t="s">
        <v>25</v>
      </c>
      <c r="D11" s="52" t="s">
        <v>26</v>
      </c>
      <c r="E11" s="52" t="s">
        <v>49</v>
      </c>
      <c r="F11" s="52" t="s">
        <v>50</v>
      </c>
      <c r="G11" s="53" t="s">
        <v>51</v>
      </c>
      <c r="H11" s="54">
        <v>9.31</v>
      </c>
      <c r="I11" s="54">
        <f>ROUND(PUNTOS[[#This Row],[Consumo (gal/día)]]*30.5,0)</f>
        <v>284</v>
      </c>
      <c r="J11" s="66">
        <f>ROUND(IFERROR(AVERAGE(PUNTOS[[#This Row],[GAF]:[WFS]]),0),)</f>
        <v>19700</v>
      </c>
      <c r="K11" s="66">
        <f t="shared" si="0"/>
        <v>19699</v>
      </c>
      <c r="L11" s="54">
        <f>PUNTOS[[#This Row],[Consumo (gal/mes)]]*$F$38</f>
        <v>1704</v>
      </c>
      <c r="M11" s="67">
        <f>PUNTOS[[#This Row],[Cantidad Requerida (gal)]]*(PUNTOS[[#This Row],[Margen Estimado]]+PUNTOS[[#This Row],[Precio Combustible]])</f>
        <v>67135896</v>
      </c>
      <c r="N11" s="68">
        <f>PUNTOS[[#This Row],[Presupuesto Requerido]]/$F$39</f>
        <v>9.1161148710693952E-3</v>
      </c>
      <c r="O11" s="66">
        <f>ROUND($F$36*PUNTOS[[#This Row],[% Total]],-3)</f>
        <v>21906000</v>
      </c>
      <c r="P11" s="55" t="s">
        <v>30</v>
      </c>
      <c r="Q11" s="55" t="s">
        <v>30</v>
      </c>
      <c r="R11" s="55" t="s">
        <v>30</v>
      </c>
      <c r="S11" s="51" t="s">
        <v>30</v>
      </c>
      <c r="T11" s="69">
        <v>19700</v>
      </c>
      <c r="U11" s="55" t="s">
        <v>30</v>
      </c>
      <c r="V11" s="67">
        <v>19602.7</v>
      </c>
      <c r="W11" s="67"/>
    </row>
    <row r="12" spans="1:23" s="50" customFormat="1">
      <c r="A12" s="51">
        <v>1</v>
      </c>
      <c r="B12" s="51">
        <v>9</v>
      </c>
      <c r="C12" s="52" t="s">
        <v>25</v>
      </c>
      <c r="D12" s="52" t="s">
        <v>26</v>
      </c>
      <c r="E12" s="52" t="s">
        <v>52</v>
      </c>
      <c r="F12" s="52" t="s">
        <v>53</v>
      </c>
      <c r="G12" s="53" t="s">
        <v>54</v>
      </c>
      <c r="H12" s="56">
        <v>23.23</v>
      </c>
      <c r="I12" s="54">
        <f>ROUND(PUNTOS[[#This Row],[Consumo (gal/día)]]*30.5,0)</f>
        <v>709</v>
      </c>
      <c r="J12" s="70">
        <f>ROUND(IFERROR(AVERAGE(PUNTOS[[#This Row],[GAF]:[WFS]]),0),)</f>
        <v>21000</v>
      </c>
      <c r="K12" s="70">
        <f t="shared" si="0"/>
        <v>19699</v>
      </c>
      <c r="L12" s="56">
        <f>PUNTOS[[#This Row],[Consumo (gal/mes)]]*$F$38</f>
        <v>4254</v>
      </c>
      <c r="M12" s="67">
        <f>PUNTOS[[#This Row],[Cantidad Requerida (gal)]]*(PUNTOS[[#This Row],[Margen Estimado]]+PUNTOS[[#This Row],[Precio Combustible]])</f>
        <v>173133546</v>
      </c>
      <c r="N12" s="68">
        <f>PUNTOS[[#This Row],[Presupuesto Requerido]]/$F$39</f>
        <v>2.3509111926823426E-2</v>
      </c>
      <c r="O12" s="66">
        <f>ROUND($F$36*PUNTOS[[#This Row],[% Total]],-3)</f>
        <v>56492000</v>
      </c>
      <c r="P12" s="55" t="s">
        <v>30</v>
      </c>
      <c r="Q12" s="55" t="s">
        <v>30</v>
      </c>
      <c r="R12" s="55" t="s">
        <v>30</v>
      </c>
      <c r="S12" s="51" t="s">
        <v>30</v>
      </c>
      <c r="T12" s="69">
        <v>21000</v>
      </c>
      <c r="U12" s="55" t="s">
        <v>30</v>
      </c>
      <c r="V12" s="67">
        <v>20954.349999999999</v>
      </c>
      <c r="W12" s="67"/>
    </row>
    <row r="13" spans="1:23" s="50" customFormat="1" ht="20.25">
      <c r="A13" s="51">
        <v>1</v>
      </c>
      <c r="B13" s="51">
        <v>10</v>
      </c>
      <c r="C13" s="52" t="s">
        <v>25</v>
      </c>
      <c r="D13" s="52" t="s">
        <v>26</v>
      </c>
      <c r="E13" s="52" t="s">
        <v>55</v>
      </c>
      <c r="F13" s="52" t="s">
        <v>56</v>
      </c>
      <c r="G13" s="53" t="s">
        <v>57</v>
      </c>
      <c r="H13" s="54">
        <v>12.52</v>
      </c>
      <c r="I13" s="54">
        <f>ROUND(PUNTOS[[#This Row],[Consumo (gal/día)]]*30.5,0)</f>
        <v>382</v>
      </c>
      <c r="J13" s="66">
        <f>ROUND(IFERROR(AVERAGE(PUNTOS[[#This Row],[GAF]:[WFS]]),0),)</f>
        <v>23000</v>
      </c>
      <c r="K13" s="66">
        <f t="shared" si="0"/>
        <v>19699</v>
      </c>
      <c r="L13" s="54">
        <f>PUNTOS[[#This Row],[Consumo (gal/mes)]]*$F$38</f>
        <v>2292</v>
      </c>
      <c r="M13" s="75">
        <f>PUNTOS[[#This Row],[Cantidad Requerida (gal)]]*(PUNTOS[[#This Row],[Margen Estimado]]+PUNTOS[[#This Row],[Precio Combustible]])</f>
        <v>97866108</v>
      </c>
      <c r="N13" s="68">
        <f>PUNTOS[[#This Row],[Presupuesto Requerido]]/$F$39</f>
        <v>1.3288847482015932E-2</v>
      </c>
      <c r="O13" s="66">
        <f>ROUND($F$36*PUNTOS[[#This Row],[% Total]],-3)</f>
        <v>31933000</v>
      </c>
      <c r="P13" s="55" t="s">
        <v>30</v>
      </c>
      <c r="Q13" s="55" t="s">
        <v>30</v>
      </c>
      <c r="R13" s="55" t="s">
        <v>30</v>
      </c>
      <c r="S13" s="51" t="s">
        <v>30</v>
      </c>
      <c r="T13" s="69">
        <v>23000</v>
      </c>
      <c r="U13" s="55" t="s">
        <v>30</v>
      </c>
      <c r="V13" s="67">
        <v>22981.84</v>
      </c>
      <c r="W13" s="67"/>
    </row>
    <row r="14" spans="1:23" s="50" customFormat="1">
      <c r="A14" s="51">
        <v>2</v>
      </c>
      <c r="B14" s="51">
        <v>1</v>
      </c>
      <c r="C14" s="52" t="s">
        <v>25</v>
      </c>
      <c r="D14" s="52" t="s">
        <v>26</v>
      </c>
      <c r="E14" s="52" t="s">
        <v>58</v>
      </c>
      <c r="F14" s="52" t="s">
        <v>59</v>
      </c>
      <c r="G14" s="53" t="s">
        <v>60</v>
      </c>
      <c r="H14" s="54">
        <v>45.35</v>
      </c>
      <c r="I14" s="54">
        <f>ROUND(PUNTOS[[#This Row],[Consumo (gal/día)]]*30.5,0)</f>
        <v>1383</v>
      </c>
      <c r="J14" s="101">
        <f>ROUND(IFERROR(AVERAGE(PUNTOS[[#This Row],[GAF]:[WFS]]),0),)</f>
        <v>19250</v>
      </c>
      <c r="K14" s="66">
        <f t="shared" si="0"/>
        <v>19699</v>
      </c>
      <c r="L14" s="54">
        <f>PUNTOS[[#This Row],[Consumo (gal/mes)]]*$F$38</f>
        <v>8298</v>
      </c>
      <c r="M14" s="67">
        <f>PUNTOS[[#This Row],[Cantidad Requerida (gal)]]*(PUNTOS[[#This Row],[Margen Estimado]]+PUNTOS[[#This Row],[Precio Combustible]])</f>
        <v>323198802</v>
      </c>
      <c r="N14" s="68">
        <f>PUNTOS[[#This Row],[Presupuesto Requerido]]/$F$39</f>
        <v>4.3885872994441202E-2</v>
      </c>
      <c r="O14" s="66">
        <f>ROUND($F$36*PUNTOS[[#This Row],[% Total]],-3)</f>
        <v>105458000</v>
      </c>
      <c r="P14" s="102">
        <v>23000</v>
      </c>
      <c r="Q14" s="102" t="s">
        <v>30</v>
      </c>
      <c r="R14" s="101" t="s">
        <v>30</v>
      </c>
      <c r="S14" s="103" t="s">
        <v>30</v>
      </c>
      <c r="T14" s="103" t="s">
        <v>61</v>
      </c>
      <c r="U14" s="103">
        <v>15500</v>
      </c>
      <c r="V14" s="67"/>
      <c r="W14" s="67">
        <v>21420.83</v>
      </c>
    </row>
    <row r="15" spans="1:23" s="50" customFormat="1">
      <c r="A15" s="51">
        <v>2</v>
      </c>
      <c r="B15" s="51">
        <v>2</v>
      </c>
      <c r="C15" s="52" t="s">
        <v>25</v>
      </c>
      <c r="D15" s="52" t="s">
        <v>26</v>
      </c>
      <c r="E15" s="52" t="s">
        <v>62</v>
      </c>
      <c r="F15" s="52" t="s">
        <v>63</v>
      </c>
      <c r="G15" s="53" t="s">
        <v>64</v>
      </c>
      <c r="H15" s="54">
        <v>49.94</v>
      </c>
      <c r="I15" s="54">
        <f>ROUND(PUNTOS[[#This Row],[Consumo (gal/día)]]*30.5,0)</f>
        <v>1523</v>
      </c>
      <c r="J15" s="101">
        <f>ROUND(IFERROR(AVERAGE(PUNTOS[[#This Row],[GAF]:[WFS]]),0),)</f>
        <v>16450</v>
      </c>
      <c r="K15" s="66">
        <f t="shared" si="0"/>
        <v>19699</v>
      </c>
      <c r="L15" s="54">
        <f>PUNTOS[[#This Row],[Consumo (gal/mes)]]*$F$38</f>
        <v>9138</v>
      </c>
      <c r="M15" s="67">
        <f>PUNTOS[[#This Row],[Cantidad Requerida (gal)]]*(PUNTOS[[#This Row],[Margen Estimado]]+PUNTOS[[#This Row],[Precio Combustible]])</f>
        <v>330329562</v>
      </c>
      <c r="N15" s="68">
        <f>PUNTOS[[#This Row],[Presupuesto Requerido]]/$F$39</f>
        <v>4.485413038208412E-2</v>
      </c>
      <c r="O15" s="66">
        <f>ROUND($F$36*PUNTOS[[#This Row],[% Total]],-3)</f>
        <v>107784000</v>
      </c>
      <c r="P15" s="102">
        <v>18200</v>
      </c>
      <c r="Q15" s="102" t="s">
        <v>30</v>
      </c>
      <c r="R15" s="101" t="s">
        <v>30</v>
      </c>
      <c r="S15" s="103" t="s">
        <v>30</v>
      </c>
      <c r="T15" s="103" t="s">
        <v>61</v>
      </c>
      <c r="U15" s="103">
        <v>14700</v>
      </c>
      <c r="V15" s="67"/>
      <c r="W15" s="67">
        <v>17427.07</v>
      </c>
    </row>
    <row r="16" spans="1:23" s="50" customFormat="1">
      <c r="A16" s="51">
        <v>2</v>
      </c>
      <c r="B16" s="51">
        <v>3</v>
      </c>
      <c r="C16" s="52" t="s">
        <v>25</v>
      </c>
      <c r="D16" s="52" t="s">
        <v>26</v>
      </c>
      <c r="E16" s="52" t="s">
        <v>65</v>
      </c>
      <c r="F16" s="52" t="s">
        <v>66</v>
      </c>
      <c r="G16" s="53" t="s">
        <v>67</v>
      </c>
      <c r="H16" s="54">
        <v>5.37</v>
      </c>
      <c r="I16" s="54">
        <f>ROUND(PUNTOS[[#This Row],[Consumo (gal/día)]]*30.5,0)</f>
        <v>164</v>
      </c>
      <c r="J16" s="101">
        <f>ROUND(IFERROR(AVERAGE(PUNTOS[[#This Row],[GAF]:[WFS]]),0),)</f>
        <v>20490</v>
      </c>
      <c r="K16" s="66">
        <f t="shared" si="0"/>
        <v>19699</v>
      </c>
      <c r="L16" s="54">
        <f>PUNTOS[[#This Row],[Consumo (gal/mes)]]*$F$38</f>
        <v>984</v>
      </c>
      <c r="M16" s="67">
        <f>PUNTOS[[#This Row],[Cantidad Requerida (gal)]]*(PUNTOS[[#This Row],[Margen Estimado]]+PUNTOS[[#This Row],[Precio Combustible]])</f>
        <v>39545976</v>
      </c>
      <c r="N16" s="68">
        <f>PUNTOS[[#This Row],[Presupuesto Requerido]]/$F$39</f>
        <v>5.3697899541633193E-3</v>
      </c>
      <c r="O16" s="66">
        <f>ROUND($F$36*PUNTOS[[#This Row],[% Total]],-3)</f>
        <v>12904000</v>
      </c>
      <c r="P16" s="102">
        <v>22980</v>
      </c>
      <c r="Q16" s="102" t="s">
        <v>30</v>
      </c>
      <c r="R16" s="101" t="s">
        <v>30</v>
      </c>
      <c r="S16" s="103" t="s">
        <v>30</v>
      </c>
      <c r="T16" s="103" t="s">
        <v>61</v>
      </c>
      <c r="U16" s="103">
        <v>18000</v>
      </c>
      <c r="V16" s="67"/>
      <c r="W16" s="67">
        <v>22445.59</v>
      </c>
    </row>
    <row r="17" spans="1:23" s="50" customFormat="1">
      <c r="A17" s="51">
        <v>2</v>
      </c>
      <c r="B17" s="51">
        <v>4</v>
      </c>
      <c r="C17" s="52" t="s">
        <v>25</v>
      </c>
      <c r="D17" s="52" t="s">
        <v>26</v>
      </c>
      <c r="E17" s="52" t="s">
        <v>65</v>
      </c>
      <c r="F17" s="52" t="s">
        <v>68</v>
      </c>
      <c r="G17" s="53" t="s">
        <v>69</v>
      </c>
      <c r="H17" s="54">
        <v>53.74</v>
      </c>
      <c r="I17" s="54">
        <f>ROUND(PUNTOS[[#This Row],[Consumo (gal/día)]]*30.5,0)</f>
        <v>1639</v>
      </c>
      <c r="J17" s="101">
        <f>ROUND(IFERROR(AVERAGE(PUNTOS[[#This Row],[GAF]:[WFS]]),0),)</f>
        <v>21350</v>
      </c>
      <c r="K17" s="66">
        <f t="shared" si="0"/>
        <v>19699</v>
      </c>
      <c r="L17" s="54">
        <f>PUNTOS[[#This Row],[Consumo (gal/mes)]]*$F$38</f>
        <v>9834</v>
      </c>
      <c r="M17" s="67">
        <f>PUNTOS[[#This Row],[Cantidad Requerida (gal)]]*(PUNTOS[[#This Row],[Margen Estimado]]+PUNTOS[[#This Row],[Precio Combustible]])</f>
        <v>403675866</v>
      </c>
      <c r="N17" s="68">
        <f>PUNTOS[[#This Row],[Presupuesto Requerido]]/$F$39</f>
        <v>5.4813531722797244E-2</v>
      </c>
      <c r="O17" s="66">
        <f>ROUND($F$36*PUNTOS[[#This Row],[% Total]],-3)</f>
        <v>131717000</v>
      </c>
      <c r="P17" s="102">
        <v>23900</v>
      </c>
      <c r="Q17" s="102" t="s">
        <v>30</v>
      </c>
      <c r="R17" s="101" t="s">
        <v>30</v>
      </c>
      <c r="S17" s="103" t="s">
        <v>30</v>
      </c>
      <c r="T17" s="103" t="s">
        <v>61</v>
      </c>
      <c r="U17" s="103">
        <v>18800</v>
      </c>
      <c r="V17" s="67"/>
      <c r="W17" s="67">
        <v>23055.3</v>
      </c>
    </row>
    <row r="18" spans="1:23" s="50" customFormat="1">
      <c r="A18" s="51">
        <v>2</v>
      </c>
      <c r="B18" s="51">
        <v>5</v>
      </c>
      <c r="C18" s="52" t="s">
        <v>25</v>
      </c>
      <c r="D18" s="52" t="s">
        <v>26</v>
      </c>
      <c r="E18" s="52" t="s">
        <v>65</v>
      </c>
      <c r="F18" s="52" t="s">
        <v>70</v>
      </c>
      <c r="G18" s="53" t="s">
        <v>71</v>
      </c>
      <c r="H18" s="54">
        <v>79.010000000000005</v>
      </c>
      <c r="I18" s="54">
        <f>ROUND(PUNTOS[[#This Row],[Consumo (gal/día)]]*30.5,0)</f>
        <v>2410</v>
      </c>
      <c r="J18" s="101">
        <f>ROUND(IFERROR(AVERAGE(PUNTOS[[#This Row],[GAF]:[WFS]]),0),)</f>
        <v>21500</v>
      </c>
      <c r="K18" s="66">
        <f t="shared" si="0"/>
        <v>19699</v>
      </c>
      <c r="L18" s="54">
        <f>PUNTOS[[#This Row],[Consumo (gal/mes)]]*$F$38</f>
        <v>14460</v>
      </c>
      <c r="M18" s="67">
        <f>PUNTOS[[#This Row],[Cantidad Requerida (gal)]]*(PUNTOS[[#This Row],[Margen Estimado]]+PUNTOS[[#This Row],[Precio Combustible]])</f>
        <v>595737540</v>
      </c>
      <c r="N18" s="68">
        <f>PUNTOS[[#This Row],[Presupuesto Requerido]]/$F$39</f>
        <v>8.0892818465524E-2</v>
      </c>
      <c r="O18" s="66">
        <f>ROUND($F$36*PUNTOS[[#This Row],[% Total]],-3)</f>
        <v>194385000</v>
      </c>
      <c r="P18" s="102">
        <v>24000</v>
      </c>
      <c r="Q18" s="102" t="s">
        <v>30</v>
      </c>
      <c r="R18" s="101" t="s">
        <v>30</v>
      </c>
      <c r="S18" s="103" t="s">
        <v>30</v>
      </c>
      <c r="T18" s="103" t="s">
        <v>61</v>
      </c>
      <c r="U18" s="103">
        <v>19000</v>
      </c>
      <c r="V18" s="67"/>
      <c r="W18" s="67">
        <v>23461.77</v>
      </c>
    </row>
    <row r="19" spans="1:23" s="50" customFormat="1" ht="20.25">
      <c r="A19" s="51">
        <v>2</v>
      </c>
      <c r="B19" s="51">
        <v>6</v>
      </c>
      <c r="C19" s="52" t="s">
        <v>25</v>
      </c>
      <c r="D19" s="52" t="s">
        <v>26</v>
      </c>
      <c r="E19" s="52" t="s">
        <v>72</v>
      </c>
      <c r="F19" s="52" t="s">
        <v>73</v>
      </c>
      <c r="G19" s="53" t="s">
        <v>74</v>
      </c>
      <c r="H19" s="54">
        <v>43.29</v>
      </c>
      <c r="I19" s="54">
        <f>ROUND(PUNTOS[[#This Row],[Consumo (gal/día)]]*30.5,0)</f>
        <v>1320</v>
      </c>
      <c r="J19" s="101">
        <f>ROUND(IFERROR(AVERAGE(PUNTOS[[#This Row],[GAF]:[WFS]]),0),)</f>
        <v>18220</v>
      </c>
      <c r="K19" s="66">
        <f t="shared" si="0"/>
        <v>19699</v>
      </c>
      <c r="L19" s="54">
        <f>PUNTOS[[#This Row],[Consumo (gal/mes)]]*$F$38</f>
        <v>7920</v>
      </c>
      <c r="M19" s="67">
        <f>PUNTOS[[#This Row],[Cantidad Requerida (gal)]]*(PUNTOS[[#This Row],[Margen Estimado]]+PUNTOS[[#This Row],[Precio Combustible]])</f>
        <v>300318480</v>
      </c>
      <c r="N19" s="68">
        <f>PUNTOS[[#This Row],[Presupuesto Requerido]]/$F$39</f>
        <v>4.0779045558354605E-2</v>
      </c>
      <c r="O19" s="66">
        <f>ROUND($F$36*PUNTOS[[#This Row],[% Total]],-3)</f>
        <v>97992000</v>
      </c>
      <c r="P19" s="102">
        <v>20940</v>
      </c>
      <c r="Q19" s="102" t="s">
        <v>30</v>
      </c>
      <c r="R19" s="101" t="s">
        <v>30</v>
      </c>
      <c r="S19" s="103" t="s">
        <v>30</v>
      </c>
      <c r="T19" s="103" t="s">
        <v>61</v>
      </c>
      <c r="U19" s="103">
        <v>15500</v>
      </c>
      <c r="V19" s="67"/>
      <c r="W19" s="67">
        <v>19960.2</v>
      </c>
    </row>
    <row r="20" spans="1:23" s="50" customFormat="1">
      <c r="A20" s="51">
        <v>2</v>
      </c>
      <c r="B20" s="51">
        <v>7</v>
      </c>
      <c r="C20" s="52" t="s">
        <v>25</v>
      </c>
      <c r="D20" s="52" t="s">
        <v>26</v>
      </c>
      <c r="E20" s="52" t="s">
        <v>52</v>
      </c>
      <c r="F20" s="52" t="s">
        <v>75</v>
      </c>
      <c r="G20" s="53" t="s">
        <v>76</v>
      </c>
      <c r="H20" s="54">
        <v>8.6199999999999992</v>
      </c>
      <c r="I20" s="54">
        <f>ROUND(PUNTOS[[#This Row],[Consumo (gal/día)]]*30.5,0)</f>
        <v>263</v>
      </c>
      <c r="J20" s="101">
        <f>ROUND(IFERROR(AVERAGE(PUNTOS[[#This Row],[GAF]:[WFS]]),0),)</f>
        <v>13500</v>
      </c>
      <c r="K20" s="66">
        <f t="shared" si="0"/>
        <v>19699</v>
      </c>
      <c r="L20" s="54">
        <f>PUNTOS[[#This Row],[Consumo (gal/mes)]]*$F$38</f>
        <v>1578</v>
      </c>
      <c r="M20" s="67">
        <f>PUNTOS[[#This Row],[Cantidad Requerida (gal)]]*(PUNTOS[[#This Row],[Margen Estimado]]+PUNTOS[[#This Row],[Precio Combustible]])</f>
        <v>52388022</v>
      </c>
      <c r="N20" s="68">
        <f>PUNTOS[[#This Row],[Presupuesto Requerido]]/$F$39</f>
        <v>7.1135600308382067E-3</v>
      </c>
      <c r="O20" s="66">
        <f>ROUND($F$36*PUNTOS[[#This Row],[% Total]],-3)</f>
        <v>17094000</v>
      </c>
      <c r="P20" s="102" t="s">
        <v>30</v>
      </c>
      <c r="Q20" s="102" t="s">
        <v>30</v>
      </c>
      <c r="R20" s="101" t="s">
        <v>30</v>
      </c>
      <c r="S20" s="103" t="s">
        <v>30</v>
      </c>
      <c r="T20" s="103" t="s">
        <v>61</v>
      </c>
      <c r="U20" s="103">
        <v>13500</v>
      </c>
      <c r="V20" s="67"/>
      <c r="W20" s="67">
        <v>16409.650000000001</v>
      </c>
    </row>
    <row r="21" spans="1:23" s="50" customFormat="1">
      <c r="A21" s="51">
        <v>2</v>
      </c>
      <c r="B21" s="51">
        <v>8</v>
      </c>
      <c r="C21" s="52" t="s">
        <v>25</v>
      </c>
      <c r="D21" s="52" t="s">
        <v>26</v>
      </c>
      <c r="E21" s="52" t="s">
        <v>77</v>
      </c>
      <c r="F21" s="52" t="s">
        <v>78</v>
      </c>
      <c r="G21" s="53" t="s">
        <v>79</v>
      </c>
      <c r="H21" s="54">
        <v>56.11</v>
      </c>
      <c r="I21" s="54">
        <f>ROUND(PUNTOS[[#This Row],[Consumo (gal/día)]]*30.5,0)</f>
        <v>1711</v>
      </c>
      <c r="J21" s="101">
        <f>ROUND(IFERROR(AVERAGE(PUNTOS[[#This Row],[GAF]:[WFS]]),0),)</f>
        <v>16416</v>
      </c>
      <c r="K21" s="66">
        <f t="shared" si="0"/>
        <v>19699</v>
      </c>
      <c r="L21" s="54">
        <f>PUNTOS[[#This Row],[Consumo (gal/mes)]]*$F$38</f>
        <v>10266</v>
      </c>
      <c r="M21" s="67">
        <f>PUNTOS[[#This Row],[Cantidad Requerida (gal)]]*(PUNTOS[[#This Row],[Margen Estimado]]+PUNTOS[[#This Row],[Precio Combustible]])</f>
        <v>370756590</v>
      </c>
      <c r="N21" s="68">
        <f>PUNTOS[[#This Row],[Presupuesto Requerido]]/$F$39</f>
        <v>5.0343554864389961E-2</v>
      </c>
      <c r="O21" s="66">
        <f>ROUND($F$36*PUNTOS[[#This Row],[% Total]],-3)-1000</f>
        <v>120975000</v>
      </c>
      <c r="P21" s="102">
        <v>18932</v>
      </c>
      <c r="Q21" s="102" t="s">
        <v>30</v>
      </c>
      <c r="R21" s="101" t="s">
        <v>30</v>
      </c>
      <c r="S21" s="103" t="s">
        <v>30</v>
      </c>
      <c r="T21" s="103" t="s">
        <v>61</v>
      </c>
      <c r="U21" s="103">
        <v>13900</v>
      </c>
      <c r="V21" s="67"/>
      <c r="W21" s="67">
        <v>12435.49</v>
      </c>
    </row>
    <row r="22" spans="1:23" s="50" customFormat="1" ht="20.25">
      <c r="A22" s="51">
        <v>3</v>
      </c>
      <c r="B22" s="51">
        <v>1</v>
      </c>
      <c r="C22" s="52" t="s">
        <v>25</v>
      </c>
      <c r="D22" s="52" t="s">
        <v>26</v>
      </c>
      <c r="E22" s="52" t="s">
        <v>80</v>
      </c>
      <c r="F22" s="52" t="s">
        <v>81</v>
      </c>
      <c r="G22" s="53" t="s">
        <v>82</v>
      </c>
      <c r="H22" s="54">
        <v>9.75</v>
      </c>
      <c r="I22" s="54">
        <f>ROUND(PUNTOS[[#This Row],[Consumo (gal/día)]]*30.5,0)</f>
        <v>297</v>
      </c>
      <c r="J22" s="101">
        <f>ROUND(IFERROR(AVERAGE(PUNTOS[[#This Row],[GAF]:[WFS]]),0),)</f>
        <v>16268</v>
      </c>
      <c r="K22" s="66">
        <f t="shared" si="0"/>
        <v>19699</v>
      </c>
      <c r="L22" s="54">
        <f>PUNTOS[[#This Row],[Consumo (gal/mes)]]*$F$38</f>
        <v>1782</v>
      </c>
      <c r="M22" s="67">
        <f>PUNTOS[[#This Row],[Cantidad Requerida (gal)]]*(PUNTOS[[#This Row],[Margen Estimado]]+PUNTOS[[#This Row],[Precio Combustible]])</f>
        <v>64093194</v>
      </c>
      <c r="N22" s="68">
        <f>PUNTOS[[#This Row],[Presupuesto Requerido]]/$F$39</f>
        <v>8.7029585329096628E-3</v>
      </c>
      <c r="O22" s="66">
        <f>ROUND($F$36*PUNTOS[[#This Row],[% Total]],-3)</f>
        <v>20913000</v>
      </c>
      <c r="P22" s="102">
        <v>15188</v>
      </c>
      <c r="Q22" s="102">
        <v>14936.78635</v>
      </c>
      <c r="R22" s="102" t="s">
        <v>30</v>
      </c>
      <c r="S22" s="103" t="s">
        <v>30</v>
      </c>
      <c r="T22" s="103">
        <v>18680</v>
      </c>
      <c r="U22" s="102" t="s">
        <v>30</v>
      </c>
      <c r="V22" s="67">
        <v>11334.28</v>
      </c>
      <c r="W22" s="67"/>
    </row>
    <row r="23" spans="1:23" s="50" customFormat="1" ht="40.5">
      <c r="A23" s="51">
        <v>3</v>
      </c>
      <c r="B23" s="51">
        <v>2</v>
      </c>
      <c r="C23" s="52" t="s">
        <v>45</v>
      </c>
      <c r="D23" s="52" t="s">
        <v>26</v>
      </c>
      <c r="E23" s="52" t="s">
        <v>83</v>
      </c>
      <c r="F23" s="52" t="s">
        <v>84</v>
      </c>
      <c r="G23" s="53" t="s">
        <v>85</v>
      </c>
      <c r="H23" s="60">
        <v>8.2191780821917817</v>
      </c>
      <c r="I23" s="54">
        <f>ROUND(PUNTOS[[#This Row],[Consumo (gal/día)]]*30.5,0)</f>
        <v>251</v>
      </c>
      <c r="J23" s="101">
        <f>ROUND(IFERROR(AVERAGE(PUNTOS[[#This Row],[GAF]:[WFS]]),0),)</f>
        <v>13054</v>
      </c>
      <c r="K23" s="66">
        <f t="shared" si="0"/>
        <v>19699</v>
      </c>
      <c r="L23" s="60">
        <f>PUNTOS[[#This Row],[Consumo (gal/mes)]]*$F$38</f>
        <v>1506</v>
      </c>
      <c r="M23" s="67">
        <f>PUNTOS[[#This Row],[Cantidad Requerida (gal)]]*(PUNTOS[[#This Row],[Margen Estimado]]+PUNTOS[[#This Row],[Precio Combustible]])</f>
        <v>49326018</v>
      </c>
      <c r="N23" s="68">
        <f>PUNTOS[[#This Row],[Presupuesto Requerido]]/$F$39</f>
        <v>6.6977827512786402E-3</v>
      </c>
      <c r="O23" s="66">
        <f>ROUND($F$36*PUNTOS[[#This Row],[% Total]],-3)</f>
        <v>16095000</v>
      </c>
      <c r="P23" s="102">
        <v>9973.32</v>
      </c>
      <c r="Q23" s="102" t="s">
        <v>30</v>
      </c>
      <c r="R23" s="101" t="s">
        <v>30</v>
      </c>
      <c r="S23" s="103" t="s">
        <v>30</v>
      </c>
      <c r="T23" s="103">
        <v>16135</v>
      </c>
      <c r="U23" s="102" t="s">
        <v>30</v>
      </c>
      <c r="V23" s="67">
        <v>12843.19</v>
      </c>
      <c r="W23" s="67"/>
    </row>
    <row r="24" spans="1:23" s="50" customFormat="1" ht="42.4" customHeight="1">
      <c r="A24" s="51">
        <v>3</v>
      </c>
      <c r="B24" s="51">
        <v>3</v>
      </c>
      <c r="C24" s="52" t="s">
        <v>25</v>
      </c>
      <c r="D24" s="52" t="s">
        <v>26</v>
      </c>
      <c r="E24" s="52" t="s">
        <v>86</v>
      </c>
      <c r="F24" s="52" t="s">
        <v>87</v>
      </c>
      <c r="G24" s="53" t="s">
        <v>88</v>
      </c>
      <c r="H24" s="54">
        <v>15.31</v>
      </c>
      <c r="I24" s="54">
        <f>ROUND(PUNTOS[[#This Row],[Consumo (gal/día)]]*30.5,0)</f>
        <v>467</v>
      </c>
      <c r="J24" s="101">
        <f>ROUND(IFERROR(AVERAGE(PUNTOS[[#This Row],[GAF]:[WFS]]),0),)</f>
        <v>7202</v>
      </c>
      <c r="K24" s="66">
        <f t="shared" si="0"/>
        <v>19699</v>
      </c>
      <c r="L24" s="54">
        <f>PUNTOS[[#This Row],[Consumo (gal/mes)]]*$F$38</f>
        <v>2802</v>
      </c>
      <c r="M24" s="75">
        <f>PUNTOS[[#This Row],[Cantidad Requerida (gal)]]*(PUNTOS[[#This Row],[Margen Estimado]]+PUNTOS[[#This Row],[Precio Combustible]])</f>
        <v>75376602</v>
      </c>
      <c r="N24" s="68">
        <f>PUNTOS[[#This Row],[Presupuesto Requerido]]/$F$39</f>
        <v>1.0235087387868914E-2</v>
      </c>
      <c r="O24" s="66">
        <f>ROUND($F$36*PUNTOS[[#This Row],[% Total]],-3)</f>
        <v>24595000</v>
      </c>
      <c r="P24" s="102">
        <v>7136.16</v>
      </c>
      <c r="Q24" s="102">
        <v>6427.7211400000006</v>
      </c>
      <c r="R24" s="102" t="s">
        <v>30</v>
      </c>
      <c r="S24" s="103" t="s">
        <v>30</v>
      </c>
      <c r="T24" s="103">
        <v>8041</v>
      </c>
      <c r="U24" s="102" t="s">
        <v>30</v>
      </c>
      <c r="V24" s="67">
        <v>2825.5</v>
      </c>
      <c r="W24" s="67"/>
    </row>
    <row r="25" spans="1:23" s="50" customFormat="1" ht="30.4">
      <c r="A25" s="51">
        <v>3</v>
      </c>
      <c r="B25" s="51">
        <v>4</v>
      </c>
      <c r="C25" s="52" t="s">
        <v>45</v>
      </c>
      <c r="D25" s="52" t="s">
        <v>26</v>
      </c>
      <c r="E25" s="52" t="s">
        <v>89</v>
      </c>
      <c r="F25" s="52" t="s">
        <v>90</v>
      </c>
      <c r="G25" s="53" t="s">
        <v>91</v>
      </c>
      <c r="H25" s="60">
        <v>67</v>
      </c>
      <c r="I25" s="54">
        <f>ROUND(PUNTOS[[#This Row],[Consumo (gal/día)]]*30.5,0)</f>
        <v>2044</v>
      </c>
      <c r="J25" s="102">
        <f>ROUND(IFERROR(AVERAGE(PUNTOS[[#This Row],[GAF]:[WFS]]),0),)</f>
        <v>7613</v>
      </c>
      <c r="K25" s="66">
        <f t="shared" si="0"/>
        <v>19699</v>
      </c>
      <c r="L25" s="60">
        <f>PUNTOS[[#This Row],[Consumo (gal/mes)]]*$F$38</f>
        <v>12264</v>
      </c>
      <c r="M25" s="67">
        <f>PUNTOS[[#This Row],[Cantidad Requerida (gal)]]*(PUNTOS[[#This Row],[Margen Estimado]]+PUNTOS[[#This Row],[Precio Combustible]])</f>
        <v>334954368</v>
      </c>
      <c r="N25" s="68">
        <f>PUNTOS[[#This Row],[Presupuesto Requerido]]/$F$39</f>
        <v>4.5482114296269326E-2</v>
      </c>
      <c r="O25" s="66">
        <f>ROUND($F$36*PUNTOS[[#This Row],[% Total]],-3)</f>
        <v>109294000</v>
      </c>
      <c r="P25" s="102">
        <v>8839.32</v>
      </c>
      <c r="Q25" s="102" t="s">
        <v>30</v>
      </c>
      <c r="R25" s="101">
        <v>6800</v>
      </c>
      <c r="S25" s="103" t="s">
        <v>30</v>
      </c>
      <c r="T25" s="103">
        <v>7200</v>
      </c>
      <c r="U25" s="102" t="s">
        <v>30</v>
      </c>
      <c r="V25" s="67">
        <v>3179.92</v>
      </c>
      <c r="W25" s="67"/>
    </row>
    <row r="26" spans="1:23" s="50" customFormat="1" ht="30.4">
      <c r="A26" s="76">
        <v>3</v>
      </c>
      <c r="B26" s="51">
        <v>5</v>
      </c>
      <c r="C26" s="52" t="s">
        <v>45</v>
      </c>
      <c r="D26" s="52" t="s">
        <v>26</v>
      </c>
      <c r="E26" s="52" t="s">
        <v>92</v>
      </c>
      <c r="F26" s="52" t="s">
        <v>93</v>
      </c>
      <c r="G26" s="53" t="s">
        <v>94</v>
      </c>
      <c r="H26" s="60">
        <v>8.2191780821917817</v>
      </c>
      <c r="I26" s="54">
        <f>ROUND(PUNTOS[[#This Row],[Consumo (gal/día)]]*30.5,0)</f>
        <v>251</v>
      </c>
      <c r="J26" s="102">
        <f>ROUND(IFERROR(AVERAGE(PUNTOS[[#This Row],[GAF]:[WFS]]),0),)</f>
        <v>7500</v>
      </c>
      <c r="K26" s="66">
        <f t="shared" si="0"/>
        <v>19699</v>
      </c>
      <c r="L26" s="60">
        <f>PUNTOS[[#This Row],[Consumo (gal/mes)]]*$F$38</f>
        <v>1506</v>
      </c>
      <c r="M26" s="67">
        <f>PUNTOS[[#This Row],[Cantidad Requerida (gal)]]*(PUNTOS[[#This Row],[Margen Estimado]]+PUNTOS[[#This Row],[Precio Combustible]])</f>
        <v>40961694</v>
      </c>
      <c r="N26" s="68">
        <f>PUNTOS[[#This Row],[Presupuesto Requerido]]/$F$39</f>
        <v>5.5620246405528578E-3</v>
      </c>
      <c r="O26" s="66">
        <f>ROUND($F$36*PUNTOS[[#This Row],[% Total]],-3)</f>
        <v>13366000</v>
      </c>
      <c r="P26" s="102">
        <v>7500</v>
      </c>
      <c r="Q26" s="102" t="s">
        <v>30</v>
      </c>
      <c r="R26" s="101" t="s">
        <v>30</v>
      </c>
      <c r="S26" s="103" t="s">
        <v>30</v>
      </c>
      <c r="T26" s="103" t="s">
        <v>61</v>
      </c>
      <c r="U26" s="103" t="s">
        <v>95</v>
      </c>
      <c r="V26" s="67"/>
      <c r="W26" s="67"/>
    </row>
    <row r="27" spans="1:23" s="50" customFormat="1" ht="20.25">
      <c r="A27" s="51">
        <v>3</v>
      </c>
      <c r="B27" s="51">
        <v>6</v>
      </c>
      <c r="C27" s="52" t="s">
        <v>25</v>
      </c>
      <c r="D27" s="52" t="s">
        <v>26</v>
      </c>
      <c r="E27" s="52" t="s">
        <v>96</v>
      </c>
      <c r="F27" s="52" t="s">
        <v>97</v>
      </c>
      <c r="G27" s="53" t="s">
        <v>98</v>
      </c>
      <c r="H27" s="54">
        <v>122.18</v>
      </c>
      <c r="I27" s="54">
        <f>ROUND(PUNTOS[[#This Row],[Consumo (gal/día)]]*30.5,0)</f>
        <v>3726</v>
      </c>
      <c r="J27" s="102">
        <f>ROUND(IFERROR(AVERAGE(PUNTOS[[#This Row],[GAF]:[WFS]]),0),)</f>
        <v>12079</v>
      </c>
      <c r="K27" s="66">
        <f t="shared" si="0"/>
        <v>19699</v>
      </c>
      <c r="L27" s="54">
        <f>PUNTOS[[#This Row],[Consumo (gal/mes)]]*$F$38</f>
        <v>22356</v>
      </c>
      <c r="M27" s="67">
        <f>PUNTOS[[#This Row],[Cantidad Requerida (gal)]]*(PUNTOS[[#This Row],[Margen Estimado]]+PUNTOS[[#This Row],[Precio Combustible]])</f>
        <v>710428968</v>
      </c>
      <c r="N27" s="68">
        <f>PUNTOS[[#This Row],[Presupuesto Requerido]]/$F$39</f>
        <v>9.6466308873322901E-2</v>
      </c>
      <c r="O27" s="66">
        <f>ROUND($F$36*PUNTOS[[#This Row],[% Total]],-3)</f>
        <v>231809000</v>
      </c>
      <c r="P27" s="102">
        <v>10820</v>
      </c>
      <c r="Q27" s="102" t="s">
        <v>30</v>
      </c>
      <c r="R27" s="102" t="s">
        <v>30</v>
      </c>
      <c r="S27" s="103" t="s">
        <v>30</v>
      </c>
      <c r="T27" s="103">
        <v>13338</v>
      </c>
      <c r="U27" s="102" t="s">
        <v>30</v>
      </c>
      <c r="V27" s="67">
        <v>10670.01</v>
      </c>
      <c r="W27" s="67"/>
    </row>
    <row r="28" spans="1:23" s="50" customFormat="1" ht="40.5">
      <c r="A28" s="51">
        <v>3</v>
      </c>
      <c r="B28" s="51">
        <v>7</v>
      </c>
      <c r="C28" s="52" t="s">
        <v>45</v>
      </c>
      <c r="D28" s="52" t="s">
        <v>26</v>
      </c>
      <c r="E28" s="52" t="s">
        <v>99</v>
      </c>
      <c r="F28" s="52" t="s">
        <v>100</v>
      </c>
      <c r="G28" s="53" t="s">
        <v>101</v>
      </c>
      <c r="H28" s="60">
        <v>54</v>
      </c>
      <c r="I28" s="54">
        <f>ROUND(PUNTOS[[#This Row],[Consumo (gal/día)]]*30.5,0)</f>
        <v>1647</v>
      </c>
      <c r="J28" s="102">
        <f>ROUND(IFERROR(AVERAGE(PUNTOS[[#This Row],[GAF]:[WFS]]),0),)</f>
        <v>6962</v>
      </c>
      <c r="K28" s="66">
        <f t="shared" si="0"/>
        <v>19699</v>
      </c>
      <c r="L28" s="60">
        <f>PUNTOS[[#This Row],[Consumo (gal/mes)]]*$F$38</f>
        <v>9882</v>
      </c>
      <c r="M28" s="67">
        <f>PUNTOS[[#This Row],[Cantidad Requerida (gal)]]*(PUNTOS[[#This Row],[Margen Estimado]]+PUNTOS[[#This Row],[Precio Combustible]])</f>
        <v>263464002</v>
      </c>
      <c r="N28" s="68">
        <f>PUNTOS[[#This Row],[Presupuesto Requerido]]/$F$39</f>
        <v>3.5774723355500561E-2</v>
      </c>
      <c r="O28" s="66">
        <f>ROUND($F$36*PUNTOS[[#This Row],[% Total]],-3)</f>
        <v>85967000</v>
      </c>
      <c r="P28" s="102">
        <v>7040.3735999999999</v>
      </c>
      <c r="Q28" s="102" t="s">
        <v>30</v>
      </c>
      <c r="R28" s="101">
        <v>4300</v>
      </c>
      <c r="S28" s="103" t="s">
        <v>30</v>
      </c>
      <c r="T28" s="103">
        <v>9546</v>
      </c>
      <c r="U28" s="102" t="s">
        <v>30</v>
      </c>
      <c r="V28" s="67">
        <v>3890.68</v>
      </c>
      <c r="W28" s="67"/>
    </row>
    <row r="29" spans="1:23" s="50" customFormat="1">
      <c r="A29" s="51">
        <v>3</v>
      </c>
      <c r="B29" s="51">
        <v>8</v>
      </c>
      <c r="C29" s="52" t="s">
        <v>25</v>
      </c>
      <c r="D29" s="52" t="s">
        <v>102</v>
      </c>
      <c r="E29" s="52" t="s">
        <v>103</v>
      </c>
      <c r="F29" s="52" t="s">
        <v>104</v>
      </c>
      <c r="G29" s="53" t="s">
        <v>105</v>
      </c>
      <c r="H29" s="54">
        <v>0.48</v>
      </c>
      <c r="I29" s="54">
        <f>ROUND(PUNTOS[[#This Row],[Consumo (gal/día)]]*30.5,0)</f>
        <v>15</v>
      </c>
      <c r="J29" s="102">
        <f>ROUND(IFERROR(AVERAGE(PUNTOS[[#This Row],[GAF]:[WFS]]),0),)</f>
        <v>20427</v>
      </c>
      <c r="K29" s="66">
        <f t="shared" si="0"/>
        <v>19699</v>
      </c>
      <c r="L29" s="54">
        <f>PUNTOS[[#This Row],[Consumo (gal/mes)]]*$F$38</f>
        <v>90</v>
      </c>
      <c r="M29" s="67">
        <f>PUNTOS[[#This Row],[Cantidad Requerida (gal)]]*(PUNTOS[[#This Row],[Margen Estimado]]+PUNTOS[[#This Row],[Precio Combustible]])</f>
        <v>3611340</v>
      </c>
      <c r="N29" s="68">
        <f>PUNTOS[[#This Row],[Presupuesto Requerido]]/$F$39</f>
        <v>4.903694184477369E-4</v>
      </c>
      <c r="O29" s="66">
        <f>ROUND($F$36*PUNTOS[[#This Row],[% Total]],-3)</f>
        <v>1178000</v>
      </c>
      <c r="P29" s="102">
        <v>19900</v>
      </c>
      <c r="Q29" s="102" t="s">
        <v>30</v>
      </c>
      <c r="R29" s="102" t="s">
        <v>30</v>
      </c>
      <c r="S29" s="103" t="s">
        <v>30</v>
      </c>
      <c r="T29" s="103">
        <v>20954</v>
      </c>
      <c r="U29" s="102" t="s">
        <v>30</v>
      </c>
      <c r="V29" s="67">
        <v>19602.7</v>
      </c>
      <c r="W29" s="67"/>
    </row>
    <row r="30" spans="1:23" s="50" customFormat="1">
      <c r="A30" s="51">
        <v>3</v>
      </c>
      <c r="B30" s="51">
        <v>9</v>
      </c>
      <c r="C30" s="52" t="s">
        <v>25</v>
      </c>
      <c r="D30" s="52" t="s">
        <v>26</v>
      </c>
      <c r="E30" s="52" t="s">
        <v>103</v>
      </c>
      <c r="F30" s="52" t="s">
        <v>104</v>
      </c>
      <c r="G30" s="53" t="s">
        <v>105</v>
      </c>
      <c r="H30" s="54">
        <v>11.85</v>
      </c>
      <c r="I30" s="54">
        <f>ROUND(PUNTOS[[#This Row],[Consumo (gal/día)]]*30.5,0)</f>
        <v>361</v>
      </c>
      <c r="J30" s="102">
        <f>ROUND(IFERROR(AVERAGE(PUNTOS[[#This Row],[GAF]:[WFS]]),0),)</f>
        <v>20417</v>
      </c>
      <c r="K30" s="66">
        <f t="shared" si="0"/>
        <v>19699</v>
      </c>
      <c r="L30" s="54">
        <f>PUNTOS[[#This Row],[Consumo (gal/mes)]]*$F$38</f>
        <v>2166</v>
      </c>
      <c r="M30" s="67">
        <f>PUNTOS[[#This Row],[Cantidad Requerida (gal)]]*(PUNTOS[[#This Row],[Margen Estimado]]+PUNTOS[[#This Row],[Precio Combustible]])</f>
        <v>86891256</v>
      </c>
      <c r="N30" s="71">
        <f>PUNTOS[[#This Row],[Presupuesto Requerido]]/$F$39</f>
        <v>1.1798616212517635E-2</v>
      </c>
      <c r="O30" s="66">
        <f>ROUND($F$36*PUNTOS[[#This Row],[% Total]],-3)</f>
        <v>28352000</v>
      </c>
      <c r="P30" s="102">
        <v>19833.653600000001</v>
      </c>
      <c r="Q30" s="102" t="s">
        <v>30</v>
      </c>
      <c r="R30" s="102" t="s">
        <v>30</v>
      </c>
      <c r="S30" s="103" t="s">
        <v>30</v>
      </c>
      <c r="T30" s="103">
        <v>21000</v>
      </c>
      <c r="U30" s="102" t="s">
        <v>30</v>
      </c>
      <c r="V30" s="67">
        <v>19602.7</v>
      </c>
      <c r="W30" s="67"/>
    </row>
    <row r="31" spans="1:23" s="50" customFormat="1" ht="20.25">
      <c r="A31" s="76">
        <v>3</v>
      </c>
      <c r="B31" s="51">
        <v>10</v>
      </c>
      <c r="C31" s="52" t="s">
        <v>45</v>
      </c>
      <c r="D31" s="52" t="s">
        <v>26</v>
      </c>
      <c r="E31" s="52" t="s">
        <v>103</v>
      </c>
      <c r="F31" s="52" t="s">
        <v>106</v>
      </c>
      <c r="G31" s="53" t="s">
        <v>107</v>
      </c>
      <c r="H31" s="60">
        <v>8.2191780821917817</v>
      </c>
      <c r="I31" s="54">
        <f>ROUND(PUNTOS[[#This Row],[Consumo (gal/día)]]*30.5,0)</f>
        <v>251</v>
      </c>
      <c r="J31" s="102">
        <f>ROUND(IFERROR(AVERAGE(PUNTOS[[#This Row],[GAF]:[WFS]]),0),)</f>
        <v>7200</v>
      </c>
      <c r="K31" s="66">
        <f t="shared" si="0"/>
        <v>19699</v>
      </c>
      <c r="L31" s="60">
        <f>PUNTOS[[#This Row],[Consumo (gal/mes)]]*$F$38</f>
        <v>1506</v>
      </c>
      <c r="M31" s="67">
        <f>PUNTOS[[#This Row],[Cantidad Requerida (gal)]]*(PUNTOS[[#This Row],[Margen Estimado]]+PUNTOS[[#This Row],[Precio Combustible]])</f>
        <v>40509894</v>
      </c>
      <c r="N31" s="68">
        <f>PUNTOS[[#This Row],[Presupuesto Requerido]]/$F$39</f>
        <v>5.5006765251013386E-3</v>
      </c>
      <c r="O31" s="66">
        <f>ROUND($F$36*PUNTOS[[#This Row],[% Total]],-3)</f>
        <v>13218000</v>
      </c>
      <c r="P31" s="102">
        <v>7200</v>
      </c>
      <c r="Q31" s="102" t="s">
        <v>30</v>
      </c>
      <c r="R31" s="101" t="s">
        <v>30</v>
      </c>
      <c r="S31" s="103" t="s">
        <v>30</v>
      </c>
      <c r="T31" s="103" t="s">
        <v>61</v>
      </c>
      <c r="U31" s="103" t="s">
        <v>108</v>
      </c>
      <c r="V31" s="67"/>
      <c r="W31" s="67"/>
    </row>
    <row r="32" spans="1:23" s="100" customFormat="1">
      <c r="A32" s="57"/>
      <c r="B32" s="97"/>
      <c r="C32" s="98"/>
      <c r="D32" s="57"/>
      <c r="E32" s="61"/>
      <c r="F32" s="62"/>
      <c r="G32" s="99" t="s">
        <v>109</v>
      </c>
      <c r="H32" s="63">
        <f>SUBTOTAL(109,PUNTOS[Consumo (gal/día)])</f>
        <v>1146.9075342465751</v>
      </c>
      <c r="I32" s="58">
        <f>SUBTOTAL(109,PUNTOS[Consumo (gal/mes)])</f>
        <v>34982</v>
      </c>
      <c r="J32" s="104">
        <f>SUBTOTAL(101,PUNTOS[Margen Estimado])</f>
        <v>16525.25</v>
      </c>
      <c r="K32" s="61"/>
      <c r="L32" s="58">
        <f>SUBTOTAL(109,PUNTOS[Cantidad Requerida (gal)])</f>
        <v>209892</v>
      </c>
      <c r="M32" s="57">
        <f>SUBTOTAL(109,PUNTOS[Presupuesto Requerido])</f>
        <v>7364529402</v>
      </c>
      <c r="N32" s="64">
        <f>SUBTOTAL(109,PUNTOS[% Total])</f>
        <v>1.0000000000000002</v>
      </c>
      <c r="O32" s="57">
        <f>SUBTOTAL(109,PUNTOS[Presupuesto Asignado])</f>
        <v>2403000000</v>
      </c>
      <c r="P32" s="104">
        <f>SUBTOTAL(101,PUNTOS[GAF])</f>
        <v>15225.323733333333</v>
      </c>
      <c r="Q32" s="104"/>
      <c r="R32" s="104"/>
      <c r="S32" s="104"/>
      <c r="T32" s="104">
        <f>SUBTOTAL(109,PUNTOS[FASTER FUEL SAS])</f>
        <v>308177</v>
      </c>
      <c r="U32" s="104">
        <f>SUBTOTAL(101,PUNTOS[WFS])</f>
        <v>16112.5</v>
      </c>
      <c r="V32" s="61"/>
      <c r="W32" s="61"/>
    </row>
    <row r="34" spans="4:13">
      <c r="M34" s="128">
        <f>PUNTOS[[#Totals],[Presupuesto Requerido]]/F38</f>
        <v>1227421567</v>
      </c>
    </row>
    <row r="35" spans="4:13">
      <c r="D35" s="39"/>
    </row>
    <row r="36" spans="4:13">
      <c r="D36" s="39" t="s">
        <v>110</v>
      </c>
      <c r="F36" s="40">
        <v>2403000000</v>
      </c>
    </row>
    <row r="37" spans="4:13">
      <c r="D37" s="39" t="s">
        <v>111</v>
      </c>
      <c r="F37" s="41">
        <f>ROUND(17908.15*1.1,0)</f>
        <v>19699</v>
      </c>
    </row>
    <row r="38" spans="4:13">
      <c r="D38" s="39" t="s">
        <v>112</v>
      </c>
      <c r="F38" s="1">
        <v>6</v>
      </c>
      <c r="M38" s="40">
        <f>PUNTOS[[#Totals],[Presupuesto Requerido]]/2</f>
        <v>3682264701</v>
      </c>
    </row>
    <row r="39" spans="4:13">
      <c r="D39" s="39" t="s">
        <v>113</v>
      </c>
      <c r="F39" s="40">
        <f>SUM(PUNTOS[Presupuesto Requerido])</f>
        <v>7364529402</v>
      </c>
    </row>
    <row r="41" spans="4:13">
      <c r="D41" s="39" t="s">
        <v>114</v>
      </c>
      <c r="F41" s="40">
        <f>F39-F36</f>
        <v>4961529402</v>
      </c>
    </row>
    <row r="43" spans="4:13">
      <c r="F43" s="40">
        <f>F36-PUNTOS[[#Totals],[Presupuesto Asignado]]</f>
        <v>0</v>
      </c>
    </row>
  </sheetData>
  <protectedRanges>
    <protectedRange sqref="Q7" name="Rango1_1"/>
  </protectedRanges>
  <pageMargins left="0.7" right="0.7" top="0.75" bottom="0.75" header="0.3" footer="0.3"/>
  <pageSetup orientation="portrait" horizontalDpi="200" verticalDpi="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DA10B-6721-4FC4-B872-39795B8266BA}">
  <sheetPr filterMode="1"/>
  <dimension ref="A1:L193"/>
  <sheetViews>
    <sheetView topLeftCell="B1" zoomScale="90" zoomScaleNormal="90" workbookViewId="0">
      <pane ySplit="5" topLeftCell="A6" activePane="bottomLeft" state="frozen"/>
      <selection pane="bottomLeft" activeCell="G200" sqref="G200"/>
      <selection activeCell="I197" sqref="I197"/>
    </sheetView>
  </sheetViews>
  <sheetFormatPr defaultColWidth="11.42578125" defaultRowHeight="14.25"/>
  <cols>
    <col min="1" max="1" width="3.85546875" customWidth="1"/>
    <col min="2" max="2" width="9" customWidth="1"/>
    <col min="3" max="6" width="20.7109375" customWidth="1"/>
    <col min="7" max="7" width="82.140625" customWidth="1"/>
    <col min="8" max="12" width="20.7109375" customWidth="1"/>
  </cols>
  <sheetData>
    <row r="1" spans="1:12" ht="14.65" thickBot="1">
      <c r="A1" s="131"/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2" ht="21" customHeight="1" thickBot="1">
      <c r="B2" s="132" t="s">
        <v>115</v>
      </c>
      <c r="C2" s="133"/>
      <c r="D2" s="133"/>
      <c r="E2" s="133"/>
      <c r="F2" s="133"/>
      <c r="G2" s="133"/>
      <c r="H2" s="133"/>
      <c r="I2" s="133"/>
      <c r="J2" s="133"/>
      <c r="K2" s="133"/>
      <c r="L2" s="134"/>
    </row>
    <row r="3" spans="1:12" ht="14.65" thickBot="1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</row>
    <row r="4" spans="1:12" ht="15.75" customHeight="1" thickBot="1">
      <c r="B4" s="135" t="s">
        <v>116</v>
      </c>
      <c r="C4" s="137" t="s">
        <v>6</v>
      </c>
      <c r="D4" s="137" t="s">
        <v>117</v>
      </c>
      <c r="E4" s="137" t="s">
        <v>118</v>
      </c>
      <c r="F4" s="137" t="s">
        <v>119</v>
      </c>
      <c r="G4" s="139" t="s">
        <v>120</v>
      </c>
      <c r="H4" s="141" t="s">
        <v>121</v>
      </c>
      <c r="I4" s="142"/>
      <c r="J4" s="142"/>
      <c r="K4" s="143"/>
      <c r="L4" s="144"/>
    </row>
    <row r="5" spans="1:12" ht="38.25" hidden="1">
      <c r="B5" s="136"/>
      <c r="C5" s="138"/>
      <c r="D5" s="138"/>
      <c r="E5" s="138"/>
      <c r="F5" s="138"/>
      <c r="G5" s="140"/>
      <c r="H5" s="2" t="s">
        <v>122</v>
      </c>
      <c r="I5" s="3" t="s">
        <v>123</v>
      </c>
      <c r="J5" s="4" t="s">
        <v>124</v>
      </c>
      <c r="K5" s="4" t="s">
        <v>18</v>
      </c>
      <c r="L5" s="3" t="s">
        <v>125</v>
      </c>
    </row>
    <row r="6" spans="1:12" hidden="1">
      <c r="B6" s="5">
        <v>1</v>
      </c>
      <c r="C6" s="6" t="s">
        <v>99</v>
      </c>
      <c r="D6" s="6" t="s">
        <v>100</v>
      </c>
      <c r="E6" s="6" t="s">
        <v>126</v>
      </c>
      <c r="F6" s="6" t="s">
        <v>127</v>
      </c>
      <c r="G6" s="6" t="s">
        <v>101</v>
      </c>
      <c r="H6" s="7">
        <v>6651.41</v>
      </c>
      <c r="I6" s="7">
        <v>6688.98</v>
      </c>
      <c r="J6" s="7">
        <v>6651.41</v>
      </c>
      <c r="K6" s="7">
        <v>6696.49</v>
      </c>
      <c r="L6" s="8"/>
    </row>
    <row r="7" spans="1:12" hidden="1">
      <c r="B7" s="9">
        <v>2</v>
      </c>
      <c r="C7" s="10" t="s">
        <v>99</v>
      </c>
      <c r="D7" s="10" t="s">
        <v>100</v>
      </c>
      <c r="E7" s="10" t="s">
        <v>25</v>
      </c>
      <c r="F7" s="11" t="s">
        <v>102</v>
      </c>
      <c r="G7" s="10" t="s">
        <v>128</v>
      </c>
      <c r="H7" s="12">
        <v>3919.35</v>
      </c>
      <c r="I7" s="12"/>
      <c r="J7" s="12"/>
      <c r="K7" s="12"/>
      <c r="L7" s="13"/>
    </row>
    <row r="8" spans="1:12" hidden="1">
      <c r="B8" s="14">
        <v>3</v>
      </c>
      <c r="C8" s="10" t="s">
        <v>99</v>
      </c>
      <c r="D8" s="10" t="s">
        <v>100</v>
      </c>
      <c r="E8" s="10" t="s">
        <v>25</v>
      </c>
      <c r="F8" s="10" t="s">
        <v>127</v>
      </c>
      <c r="G8" s="10" t="s">
        <v>128</v>
      </c>
      <c r="H8" s="15">
        <v>4536.6099999999997</v>
      </c>
      <c r="I8" s="15"/>
      <c r="J8" s="15"/>
      <c r="K8" s="15"/>
      <c r="L8" s="16"/>
    </row>
    <row r="9" spans="1:12" hidden="1">
      <c r="B9" s="14">
        <v>4</v>
      </c>
      <c r="C9" s="10" t="s">
        <v>58</v>
      </c>
      <c r="D9" s="10" t="s">
        <v>129</v>
      </c>
      <c r="E9" s="10" t="s">
        <v>126</v>
      </c>
      <c r="F9" s="10" t="s">
        <v>127</v>
      </c>
      <c r="G9" s="10" t="s">
        <v>130</v>
      </c>
      <c r="H9" s="17"/>
      <c r="I9" s="15">
        <v>7396.42</v>
      </c>
      <c r="J9" s="15">
        <v>7405</v>
      </c>
      <c r="K9" s="15">
        <v>7405</v>
      </c>
      <c r="L9" s="16"/>
    </row>
    <row r="10" spans="1:12" hidden="1">
      <c r="B10" s="9">
        <v>5</v>
      </c>
      <c r="C10" s="10" t="s">
        <v>58</v>
      </c>
      <c r="D10" s="10" t="s">
        <v>131</v>
      </c>
      <c r="E10" s="10" t="s">
        <v>25</v>
      </c>
      <c r="F10" s="10" t="s">
        <v>127</v>
      </c>
      <c r="G10" s="10" t="s">
        <v>132</v>
      </c>
      <c r="H10" s="17"/>
      <c r="I10" s="15">
        <v>9704.44</v>
      </c>
      <c r="J10" s="15">
        <v>8549.35</v>
      </c>
      <c r="K10" s="15">
        <v>9718.4</v>
      </c>
      <c r="L10" s="16">
        <v>9700.15</v>
      </c>
    </row>
    <row r="11" spans="1:12" hidden="1">
      <c r="B11" s="14">
        <v>6</v>
      </c>
      <c r="C11" s="10" t="s">
        <v>133</v>
      </c>
      <c r="D11" s="10" t="s">
        <v>134</v>
      </c>
      <c r="E11" s="10" t="s">
        <v>126</v>
      </c>
      <c r="F11" s="18" t="s">
        <v>102</v>
      </c>
      <c r="G11" s="10" t="s">
        <v>135</v>
      </c>
      <c r="H11" s="19">
        <v>6829.61</v>
      </c>
      <c r="I11" s="19">
        <v>6874.69</v>
      </c>
      <c r="J11" s="19">
        <v>6883.28</v>
      </c>
      <c r="K11" s="19">
        <v>6883.28</v>
      </c>
      <c r="L11" s="20"/>
    </row>
    <row r="12" spans="1:12" hidden="1">
      <c r="B12" s="14">
        <v>7</v>
      </c>
      <c r="C12" s="10" t="s">
        <v>133</v>
      </c>
      <c r="D12" s="10" t="s">
        <v>134</v>
      </c>
      <c r="E12" s="10" t="s">
        <v>126</v>
      </c>
      <c r="F12" s="10" t="s">
        <v>127</v>
      </c>
      <c r="G12" s="10" t="s">
        <v>135</v>
      </c>
      <c r="H12" s="15">
        <v>4726.62</v>
      </c>
      <c r="I12" s="15">
        <v>4741.6499999999996</v>
      </c>
      <c r="J12" s="15">
        <v>4691.2</v>
      </c>
      <c r="K12" s="15">
        <v>4744.87</v>
      </c>
      <c r="L12" s="16"/>
    </row>
    <row r="13" spans="1:12" hidden="1">
      <c r="B13" s="9">
        <v>8</v>
      </c>
      <c r="C13" s="10" t="s">
        <v>83</v>
      </c>
      <c r="D13" s="10" t="s">
        <v>83</v>
      </c>
      <c r="E13" s="10" t="s">
        <v>126</v>
      </c>
      <c r="F13" s="10" t="s">
        <v>127</v>
      </c>
      <c r="G13" s="10" t="s">
        <v>136</v>
      </c>
      <c r="H13" s="21"/>
      <c r="I13" s="21">
        <v>10341.030000000001</v>
      </c>
      <c r="J13" s="21"/>
      <c r="K13" s="21"/>
      <c r="L13" s="22"/>
    </row>
    <row r="14" spans="1:12" hidden="1">
      <c r="B14" s="14">
        <v>9</v>
      </c>
      <c r="C14" s="10" t="s">
        <v>83</v>
      </c>
      <c r="D14" s="10" t="s">
        <v>83</v>
      </c>
      <c r="E14" s="10" t="s">
        <v>25</v>
      </c>
      <c r="F14" s="10" t="s">
        <v>127</v>
      </c>
      <c r="G14" s="10" t="s">
        <v>137</v>
      </c>
      <c r="H14" s="15"/>
      <c r="I14" s="15">
        <v>9603.5300000000007</v>
      </c>
      <c r="J14" s="15">
        <v>9620.7099999999991</v>
      </c>
      <c r="K14" s="15">
        <v>9617.49</v>
      </c>
      <c r="L14" s="16">
        <v>9599.24</v>
      </c>
    </row>
    <row r="15" spans="1:12" hidden="1">
      <c r="B15" s="14">
        <v>10</v>
      </c>
      <c r="C15" s="10" t="s">
        <v>83</v>
      </c>
      <c r="D15" s="10" t="s">
        <v>83</v>
      </c>
      <c r="E15" s="10" t="s">
        <v>25</v>
      </c>
      <c r="F15" s="18" t="s">
        <v>102</v>
      </c>
      <c r="G15" s="10" t="s">
        <v>138</v>
      </c>
      <c r="H15" s="19">
        <v>9240.69</v>
      </c>
      <c r="I15" s="19"/>
      <c r="J15" s="19"/>
      <c r="K15" s="19"/>
      <c r="L15" s="20"/>
    </row>
    <row r="16" spans="1:12" hidden="1">
      <c r="B16" s="9">
        <v>11</v>
      </c>
      <c r="C16" s="18" t="s">
        <v>49</v>
      </c>
      <c r="D16" s="18" t="s">
        <v>50</v>
      </c>
      <c r="E16" s="10" t="s">
        <v>25</v>
      </c>
      <c r="F16" s="10" t="s">
        <v>127</v>
      </c>
      <c r="G16" s="10" t="s">
        <v>51</v>
      </c>
      <c r="H16" s="15"/>
      <c r="I16" s="15">
        <v>17187.810000000001</v>
      </c>
      <c r="J16" s="15"/>
      <c r="K16" s="15"/>
      <c r="L16" s="16"/>
    </row>
    <row r="17" spans="2:12" hidden="1">
      <c r="B17" s="14">
        <v>12</v>
      </c>
      <c r="C17" s="11" t="s">
        <v>55</v>
      </c>
      <c r="D17" s="11" t="s">
        <v>139</v>
      </c>
      <c r="E17" s="10" t="s">
        <v>126</v>
      </c>
      <c r="F17" s="10" t="s">
        <v>127</v>
      </c>
      <c r="G17" s="10" t="s">
        <v>140</v>
      </c>
      <c r="H17" s="15"/>
      <c r="I17" s="15">
        <v>30852.39</v>
      </c>
      <c r="J17" s="15">
        <v>30912.51</v>
      </c>
      <c r="K17" s="15"/>
      <c r="L17" s="16"/>
    </row>
    <row r="18" spans="2:12" hidden="1">
      <c r="B18" s="14">
        <v>13</v>
      </c>
      <c r="C18" s="10" t="s">
        <v>141</v>
      </c>
      <c r="D18" s="10" t="s">
        <v>142</v>
      </c>
      <c r="E18" s="10" t="s">
        <v>126</v>
      </c>
      <c r="F18" s="10" t="s">
        <v>127</v>
      </c>
      <c r="G18" s="10" t="s">
        <v>143</v>
      </c>
      <c r="H18" s="15">
        <v>5309.53</v>
      </c>
      <c r="I18" s="15">
        <v>5300.94</v>
      </c>
      <c r="J18" s="15">
        <v>5310.6</v>
      </c>
      <c r="K18" s="15">
        <v>5276.25</v>
      </c>
      <c r="L18" s="16"/>
    </row>
    <row r="19" spans="2:12" hidden="1">
      <c r="B19" s="9">
        <v>14</v>
      </c>
      <c r="C19" s="10" t="s">
        <v>141</v>
      </c>
      <c r="D19" s="10" t="s">
        <v>142</v>
      </c>
      <c r="E19" s="10" t="s">
        <v>25</v>
      </c>
      <c r="F19" s="10" t="s">
        <v>102</v>
      </c>
      <c r="G19" s="10" t="s">
        <v>144</v>
      </c>
      <c r="H19" s="15"/>
      <c r="I19" s="15">
        <v>14355.92</v>
      </c>
      <c r="J19" s="15">
        <v>14383.83</v>
      </c>
      <c r="K19" s="15">
        <v>14378.46</v>
      </c>
      <c r="L19" s="16"/>
    </row>
    <row r="20" spans="2:12" hidden="1">
      <c r="B20" s="14">
        <v>15</v>
      </c>
      <c r="C20" s="10" t="s">
        <v>141</v>
      </c>
      <c r="D20" s="10" t="s">
        <v>142</v>
      </c>
      <c r="E20" s="10" t="s">
        <v>25</v>
      </c>
      <c r="F20" s="10" t="s">
        <v>127</v>
      </c>
      <c r="G20" s="10" t="s">
        <v>144</v>
      </c>
      <c r="H20" s="15"/>
      <c r="I20" s="15">
        <v>12197.11</v>
      </c>
      <c r="J20" s="15">
        <v>12220.72</v>
      </c>
      <c r="K20" s="15">
        <v>12215.36</v>
      </c>
      <c r="L20" s="16">
        <v>12198.18</v>
      </c>
    </row>
    <row r="21" spans="2:12" hidden="1">
      <c r="B21" s="14">
        <v>16</v>
      </c>
      <c r="C21" s="10" t="s">
        <v>86</v>
      </c>
      <c r="D21" s="10" t="s">
        <v>145</v>
      </c>
      <c r="E21" s="10" t="s">
        <v>126</v>
      </c>
      <c r="F21" s="10" t="s">
        <v>127</v>
      </c>
      <c r="G21" s="10" t="s">
        <v>146</v>
      </c>
      <c r="H21" s="15"/>
      <c r="I21" s="15">
        <v>3162.53</v>
      </c>
      <c r="J21" s="15">
        <v>3166.83</v>
      </c>
      <c r="K21" s="15"/>
      <c r="L21" s="16"/>
    </row>
    <row r="22" spans="2:12" hidden="1">
      <c r="B22" s="9">
        <v>17</v>
      </c>
      <c r="C22" s="10" t="s">
        <v>86</v>
      </c>
      <c r="D22" s="10" t="s">
        <v>145</v>
      </c>
      <c r="E22" s="10" t="s">
        <v>126</v>
      </c>
      <c r="F22" s="10" t="s">
        <v>127</v>
      </c>
      <c r="G22" s="10" t="s">
        <v>147</v>
      </c>
      <c r="H22" s="15">
        <v>4869.3999999999996</v>
      </c>
      <c r="I22" s="15">
        <v>4875.84</v>
      </c>
      <c r="J22" s="15">
        <v>4881.2</v>
      </c>
      <c r="K22" s="15">
        <v>4879.0600000000004</v>
      </c>
      <c r="L22" s="16"/>
    </row>
    <row r="23" spans="2:12" hidden="1">
      <c r="B23" s="14">
        <v>18</v>
      </c>
      <c r="C23" s="10" t="s">
        <v>86</v>
      </c>
      <c r="D23" s="10" t="s">
        <v>145</v>
      </c>
      <c r="E23" s="10" t="s">
        <v>25</v>
      </c>
      <c r="F23" s="10" t="s">
        <v>102</v>
      </c>
      <c r="G23" s="10" t="s">
        <v>88</v>
      </c>
      <c r="H23" s="17"/>
      <c r="I23" s="15">
        <v>9246.06</v>
      </c>
      <c r="J23" s="15">
        <v>9264.31</v>
      </c>
      <c r="K23" s="15"/>
      <c r="L23" s="16"/>
    </row>
    <row r="24" spans="2:12" hidden="1">
      <c r="B24" s="14">
        <v>19</v>
      </c>
      <c r="C24" s="10" t="s">
        <v>86</v>
      </c>
      <c r="D24" s="10" t="s">
        <v>145</v>
      </c>
      <c r="E24" s="10" t="s">
        <v>25</v>
      </c>
      <c r="F24" s="10" t="s">
        <v>127</v>
      </c>
      <c r="G24" s="10" t="s">
        <v>88</v>
      </c>
      <c r="H24" s="17"/>
      <c r="I24" s="15">
        <v>5630.51</v>
      </c>
      <c r="J24" s="15">
        <v>5640.17</v>
      </c>
      <c r="K24" s="15">
        <v>5635.88</v>
      </c>
      <c r="L24" s="16">
        <v>5617.63</v>
      </c>
    </row>
    <row r="25" spans="2:12" hidden="1">
      <c r="B25" s="9">
        <v>20</v>
      </c>
      <c r="C25" s="18" t="s">
        <v>58</v>
      </c>
      <c r="D25" s="18" t="s">
        <v>148</v>
      </c>
      <c r="E25" s="10" t="s">
        <v>126</v>
      </c>
      <c r="F25" s="10" t="s">
        <v>127</v>
      </c>
      <c r="G25" s="10" t="s">
        <v>149</v>
      </c>
      <c r="H25" s="17"/>
      <c r="I25" s="15">
        <v>4847.93</v>
      </c>
      <c r="J25" s="15">
        <v>4857.59</v>
      </c>
      <c r="K25" s="15">
        <v>4852.22</v>
      </c>
      <c r="L25" s="16"/>
    </row>
    <row r="26" spans="2:12" hidden="1">
      <c r="B26" s="14">
        <v>21</v>
      </c>
      <c r="C26" s="11" t="s">
        <v>150</v>
      </c>
      <c r="D26" s="11" t="s">
        <v>150</v>
      </c>
      <c r="E26" s="10" t="s">
        <v>25</v>
      </c>
      <c r="F26" s="10" t="s">
        <v>127</v>
      </c>
      <c r="G26" s="10" t="s">
        <v>151</v>
      </c>
      <c r="H26" s="17"/>
      <c r="I26" s="15"/>
      <c r="J26" s="15"/>
      <c r="K26" s="15"/>
      <c r="L26" s="16">
        <v>3550.06</v>
      </c>
    </row>
    <row r="27" spans="2:12" hidden="1">
      <c r="B27" s="14">
        <v>22</v>
      </c>
      <c r="C27" s="11" t="s">
        <v>150</v>
      </c>
      <c r="D27" s="11" t="s">
        <v>150</v>
      </c>
      <c r="E27" s="10" t="s">
        <v>126</v>
      </c>
      <c r="F27" s="10" t="s">
        <v>127</v>
      </c>
      <c r="G27" s="10" t="s">
        <v>151</v>
      </c>
      <c r="H27" s="17"/>
      <c r="I27" s="15">
        <v>4140.49</v>
      </c>
      <c r="J27" s="15">
        <v>4144.78</v>
      </c>
      <c r="K27" s="15">
        <v>4112.58</v>
      </c>
      <c r="L27" s="16">
        <v>3929.01</v>
      </c>
    </row>
    <row r="28" spans="2:12" hidden="1">
      <c r="B28" s="9">
        <v>23</v>
      </c>
      <c r="C28" s="11" t="s">
        <v>150</v>
      </c>
      <c r="D28" s="11" t="s">
        <v>150</v>
      </c>
      <c r="E28" s="10" t="s">
        <v>126</v>
      </c>
      <c r="F28" s="10" t="s">
        <v>127</v>
      </c>
      <c r="G28" s="10" t="s">
        <v>152</v>
      </c>
      <c r="H28" s="17"/>
      <c r="I28" s="15">
        <v>4140.49</v>
      </c>
      <c r="J28" s="15">
        <v>4144.78</v>
      </c>
      <c r="K28" s="15">
        <v>4112.58</v>
      </c>
      <c r="L28" s="16">
        <v>3929.01</v>
      </c>
    </row>
    <row r="29" spans="2:12" hidden="1">
      <c r="B29" s="14">
        <v>24</v>
      </c>
      <c r="C29" s="11" t="s">
        <v>150</v>
      </c>
      <c r="D29" s="11" t="s">
        <v>150</v>
      </c>
      <c r="E29" s="10" t="s">
        <v>126</v>
      </c>
      <c r="F29" s="10" t="s">
        <v>127</v>
      </c>
      <c r="G29" s="10" t="s">
        <v>153</v>
      </c>
      <c r="H29" s="17"/>
      <c r="I29" s="15">
        <v>4140.49</v>
      </c>
      <c r="J29" s="15">
        <v>4144.78</v>
      </c>
      <c r="K29" s="15">
        <v>4112.58</v>
      </c>
      <c r="L29" s="16">
        <v>3929.01</v>
      </c>
    </row>
    <row r="30" spans="2:12" hidden="1">
      <c r="B30" s="14">
        <v>25</v>
      </c>
      <c r="C30" s="11" t="s">
        <v>150</v>
      </c>
      <c r="D30" s="11" t="s">
        <v>150</v>
      </c>
      <c r="E30" s="10" t="s">
        <v>126</v>
      </c>
      <c r="F30" s="10" t="s">
        <v>127</v>
      </c>
      <c r="G30" s="10" t="s">
        <v>154</v>
      </c>
      <c r="H30" s="17"/>
      <c r="I30" s="15">
        <v>4140.49</v>
      </c>
      <c r="J30" s="15">
        <v>4144.78</v>
      </c>
      <c r="K30" s="15">
        <v>4112.58</v>
      </c>
      <c r="L30" s="16">
        <v>3929.01</v>
      </c>
    </row>
    <row r="31" spans="2:12" hidden="1">
      <c r="B31" s="9">
        <v>26</v>
      </c>
      <c r="C31" s="11" t="s">
        <v>150</v>
      </c>
      <c r="D31" s="11" t="s">
        <v>150</v>
      </c>
      <c r="E31" s="10" t="s">
        <v>25</v>
      </c>
      <c r="F31" s="10" t="s">
        <v>127</v>
      </c>
      <c r="G31" s="10" t="s">
        <v>155</v>
      </c>
      <c r="H31" s="17"/>
      <c r="I31" s="15"/>
      <c r="J31" s="15">
        <v>3573.68</v>
      </c>
      <c r="K31" s="15"/>
      <c r="L31" s="16">
        <v>3550.06</v>
      </c>
    </row>
    <row r="32" spans="2:12" hidden="1">
      <c r="B32" s="14">
        <v>27</v>
      </c>
      <c r="C32" s="10" t="s">
        <v>141</v>
      </c>
      <c r="D32" s="10" t="s">
        <v>156</v>
      </c>
      <c r="E32" s="10" t="s">
        <v>25</v>
      </c>
      <c r="F32" s="10" t="s">
        <v>102</v>
      </c>
      <c r="G32" s="10" t="s">
        <v>157</v>
      </c>
      <c r="H32" s="17"/>
      <c r="I32" s="15">
        <v>10668.44</v>
      </c>
      <c r="J32" s="15">
        <v>10689.91</v>
      </c>
      <c r="K32" s="15">
        <v>10683.47</v>
      </c>
      <c r="L32" s="16">
        <v>10665.22</v>
      </c>
    </row>
    <row r="33" spans="2:12" hidden="1">
      <c r="B33" s="14">
        <v>28</v>
      </c>
      <c r="C33" s="10" t="s">
        <v>141</v>
      </c>
      <c r="D33" s="10" t="s">
        <v>156</v>
      </c>
      <c r="E33" s="10" t="s">
        <v>25</v>
      </c>
      <c r="F33" s="10" t="s">
        <v>127</v>
      </c>
      <c r="G33" s="10" t="s">
        <v>157</v>
      </c>
      <c r="H33" s="17"/>
      <c r="I33" s="15">
        <v>7028.2</v>
      </c>
      <c r="J33" s="15">
        <v>7040.01</v>
      </c>
      <c r="K33" s="15">
        <v>7035.72</v>
      </c>
      <c r="L33" s="16">
        <v>7018.54</v>
      </c>
    </row>
    <row r="34" spans="2:12" hidden="1">
      <c r="B34" s="9">
        <v>29</v>
      </c>
      <c r="C34" s="10" t="s">
        <v>55</v>
      </c>
      <c r="D34" s="10" t="s">
        <v>56</v>
      </c>
      <c r="E34" s="10" t="s">
        <v>126</v>
      </c>
      <c r="F34" s="10" t="s">
        <v>127</v>
      </c>
      <c r="G34" s="10" t="s">
        <v>154</v>
      </c>
      <c r="H34" s="17"/>
      <c r="I34" s="15">
        <v>4030.99</v>
      </c>
      <c r="J34" s="15">
        <v>4039.58</v>
      </c>
      <c r="K34" s="15"/>
      <c r="L34" s="16"/>
    </row>
    <row r="35" spans="2:12" hidden="1">
      <c r="B35" s="14">
        <v>30</v>
      </c>
      <c r="C35" s="10" t="s">
        <v>55</v>
      </c>
      <c r="D35" s="10" t="s">
        <v>56</v>
      </c>
      <c r="E35" s="10" t="s">
        <v>126</v>
      </c>
      <c r="F35" s="10" t="s">
        <v>127</v>
      </c>
      <c r="G35" s="10" t="s">
        <v>158</v>
      </c>
      <c r="H35" s="17"/>
      <c r="I35" s="15"/>
      <c r="J35" s="15">
        <v>23239.13</v>
      </c>
      <c r="K35" s="15"/>
      <c r="L35" s="16"/>
    </row>
    <row r="36" spans="2:12" hidden="1">
      <c r="B36" s="14">
        <v>31</v>
      </c>
      <c r="C36" s="10" t="s">
        <v>55</v>
      </c>
      <c r="D36" s="10" t="s">
        <v>56</v>
      </c>
      <c r="E36" s="10" t="s">
        <v>25</v>
      </c>
      <c r="F36" s="10" t="s">
        <v>127</v>
      </c>
      <c r="G36" s="10" t="s">
        <v>57</v>
      </c>
      <c r="H36" s="17"/>
      <c r="I36" s="15">
        <v>20150.669999999998</v>
      </c>
      <c r="J36" s="15"/>
      <c r="K36" s="15"/>
      <c r="L36" s="16"/>
    </row>
    <row r="37" spans="2:12" hidden="1">
      <c r="B37" s="9">
        <v>32</v>
      </c>
      <c r="C37" s="10" t="s">
        <v>42</v>
      </c>
      <c r="D37" s="10" t="s">
        <v>159</v>
      </c>
      <c r="E37" s="10" t="s">
        <v>126</v>
      </c>
      <c r="F37" s="10" t="s">
        <v>127</v>
      </c>
      <c r="G37" s="10" t="s">
        <v>160</v>
      </c>
      <c r="H37" s="15">
        <v>5333.15</v>
      </c>
      <c r="I37" s="15">
        <v>5339.59</v>
      </c>
      <c r="J37" s="15">
        <v>5350.32</v>
      </c>
      <c r="K37" s="15">
        <v>5344.96</v>
      </c>
      <c r="L37" s="16"/>
    </row>
    <row r="38" spans="2:12" hidden="1">
      <c r="B38" s="14">
        <v>33</v>
      </c>
      <c r="C38" s="11" t="s">
        <v>39</v>
      </c>
      <c r="D38" s="11" t="s">
        <v>161</v>
      </c>
      <c r="E38" s="10" t="s">
        <v>126</v>
      </c>
      <c r="F38" s="10" t="s">
        <v>127</v>
      </c>
      <c r="G38" s="10" t="s">
        <v>162</v>
      </c>
      <c r="H38" s="15">
        <v>5178.5600000000004</v>
      </c>
      <c r="I38" s="15">
        <v>5182.8599999999997</v>
      </c>
      <c r="J38" s="15"/>
      <c r="K38" s="15"/>
      <c r="L38" s="16"/>
    </row>
    <row r="39" spans="2:12" hidden="1">
      <c r="B39" s="14">
        <v>34</v>
      </c>
      <c r="C39" s="10" t="s">
        <v>55</v>
      </c>
      <c r="D39" s="10" t="s">
        <v>163</v>
      </c>
      <c r="E39" s="10" t="s">
        <v>126</v>
      </c>
      <c r="F39" s="10" t="s">
        <v>127</v>
      </c>
      <c r="G39" s="10" t="s">
        <v>164</v>
      </c>
      <c r="H39" s="15">
        <v>6485.01</v>
      </c>
      <c r="I39" s="15">
        <v>6489.31</v>
      </c>
      <c r="J39" s="15">
        <v>6498.97</v>
      </c>
      <c r="K39" s="15">
        <v>6496.82</v>
      </c>
      <c r="L39" s="16"/>
    </row>
    <row r="40" spans="2:12" hidden="1">
      <c r="B40" s="9">
        <v>35</v>
      </c>
      <c r="C40" s="10" t="s">
        <v>55</v>
      </c>
      <c r="D40" s="10" t="s">
        <v>163</v>
      </c>
      <c r="E40" s="10" t="s">
        <v>126</v>
      </c>
      <c r="F40" s="10" t="s">
        <v>127</v>
      </c>
      <c r="G40" s="10" t="s">
        <v>165</v>
      </c>
      <c r="H40" s="15">
        <v>3824.88</v>
      </c>
      <c r="I40" s="15"/>
      <c r="J40" s="15">
        <v>3825.95</v>
      </c>
      <c r="K40" s="15">
        <v>3821.66</v>
      </c>
      <c r="L40" s="16"/>
    </row>
    <row r="41" spans="2:12" hidden="1">
      <c r="B41" s="14">
        <v>36</v>
      </c>
      <c r="C41" s="10" t="s">
        <v>55</v>
      </c>
      <c r="D41" s="10" t="s">
        <v>163</v>
      </c>
      <c r="E41" s="10" t="s">
        <v>126</v>
      </c>
      <c r="F41" s="18" t="s">
        <v>102</v>
      </c>
      <c r="G41" s="10" t="s">
        <v>165</v>
      </c>
      <c r="H41" s="19">
        <v>6164.04</v>
      </c>
      <c r="I41" s="19"/>
      <c r="J41" s="19">
        <v>6175.85</v>
      </c>
      <c r="K41" s="19">
        <v>6170.48</v>
      </c>
      <c r="L41" s="20"/>
    </row>
    <row r="42" spans="2:12" hidden="1">
      <c r="B42" s="14">
        <v>37</v>
      </c>
      <c r="C42" s="10" t="s">
        <v>55</v>
      </c>
      <c r="D42" s="10" t="s">
        <v>163</v>
      </c>
      <c r="E42" s="10" t="s">
        <v>25</v>
      </c>
      <c r="F42" s="10" t="s">
        <v>127</v>
      </c>
      <c r="G42" s="10" t="s">
        <v>166</v>
      </c>
      <c r="H42" s="15"/>
      <c r="I42" s="15">
        <v>6152.23</v>
      </c>
      <c r="J42" s="15">
        <v>6164.04</v>
      </c>
      <c r="K42" s="15">
        <v>6158.67</v>
      </c>
      <c r="L42" s="16">
        <v>6140.42</v>
      </c>
    </row>
    <row r="43" spans="2:12" hidden="1">
      <c r="B43" s="9">
        <v>38</v>
      </c>
      <c r="C43" s="10" t="s">
        <v>55</v>
      </c>
      <c r="D43" s="10" t="s">
        <v>163</v>
      </c>
      <c r="E43" s="10" t="s">
        <v>25</v>
      </c>
      <c r="F43" s="18" t="s">
        <v>102</v>
      </c>
      <c r="G43" s="10" t="s">
        <v>166</v>
      </c>
      <c r="H43" s="19"/>
      <c r="I43" s="19">
        <v>9246.06</v>
      </c>
      <c r="J43" s="19"/>
      <c r="K43" s="19"/>
      <c r="L43" s="20"/>
    </row>
    <row r="44" spans="2:12" hidden="1">
      <c r="B44" s="14">
        <v>39</v>
      </c>
      <c r="C44" s="10" t="s">
        <v>83</v>
      </c>
      <c r="D44" s="10" t="s">
        <v>84</v>
      </c>
      <c r="E44" s="10" t="s">
        <v>126</v>
      </c>
      <c r="F44" s="10" t="s">
        <v>127</v>
      </c>
      <c r="G44" s="10" t="s">
        <v>85</v>
      </c>
      <c r="H44" s="15"/>
      <c r="I44" s="15">
        <v>11261.02</v>
      </c>
      <c r="J44" s="15"/>
      <c r="K44" s="15"/>
      <c r="L44" s="16"/>
    </row>
    <row r="45" spans="2:12" hidden="1">
      <c r="B45" s="14">
        <v>40</v>
      </c>
      <c r="C45" s="10" t="s">
        <v>58</v>
      </c>
      <c r="D45" s="10" t="s">
        <v>167</v>
      </c>
      <c r="E45" s="10" t="s">
        <v>126</v>
      </c>
      <c r="F45" s="10" t="s">
        <v>127</v>
      </c>
      <c r="G45" s="10" t="s">
        <v>168</v>
      </c>
      <c r="H45" s="15"/>
      <c r="I45" s="15">
        <v>10041.52</v>
      </c>
      <c r="J45" s="15">
        <v>10059.77</v>
      </c>
      <c r="K45" s="15"/>
      <c r="L45" s="16"/>
    </row>
    <row r="46" spans="2:12" hidden="1">
      <c r="B46" s="9">
        <v>41</v>
      </c>
      <c r="C46" s="10" t="s">
        <v>89</v>
      </c>
      <c r="D46" s="10" t="s">
        <v>169</v>
      </c>
      <c r="E46" s="10" t="s">
        <v>25</v>
      </c>
      <c r="F46" s="10" t="s">
        <v>102</v>
      </c>
      <c r="G46" s="10" t="s">
        <v>170</v>
      </c>
      <c r="H46" s="15"/>
      <c r="I46" s="15">
        <v>8793.0400000000009</v>
      </c>
      <c r="J46" s="15">
        <v>8809.14</v>
      </c>
      <c r="K46" s="15">
        <v>8804.85</v>
      </c>
      <c r="L46" s="16"/>
    </row>
    <row r="47" spans="2:12" hidden="1">
      <c r="B47" s="14">
        <v>42</v>
      </c>
      <c r="C47" s="10" t="s">
        <v>89</v>
      </c>
      <c r="D47" s="10" t="s">
        <v>169</v>
      </c>
      <c r="E47" s="10" t="s">
        <v>25</v>
      </c>
      <c r="F47" s="10" t="s">
        <v>127</v>
      </c>
      <c r="G47" s="10" t="s">
        <v>170</v>
      </c>
      <c r="H47" s="15"/>
      <c r="I47" s="15">
        <v>5550</v>
      </c>
      <c r="J47" s="15">
        <v>5558.58</v>
      </c>
      <c r="K47" s="15">
        <v>5555.36</v>
      </c>
      <c r="L47" s="16">
        <v>5537.11</v>
      </c>
    </row>
    <row r="48" spans="2:12" hidden="1">
      <c r="B48" s="14">
        <v>43</v>
      </c>
      <c r="C48" s="10" t="s">
        <v>89</v>
      </c>
      <c r="D48" s="10" t="s">
        <v>169</v>
      </c>
      <c r="E48" s="10" t="s">
        <v>126</v>
      </c>
      <c r="F48" s="11" t="s">
        <v>127</v>
      </c>
      <c r="G48" s="10" t="s">
        <v>171</v>
      </c>
      <c r="H48" s="12"/>
      <c r="I48" s="12">
        <v>6038.44</v>
      </c>
      <c r="J48" s="12">
        <v>6049.17</v>
      </c>
      <c r="K48" s="12"/>
      <c r="L48" s="13"/>
    </row>
    <row r="49" spans="2:12" hidden="1">
      <c r="B49" s="9">
        <v>44</v>
      </c>
      <c r="C49" s="10" t="s">
        <v>89</v>
      </c>
      <c r="D49" s="10" t="s">
        <v>169</v>
      </c>
      <c r="E49" s="10" t="s">
        <v>126</v>
      </c>
      <c r="F49" s="10" t="s">
        <v>127</v>
      </c>
      <c r="G49" s="10" t="s">
        <v>172</v>
      </c>
      <c r="H49" s="15"/>
      <c r="I49" s="15">
        <v>5305.24</v>
      </c>
      <c r="J49" s="15">
        <v>5314.9</v>
      </c>
      <c r="K49" s="15"/>
      <c r="L49" s="16"/>
    </row>
    <row r="50" spans="2:12" hidden="1">
      <c r="B50" s="14">
        <v>45</v>
      </c>
      <c r="C50" s="10" t="s">
        <v>96</v>
      </c>
      <c r="D50" s="10" t="s">
        <v>173</v>
      </c>
      <c r="E50" s="10" t="s">
        <v>126</v>
      </c>
      <c r="F50" s="10" t="s">
        <v>127</v>
      </c>
      <c r="G50" s="10" t="s">
        <v>174</v>
      </c>
      <c r="H50" s="15"/>
      <c r="I50" s="15">
        <v>5334.22</v>
      </c>
      <c r="J50" s="15">
        <v>5343.88</v>
      </c>
      <c r="K50" s="15"/>
      <c r="L50" s="16"/>
    </row>
    <row r="51" spans="2:12" hidden="1">
      <c r="B51" s="14">
        <v>46</v>
      </c>
      <c r="C51" s="10" t="s">
        <v>55</v>
      </c>
      <c r="D51" s="10" t="s">
        <v>175</v>
      </c>
      <c r="E51" s="10" t="s">
        <v>25</v>
      </c>
      <c r="F51" s="10" t="s">
        <v>102</v>
      </c>
      <c r="G51" s="10" t="s">
        <v>176</v>
      </c>
      <c r="H51" s="15"/>
      <c r="I51" s="15"/>
      <c r="J51" s="15"/>
      <c r="K51" s="15">
        <v>7120.53</v>
      </c>
      <c r="L51" s="16"/>
    </row>
    <row r="52" spans="2:12" hidden="1">
      <c r="B52" s="9">
        <v>47</v>
      </c>
      <c r="C52" s="10" t="s">
        <v>58</v>
      </c>
      <c r="D52" s="10" t="s">
        <v>59</v>
      </c>
      <c r="E52" s="10" t="s">
        <v>126</v>
      </c>
      <c r="F52" s="10" t="s">
        <v>127</v>
      </c>
      <c r="G52" s="10" t="s">
        <v>154</v>
      </c>
      <c r="H52" s="15">
        <v>5914.99</v>
      </c>
      <c r="I52" s="15">
        <v>5926.79</v>
      </c>
      <c r="J52" s="15">
        <v>5936.46</v>
      </c>
      <c r="K52" s="15">
        <v>5903.18</v>
      </c>
      <c r="L52" s="16"/>
    </row>
    <row r="53" spans="2:12" hidden="1">
      <c r="B53" s="14">
        <v>48</v>
      </c>
      <c r="C53" s="10" t="s">
        <v>58</v>
      </c>
      <c r="D53" s="10" t="s">
        <v>59</v>
      </c>
      <c r="E53" s="10" t="s">
        <v>126</v>
      </c>
      <c r="F53" s="10" t="s">
        <v>127</v>
      </c>
      <c r="G53" s="10" t="s">
        <v>177</v>
      </c>
      <c r="H53" s="15">
        <v>5914.99</v>
      </c>
      <c r="I53" s="15">
        <v>5926.79</v>
      </c>
      <c r="J53" s="15">
        <v>5936.46</v>
      </c>
      <c r="K53" s="15">
        <v>5903.18</v>
      </c>
      <c r="L53" s="16"/>
    </row>
    <row r="54" spans="2:12" hidden="1">
      <c r="B54" s="14">
        <v>49</v>
      </c>
      <c r="C54" s="10" t="s">
        <v>58</v>
      </c>
      <c r="D54" s="10" t="s">
        <v>59</v>
      </c>
      <c r="E54" s="10" t="s">
        <v>25</v>
      </c>
      <c r="F54" s="10" t="s">
        <v>127</v>
      </c>
      <c r="G54" s="10" t="s">
        <v>178</v>
      </c>
      <c r="H54" s="15"/>
      <c r="I54" s="15"/>
      <c r="J54" s="15"/>
      <c r="K54" s="15"/>
      <c r="L54" s="16">
        <v>18781.96</v>
      </c>
    </row>
    <row r="55" spans="2:12" hidden="1">
      <c r="B55" s="9">
        <v>50</v>
      </c>
      <c r="C55" s="10" t="s">
        <v>103</v>
      </c>
      <c r="D55" s="10" t="s">
        <v>106</v>
      </c>
      <c r="E55" s="10" t="s">
        <v>126</v>
      </c>
      <c r="F55" s="10" t="s">
        <v>127</v>
      </c>
      <c r="G55" s="10" t="s">
        <v>179</v>
      </c>
      <c r="H55" s="15">
        <v>5404</v>
      </c>
      <c r="I55" s="15">
        <v>5402.93</v>
      </c>
      <c r="J55" s="15">
        <v>5411.51</v>
      </c>
      <c r="K55" s="15"/>
      <c r="L55" s="16"/>
    </row>
    <row r="56" spans="2:12" hidden="1">
      <c r="B56" s="14">
        <v>51</v>
      </c>
      <c r="C56" s="10" t="s">
        <v>52</v>
      </c>
      <c r="D56" s="10" t="s">
        <v>53</v>
      </c>
      <c r="E56" s="10" t="s">
        <v>126</v>
      </c>
      <c r="F56" s="10" t="s">
        <v>127</v>
      </c>
      <c r="G56" s="10" t="s">
        <v>180</v>
      </c>
      <c r="H56" s="15"/>
      <c r="I56" s="15">
        <v>4391.6899999999996</v>
      </c>
      <c r="J56" s="15">
        <v>4399.2</v>
      </c>
      <c r="K56" s="15"/>
      <c r="L56" s="16"/>
    </row>
    <row r="57" spans="2:12" hidden="1">
      <c r="B57" s="14">
        <v>52</v>
      </c>
      <c r="C57" s="10" t="s">
        <v>52</v>
      </c>
      <c r="D57" s="10" t="s">
        <v>53</v>
      </c>
      <c r="E57" s="10" t="s">
        <v>25</v>
      </c>
      <c r="F57" s="10" t="s">
        <v>127</v>
      </c>
      <c r="G57" s="10" t="s">
        <v>54</v>
      </c>
      <c r="H57" s="15"/>
      <c r="I57" s="15">
        <v>18372.95</v>
      </c>
      <c r="J57" s="15"/>
      <c r="K57" s="15"/>
      <c r="L57" s="16"/>
    </row>
    <row r="58" spans="2:12" hidden="1">
      <c r="B58" s="9">
        <v>53</v>
      </c>
      <c r="C58" s="10" t="s">
        <v>52</v>
      </c>
      <c r="D58" s="10" t="s">
        <v>75</v>
      </c>
      <c r="E58" s="10" t="s">
        <v>25</v>
      </c>
      <c r="F58" s="10" t="s">
        <v>127</v>
      </c>
      <c r="G58" s="10" t="s">
        <v>76</v>
      </c>
      <c r="H58" s="15"/>
      <c r="I58" s="15"/>
      <c r="J58" s="15"/>
      <c r="K58" s="15"/>
      <c r="L58" s="16">
        <v>14388.12</v>
      </c>
    </row>
    <row r="59" spans="2:12" hidden="1">
      <c r="B59" s="14">
        <v>54</v>
      </c>
      <c r="C59" s="10" t="s">
        <v>46</v>
      </c>
      <c r="D59" s="10" t="s">
        <v>181</v>
      </c>
      <c r="E59" s="10" t="s">
        <v>25</v>
      </c>
      <c r="F59" s="10" t="s">
        <v>127</v>
      </c>
      <c r="G59" s="10" t="s">
        <v>182</v>
      </c>
      <c r="H59" s="15"/>
      <c r="I59" s="15">
        <v>7688.41</v>
      </c>
      <c r="J59" s="15">
        <v>7703.44</v>
      </c>
      <c r="K59" s="15">
        <v>7698.07</v>
      </c>
      <c r="L59" s="16">
        <v>7679.82</v>
      </c>
    </row>
    <row r="60" spans="2:12" hidden="1">
      <c r="B60" s="14">
        <v>55</v>
      </c>
      <c r="C60" s="10" t="s">
        <v>46</v>
      </c>
      <c r="D60" s="10" t="s">
        <v>181</v>
      </c>
      <c r="E60" s="10" t="s">
        <v>126</v>
      </c>
      <c r="F60" s="10" t="s">
        <v>127</v>
      </c>
      <c r="G60" s="10" t="s">
        <v>183</v>
      </c>
      <c r="H60" s="15"/>
      <c r="I60" s="15">
        <v>7303.02</v>
      </c>
      <c r="J60" s="15">
        <v>7315.9</v>
      </c>
      <c r="K60" s="15"/>
      <c r="L60" s="16"/>
    </row>
    <row r="61" spans="2:12" hidden="1">
      <c r="B61" s="9">
        <v>56</v>
      </c>
      <c r="C61" s="10" t="s">
        <v>77</v>
      </c>
      <c r="D61" s="10" t="s">
        <v>184</v>
      </c>
      <c r="E61" s="10" t="s">
        <v>126</v>
      </c>
      <c r="F61" s="10" t="s">
        <v>127</v>
      </c>
      <c r="G61" s="10" t="s">
        <v>185</v>
      </c>
      <c r="H61" s="15">
        <v>4929.51</v>
      </c>
      <c r="I61" s="15"/>
      <c r="J61" s="15"/>
      <c r="K61" s="15"/>
      <c r="L61" s="16"/>
    </row>
    <row r="62" spans="2:12" hidden="1">
      <c r="B62" s="14">
        <v>57</v>
      </c>
      <c r="C62" s="10" t="s">
        <v>77</v>
      </c>
      <c r="D62" s="10" t="s">
        <v>184</v>
      </c>
      <c r="E62" s="10" t="s">
        <v>25</v>
      </c>
      <c r="F62" s="18" t="s">
        <v>102</v>
      </c>
      <c r="G62" s="10" t="s">
        <v>186</v>
      </c>
      <c r="H62" s="19">
        <v>11687.19</v>
      </c>
      <c r="I62" s="19"/>
      <c r="J62" s="19"/>
      <c r="K62" s="19"/>
      <c r="L62" s="20"/>
    </row>
    <row r="63" spans="2:12" hidden="1">
      <c r="B63" s="14">
        <v>58</v>
      </c>
      <c r="C63" s="10" t="s">
        <v>77</v>
      </c>
      <c r="D63" s="10" t="s">
        <v>184</v>
      </c>
      <c r="E63" s="10" t="s">
        <v>126</v>
      </c>
      <c r="F63" s="10" t="s">
        <v>127</v>
      </c>
      <c r="G63" s="10" t="s">
        <v>187</v>
      </c>
      <c r="H63" s="15">
        <v>8943.33</v>
      </c>
      <c r="I63" s="15"/>
      <c r="J63" s="15"/>
      <c r="K63" s="15"/>
      <c r="L63" s="16"/>
    </row>
    <row r="64" spans="2:12" hidden="1">
      <c r="B64" s="9">
        <v>59</v>
      </c>
      <c r="C64" s="10" t="s">
        <v>77</v>
      </c>
      <c r="D64" s="10" t="s">
        <v>184</v>
      </c>
      <c r="E64" s="10" t="s">
        <v>25</v>
      </c>
      <c r="F64" s="10" t="s">
        <v>127</v>
      </c>
      <c r="G64" s="10" t="s">
        <v>187</v>
      </c>
      <c r="H64" s="15">
        <v>7720.61</v>
      </c>
      <c r="I64" s="15"/>
      <c r="J64" s="15"/>
      <c r="K64" s="15"/>
      <c r="L64" s="16"/>
    </row>
    <row r="65" spans="2:12" hidden="1">
      <c r="B65" s="14">
        <v>60</v>
      </c>
      <c r="C65" s="18" t="s">
        <v>58</v>
      </c>
      <c r="D65" s="18" t="s">
        <v>188</v>
      </c>
      <c r="E65" s="10" t="s">
        <v>126</v>
      </c>
      <c r="F65" s="10" t="s">
        <v>127</v>
      </c>
      <c r="G65" s="10" t="s">
        <v>189</v>
      </c>
      <c r="H65" s="15"/>
      <c r="I65" s="15">
        <v>7645.47</v>
      </c>
      <c r="J65" s="15">
        <v>7659.42</v>
      </c>
      <c r="K65" s="15"/>
      <c r="L65" s="16"/>
    </row>
    <row r="66" spans="2:12" hidden="1">
      <c r="B66" s="14">
        <v>61</v>
      </c>
      <c r="C66" s="18" t="s">
        <v>58</v>
      </c>
      <c r="D66" s="18" t="s">
        <v>188</v>
      </c>
      <c r="E66" s="10" t="s">
        <v>126</v>
      </c>
      <c r="F66" s="10" t="s">
        <v>127</v>
      </c>
      <c r="G66" s="10" t="s">
        <v>190</v>
      </c>
      <c r="H66" s="15"/>
      <c r="I66" s="15">
        <v>7645.47</v>
      </c>
      <c r="J66" s="15">
        <v>7659.42</v>
      </c>
      <c r="K66" s="15"/>
      <c r="L66" s="16"/>
    </row>
    <row r="67" spans="2:12" hidden="1">
      <c r="B67" s="9">
        <v>62</v>
      </c>
      <c r="C67" s="10" t="s">
        <v>191</v>
      </c>
      <c r="D67" s="10" t="s">
        <v>192</v>
      </c>
      <c r="E67" s="10" t="s">
        <v>126</v>
      </c>
      <c r="F67" s="10" t="s">
        <v>127</v>
      </c>
      <c r="G67" s="10" t="s">
        <v>193</v>
      </c>
      <c r="H67" s="15">
        <v>5213.99</v>
      </c>
      <c r="I67" s="15">
        <v>5215.0600000000004</v>
      </c>
      <c r="J67" s="15">
        <v>5225.8</v>
      </c>
      <c r="K67" s="15">
        <v>5220.43</v>
      </c>
      <c r="L67" s="16"/>
    </row>
    <row r="68" spans="2:12" hidden="1">
      <c r="B68" s="14">
        <v>63</v>
      </c>
      <c r="C68" s="10" t="s">
        <v>96</v>
      </c>
      <c r="D68" s="10" t="s">
        <v>97</v>
      </c>
      <c r="E68" s="10" t="s">
        <v>25</v>
      </c>
      <c r="F68" s="10" t="s">
        <v>127</v>
      </c>
      <c r="G68" s="10" t="s">
        <v>98</v>
      </c>
      <c r="H68" s="15"/>
      <c r="I68" s="15">
        <v>9355.5499999999993</v>
      </c>
      <c r="J68" s="15"/>
      <c r="K68" s="15"/>
      <c r="L68" s="16"/>
    </row>
    <row r="69" spans="2:12" hidden="1">
      <c r="B69" s="14">
        <v>64</v>
      </c>
      <c r="C69" s="11" t="s">
        <v>194</v>
      </c>
      <c r="D69" s="11" t="s">
        <v>195</v>
      </c>
      <c r="E69" s="10" t="s">
        <v>25</v>
      </c>
      <c r="F69" s="10" t="s">
        <v>127</v>
      </c>
      <c r="G69" s="10" t="s">
        <v>196</v>
      </c>
      <c r="H69" s="15"/>
      <c r="I69" s="15"/>
      <c r="J69" s="15">
        <v>9501.5499999999993</v>
      </c>
      <c r="K69" s="15"/>
      <c r="L69" s="16"/>
    </row>
    <row r="70" spans="2:12" hidden="1">
      <c r="B70" s="9">
        <v>65</v>
      </c>
      <c r="C70" s="11" t="s">
        <v>194</v>
      </c>
      <c r="D70" s="11" t="s">
        <v>195</v>
      </c>
      <c r="E70" s="10" t="s">
        <v>25</v>
      </c>
      <c r="F70" s="10" t="s">
        <v>102</v>
      </c>
      <c r="G70" s="10" t="s">
        <v>196</v>
      </c>
      <c r="H70" s="15"/>
      <c r="I70" s="15"/>
      <c r="J70" s="15">
        <v>10698.5</v>
      </c>
      <c r="K70" s="15"/>
      <c r="L70" s="16"/>
    </row>
    <row r="71" spans="2:12" hidden="1">
      <c r="B71" s="14">
        <v>66</v>
      </c>
      <c r="C71" s="10" t="s">
        <v>65</v>
      </c>
      <c r="D71" s="10" t="s">
        <v>197</v>
      </c>
      <c r="E71" s="10" t="s">
        <v>126</v>
      </c>
      <c r="F71" s="10" t="s">
        <v>127</v>
      </c>
      <c r="G71" s="10" t="s">
        <v>198</v>
      </c>
      <c r="H71" s="15"/>
      <c r="I71" s="15"/>
      <c r="J71" s="15">
        <v>4612.83</v>
      </c>
      <c r="K71" s="15"/>
      <c r="L71" s="16"/>
    </row>
    <row r="72" spans="2:12" hidden="1">
      <c r="B72" s="14">
        <v>67</v>
      </c>
      <c r="C72" s="11" t="s">
        <v>31</v>
      </c>
      <c r="D72" s="11" t="s">
        <v>32</v>
      </c>
      <c r="E72" s="10" t="s">
        <v>25</v>
      </c>
      <c r="F72" s="10" t="s">
        <v>127</v>
      </c>
      <c r="G72" s="10" t="s">
        <v>33</v>
      </c>
      <c r="H72" s="15"/>
      <c r="I72" s="15">
        <v>50969.78</v>
      </c>
      <c r="J72" s="15"/>
      <c r="K72" s="15"/>
      <c r="L72" s="16"/>
    </row>
    <row r="73" spans="2:12" hidden="1">
      <c r="B73" s="9">
        <v>68</v>
      </c>
      <c r="C73" s="10" t="s">
        <v>194</v>
      </c>
      <c r="D73" s="10" t="s">
        <v>199</v>
      </c>
      <c r="E73" s="10" t="s">
        <v>126</v>
      </c>
      <c r="F73" s="10" t="s">
        <v>127</v>
      </c>
      <c r="G73" s="10" t="s">
        <v>154</v>
      </c>
      <c r="H73" s="15"/>
      <c r="I73" s="15">
        <v>4765.2700000000004</v>
      </c>
      <c r="J73" s="15">
        <v>4768.49</v>
      </c>
      <c r="K73" s="15">
        <v>4739.5</v>
      </c>
      <c r="L73" s="16">
        <v>4521.58</v>
      </c>
    </row>
    <row r="74" spans="2:12" hidden="1">
      <c r="B74" s="14">
        <v>69</v>
      </c>
      <c r="C74" s="10" t="s">
        <v>194</v>
      </c>
      <c r="D74" s="10" t="s">
        <v>199</v>
      </c>
      <c r="E74" s="10" t="s">
        <v>25</v>
      </c>
      <c r="F74" s="10" t="s">
        <v>102</v>
      </c>
      <c r="G74" s="10" t="s">
        <v>200</v>
      </c>
      <c r="H74" s="15"/>
      <c r="I74" s="15">
        <v>5987.98</v>
      </c>
      <c r="J74" s="15">
        <v>6000.87</v>
      </c>
      <c r="K74" s="15"/>
      <c r="L74" s="16"/>
    </row>
    <row r="75" spans="2:12" hidden="1">
      <c r="B75" s="14">
        <v>70</v>
      </c>
      <c r="C75" s="18" t="s">
        <v>103</v>
      </c>
      <c r="D75" s="18" t="s">
        <v>104</v>
      </c>
      <c r="E75" s="10" t="s">
        <v>25</v>
      </c>
      <c r="F75" s="18" t="s">
        <v>102</v>
      </c>
      <c r="G75" s="10" t="s">
        <v>105</v>
      </c>
      <c r="H75" s="19"/>
      <c r="I75" s="19">
        <v>18372.95</v>
      </c>
      <c r="J75" s="19">
        <v>18409.45</v>
      </c>
      <c r="K75" s="19"/>
      <c r="L75" s="20"/>
    </row>
    <row r="76" spans="2:12" hidden="1">
      <c r="B76" s="9">
        <v>71</v>
      </c>
      <c r="C76" s="18" t="s">
        <v>103</v>
      </c>
      <c r="D76" s="18" t="s">
        <v>104</v>
      </c>
      <c r="E76" s="10" t="s">
        <v>25</v>
      </c>
      <c r="F76" s="10" t="s">
        <v>127</v>
      </c>
      <c r="G76" s="10" t="s">
        <v>105</v>
      </c>
      <c r="H76" s="15"/>
      <c r="I76" s="15">
        <v>17187.810000000001</v>
      </c>
      <c r="J76" s="15">
        <v>17222.16</v>
      </c>
      <c r="K76" s="15"/>
      <c r="L76" s="16"/>
    </row>
    <row r="77" spans="2:12" hidden="1">
      <c r="B77" s="14">
        <v>72</v>
      </c>
      <c r="C77" s="18" t="s">
        <v>103</v>
      </c>
      <c r="D77" s="18" t="s">
        <v>104</v>
      </c>
      <c r="E77" s="10" t="s">
        <v>126</v>
      </c>
      <c r="F77" s="10" t="s">
        <v>127</v>
      </c>
      <c r="G77" s="10" t="s">
        <v>201</v>
      </c>
      <c r="H77" s="15">
        <v>3670.3</v>
      </c>
      <c r="I77" s="15">
        <v>3671.37</v>
      </c>
      <c r="J77" s="15">
        <v>3678.88</v>
      </c>
      <c r="K77" s="15"/>
      <c r="L77" s="16">
        <v>3483.51</v>
      </c>
    </row>
    <row r="78" spans="2:12" hidden="1">
      <c r="B78" s="14">
        <v>73</v>
      </c>
      <c r="C78" s="18" t="s">
        <v>65</v>
      </c>
      <c r="D78" s="18" t="s">
        <v>66</v>
      </c>
      <c r="E78" s="10" t="s">
        <v>25</v>
      </c>
      <c r="F78" s="10" t="s">
        <v>127</v>
      </c>
      <c r="G78" s="10" t="s">
        <v>67</v>
      </c>
      <c r="H78" s="15"/>
      <c r="I78" s="15"/>
      <c r="J78" s="15"/>
      <c r="K78" s="15"/>
      <c r="L78" s="16">
        <v>19680.48</v>
      </c>
    </row>
    <row r="79" spans="2:12" hidden="1">
      <c r="B79" s="9">
        <v>74</v>
      </c>
      <c r="C79" s="18" t="s">
        <v>55</v>
      </c>
      <c r="D79" s="18" t="s">
        <v>202</v>
      </c>
      <c r="E79" s="10" t="s">
        <v>126</v>
      </c>
      <c r="F79" s="10" t="s">
        <v>127</v>
      </c>
      <c r="G79" s="10" t="s">
        <v>203</v>
      </c>
      <c r="H79" s="15"/>
      <c r="I79" s="15">
        <v>24224.6</v>
      </c>
      <c r="J79" s="15">
        <v>24272.91</v>
      </c>
      <c r="K79" s="15"/>
      <c r="L79" s="16"/>
    </row>
    <row r="80" spans="2:12" hidden="1">
      <c r="B80" s="14">
        <v>75</v>
      </c>
      <c r="C80" s="11" t="s">
        <v>133</v>
      </c>
      <c r="D80" s="11" t="s">
        <v>204</v>
      </c>
      <c r="E80" s="10" t="s">
        <v>126</v>
      </c>
      <c r="F80" s="10" t="s">
        <v>127</v>
      </c>
      <c r="G80" s="10" t="s">
        <v>205</v>
      </c>
      <c r="H80" s="15">
        <v>10042.59</v>
      </c>
      <c r="I80" s="15"/>
      <c r="J80" s="15"/>
      <c r="K80" s="15"/>
      <c r="L80" s="16"/>
    </row>
    <row r="81" spans="2:12" ht="14.25" hidden="1" customHeight="1">
      <c r="B81" s="14">
        <v>76</v>
      </c>
      <c r="C81" s="11" t="s">
        <v>133</v>
      </c>
      <c r="D81" s="11" t="s">
        <v>204</v>
      </c>
      <c r="E81" s="10" t="s">
        <v>25</v>
      </c>
      <c r="F81" s="10" t="s">
        <v>127</v>
      </c>
      <c r="G81" s="10" t="s">
        <v>205</v>
      </c>
      <c r="H81" s="15">
        <v>10042.59</v>
      </c>
      <c r="I81" s="15"/>
      <c r="J81" s="15"/>
      <c r="K81" s="15"/>
      <c r="L81" s="16"/>
    </row>
    <row r="82" spans="2:12" hidden="1">
      <c r="B82" s="9">
        <v>77</v>
      </c>
      <c r="C82" s="10" t="s">
        <v>62</v>
      </c>
      <c r="D82" s="10" t="s">
        <v>206</v>
      </c>
      <c r="E82" s="10" t="s">
        <v>126</v>
      </c>
      <c r="F82" s="10" t="s">
        <v>127</v>
      </c>
      <c r="G82" s="10" t="s">
        <v>207</v>
      </c>
      <c r="H82" s="15">
        <v>8302.4500000000007</v>
      </c>
      <c r="I82" s="15">
        <v>8297.08</v>
      </c>
      <c r="J82" s="15">
        <v>8314.26</v>
      </c>
      <c r="K82" s="15"/>
      <c r="L82" s="16"/>
    </row>
    <row r="83" spans="2:12" hidden="1">
      <c r="B83" s="14">
        <v>78</v>
      </c>
      <c r="C83" s="18" t="s">
        <v>133</v>
      </c>
      <c r="D83" s="18" t="s">
        <v>208</v>
      </c>
      <c r="E83" s="10" t="s">
        <v>25</v>
      </c>
      <c r="F83" s="10" t="s">
        <v>127</v>
      </c>
      <c r="G83" s="10" t="s">
        <v>209</v>
      </c>
      <c r="H83" s="15">
        <v>8302.4500000000007</v>
      </c>
      <c r="I83" s="15"/>
      <c r="J83" s="15"/>
      <c r="K83" s="15"/>
      <c r="L83" s="16"/>
    </row>
    <row r="84" spans="2:12" hidden="1">
      <c r="B84" s="14">
        <v>79</v>
      </c>
      <c r="C84" s="18" t="s">
        <v>133</v>
      </c>
      <c r="D84" s="18" t="s">
        <v>208</v>
      </c>
      <c r="E84" s="10" t="s">
        <v>126</v>
      </c>
      <c r="F84" s="10" t="s">
        <v>127</v>
      </c>
      <c r="G84" s="10" t="s">
        <v>210</v>
      </c>
      <c r="H84" s="15">
        <v>8218.7199999999993</v>
      </c>
      <c r="I84" s="15"/>
      <c r="J84" s="15"/>
      <c r="K84" s="15"/>
      <c r="L84" s="16"/>
    </row>
    <row r="85" spans="2:12" hidden="1">
      <c r="B85" s="9">
        <v>80</v>
      </c>
      <c r="C85" s="18" t="s">
        <v>133</v>
      </c>
      <c r="D85" s="18" t="s">
        <v>208</v>
      </c>
      <c r="E85" s="10" t="s">
        <v>126</v>
      </c>
      <c r="F85" s="10" t="s">
        <v>127</v>
      </c>
      <c r="G85" s="10" t="s">
        <v>211</v>
      </c>
      <c r="H85" s="15">
        <v>3954.77</v>
      </c>
      <c r="I85" s="15"/>
      <c r="J85" s="15"/>
      <c r="K85" s="15"/>
      <c r="L85" s="16"/>
    </row>
    <row r="86" spans="2:12" hidden="1">
      <c r="B86" s="14">
        <v>81</v>
      </c>
      <c r="C86" s="10" t="s">
        <v>96</v>
      </c>
      <c r="D86" s="10" t="s">
        <v>212</v>
      </c>
      <c r="E86" s="10" t="s">
        <v>126</v>
      </c>
      <c r="F86" s="10" t="s">
        <v>127</v>
      </c>
      <c r="G86" s="10" t="s">
        <v>213</v>
      </c>
      <c r="H86" s="15">
        <v>5451.23</v>
      </c>
      <c r="I86" s="15">
        <v>5453.38</v>
      </c>
      <c r="J86" s="15">
        <v>5459.82</v>
      </c>
      <c r="K86" s="15"/>
      <c r="L86" s="16"/>
    </row>
    <row r="87" spans="2:12" hidden="1">
      <c r="B87" s="14">
        <v>82</v>
      </c>
      <c r="C87" s="10" t="s">
        <v>96</v>
      </c>
      <c r="D87" s="10" t="s">
        <v>212</v>
      </c>
      <c r="E87" s="10" t="s">
        <v>126</v>
      </c>
      <c r="F87" s="10" t="s">
        <v>127</v>
      </c>
      <c r="G87" s="10" t="s">
        <v>214</v>
      </c>
      <c r="H87" s="15">
        <v>6104.99</v>
      </c>
      <c r="I87" s="15">
        <v>6104.99</v>
      </c>
      <c r="J87" s="15">
        <v>6113.58</v>
      </c>
      <c r="K87" s="15"/>
      <c r="L87" s="16"/>
    </row>
    <row r="88" spans="2:12" hidden="1">
      <c r="B88" s="9">
        <v>83</v>
      </c>
      <c r="C88" s="10" t="s">
        <v>36</v>
      </c>
      <c r="D88" s="10" t="s">
        <v>215</v>
      </c>
      <c r="E88" s="10" t="s">
        <v>126</v>
      </c>
      <c r="F88" s="10" t="s">
        <v>127</v>
      </c>
      <c r="G88" s="10" t="s">
        <v>216</v>
      </c>
      <c r="H88" s="15"/>
      <c r="I88" s="15">
        <v>6637.45</v>
      </c>
      <c r="J88" s="15">
        <v>6651.41</v>
      </c>
      <c r="K88" s="15"/>
      <c r="L88" s="16"/>
    </row>
    <row r="89" spans="2:12" hidden="1">
      <c r="B89" s="14">
        <v>84</v>
      </c>
      <c r="C89" s="10" t="s">
        <v>80</v>
      </c>
      <c r="D89" s="10" t="s">
        <v>81</v>
      </c>
      <c r="E89" s="10" t="s">
        <v>25</v>
      </c>
      <c r="F89" s="10" t="s">
        <v>127</v>
      </c>
      <c r="G89" s="10" t="s">
        <v>82</v>
      </c>
      <c r="H89" s="15"/>
      <c r="I89" s="15">
        <v>13076.3</v>
      </c>
      <c r="J89" s="15">
        <v>13103.14</v>
      </c>
      <c r="K89" s="15">
        <v>13096.7</v>
      </c>
      <c r="L89" s="16">
        <v>13079.52</v>
      </c>
    </row>
    <row r="90" spans="2:12" hidden="1">
      <c r="B90" s="14">
        <v>85</v>
      </c>
      <c r="C90" s="10" t="s">
        <v>80</v>
      </c>
      <c r="D90" s="10" t="s">
        <v>81</v>
      </c>
      <c r="E90" s="10" t="s">
        <v>126</v>
      </c>
      <c r="F90" s="10" t="s">
        <v>127</v>
      </c>
      <c r="G90" s="10" t="s">
        <v>217</v>
      </c>
      <c r="H90" s="15"/>
      <c r="I90" s="15"/>
      <c r="J90" s="15"/>
      <c r="K90" s="15">
        <v>13461.69</v>
      </c>
      <c r="L90" s="16"/>
    </row>
    <row r="91" spans="2:12" hidden="1">
      <c r="B91" s="9">
        <v>86</v>
      </c>
      <c r="C91" s="10" t="s">
        <v>194</v>
      </c>
      <c r="D91" s="10" t="s">
        <v>218</v>
      </c>
      <c r="E91" s="10" t="s">
        <v>126</v>
      </c>
      <c r="F91" s="10" t="s">
        <v>127</v>
      </c>
      <c r="G91" s="10" t="s">
        <v>219</v>
      </c>
      <c r="H91" s="15"/>
      <c r="I91" s="15">
        <v>4792.1000000000004</v>
      </c>
      <c r="J91" s="15">
        <v>4798.55</v>
      </c>
      <c r="K91" s="15">
        <v>4766.34</v>
      </c>
      <c r="L91" s="16">
        <v>4547.3500000000004</v>
      </c>
    </row>
    <row r="92" spans="2:12" hidden="1">
      <c r="B92" s="14">
        <v>87</v>
      </c>
      <c r="C92" s="10" t="s">
        <v>42</v>
      </c>
      <c r="D92" s="10" t="s">
        <v>220</v>
      </c>
      <c r="E92" s="10" t="s">
        <v>126</v>
      </c>
      <c r="F92" s="10" t="s">
        <v>127</v>
      </c>
      <c r="G92" s="10" t="s">
        <v>221</v>
      </c>
      <c r="H92" s="15"/>
      <c r="I92" s="15">
        <v>6041.66</v>
      </c>
      <c r="J92" s="15">
        <v>6053.47</v>
      </c>
      <c r="K92" s="15">
        <v>6048.1</v>
      </c>
      <c r="L92" s="16"/>
    </row>
    <row r="93" spans="2:12" hidden="1">
      <c r="B93" s="14">
        <v>88</v>
      </c>
      <c r="C93" s="10" t="s">
        <v>42</v>
      </c>
      <c r="D93" s="10" t="s">
        <v>220</v>
      </c>
      <c r="E93" s="10" t="s">
        <v>126</v>
      </c>
      <c r="F93" s="10" t="s">
        <v>127</v>
      </c>
      <c r="G93" s="10" t="s">
        <v>222</v>
      </c>
      <c r="H93" s="15"/>
      <c r="I93" s="15">
        <v>6041.66</v>
      </c>
      <c r="J93" s="15">
        <v>6053.47</v>
      </c>
      <c r="K93" s="15"/>
      <c r="L93" s="16"/>
    </row>
    <row r="94" spans="2:12" hidden="1">
      <c r="B94" s="9">
        <v>89</v>
      </c>
      <c r="C94" s="10" t="s">
        <v>42</v>
      </c>
      <c r="D94" s="10" t="s">
        <v>220</v>
      </c>
      <c r="E94" s="10" t="s">
        <v>126</v>
      </c>
      <c r="F94" s="10" t="s">
        <v>127</v>
      </c>
      <c r="G94" s="10" t="s">
        <v>223</v>
      </c>
      <c r="H94" s="15"/>
      <c r="I94" s="15">
        <v>6041.66</v>
      </c>
      <c r="J94" s="15">
        <v>6053.47</v>
      </c>
      <c r="K94" s="15"/>
      <c r="L94" s="16"/>
    </row>
    <row r="95" spans="2:12" hidden="1">
      <c r="B95" s="14">
        <v>90</v>
      </c>
      <c r="C95" s="18" t="s">
        <v>27</v>
      </c>
      <c r="D95" s="18" t="s">
        <v>28</v>
      </c>
      <c r="E95" s="10" t="s">
        <v>25</v>
      </c>
      <c r="F95" s="10" t="s">
        <v>127</v>
      </c>
      <c r="G95" s="10" t="s">
        <v>29</v>
      </c>
      <c r="H95" s="15"/>
      <c r="I95" s="15">
        <v>17661.22</v>
      </c>
      <c r="J95" s="15"/>
      <c r="K95" s="15"/>
      <c r="L95" s="16"/>
    </row>
    <row r="96" spans="2:12" hidden="1">
      <c r="B96" s="14">
        <v>91</v>
      </c>
      <c r="C96" s="10" t="s">
        <v>133</v>
      </c>
      <c r="D96" s="10" t="s">
        <v>224</v>
      </c>
      <c r="E96" s="10" t="s">
        <v>126</v>
      </c>
      <c r="F96" s="10" t="s">
        <v>127</v>
      </c>
      <c r="G96" s="10" t="s">
        <v>225</v>
      </c>
      <c r="H96" s="15"/>
      <c r="I96" s="15">
        <v>9364.14</v>
      </c>
      <c r="J96" s="15"/>
      <c r="K96" s="15"/>
      <c r="L96" s="16"/>
    </row>
    <row r="97" spans="2:12" hidden="1">
      <c r="B97" s="9">
        <v>92</v>
      </c>
      <c r="C97" s="10" t="s">
        <v>103</v>
      </c>
      <c r="D97" s="10" t="s">
        <v>226</v>
      </c>
      <c r="E97" s="10" t="s">
        <v>126</v>
      </c>
      <c r="F97" s="10" t="s">
        <v>102</v>
      </c>
      <c r="G97" s="10" t="s">
        <v>154</v>
      </c>
      <c r="H97" s="15">
        <v>4156.59</v>
      </c>
      <c r="I97" s="15"/>
      <c r="J97" s="15">
        <v>4097.55</v>
      </c>
      <c r="K97" s="15"/>
      <c r="L97" s="16"/>
    </row>
    <row r="98" spans="2:12" hidden="1">
      <c r="B98" s="14">
        <v>93</v>
      </c>
      <c r="C98" s="10" t="s">
        <v>103</v>
      </c>
      <c r="D98" s="10" t="s">
        <v>226</v>
      </c>
      <c r="E98" s="10" t="s">
        <v>126</v>
      </c>
      <c r="F98" s="10" t="s">
        <v>127</v>
      </c>
      <c r="G98" s="10" t="s">
        <v>154</v>
      </c>
      <c r="H98" s="15"/>
      <c r="I98" s="15">
        <v>4667.58</v>
      </c>
      <c r="J98" s="15">
        <v>4632.1499999999996</v>
      </c>
      <c r="K98" s="15">
        <v>4641.8100000000004</v>
      </c>
      <c r="L98" s="16">
        <v>4429.26</v>
      </c>
    </row>
    <row r="99" spans="2:12" hidden="1">
      <c r="B99" s="14">
        <v>94</v>
      </c>
      <c r="C99" s="10" t="s">
        <v>103</v>
      </c>
      <c r="D99" s="10" t="s">
        <v>226</v>
      </c>
      <c r="E99" s="10" t="s">
        <v>126</v>
      </c>
      <c r="F99" s="10" t="s">
        <v>127</v>
      </c>
      <c r="G99" s="10" t="s">
        <v>227</v>
      </c>
      <c r="H99" s="15"/>
      <c r="I99" s="15">
        <v>4667.58</v>
      </c>
      <c r="J99" s="15">
        <v>4632.1499999999996</v>
      </c>
      <c r="K99" s="15"/>
      <c r="L99" s="16">
        <v>4429.26</v>
      </c>
    </row>
    <row r="100" spans="2:12" hidden="1">
      <c r="B100" s="9">
        <v>95</v>
      </c>
      <c r="C100" s="10" t="s">
        <v>58</v>
      </c>
      <c r="D100" s="10" t="s">
        <v>228</v>
      </c>
      <c r="E100" s="10" t="s">
        <v>25</v>
      </c>
      <c r="F100" s="10" t="s">
        <v>102</v>
      </c>
      <c r="G100" s="10" t="s">
        <v>229</v>
      </c>
      <c r="H100" s="15"/>
      <c r="I100" s="15">
        <v>9350.19</v>
      </c>
      <c r="J100" s="15">
        <v>9368.43</v>
      </c>
      <c r="K100" s="15">
        <v>9363.07</v>
      </c>
      <c r="L100" s="16"/>
    </row>
    <row r="101" spans="2:12" hidden="1">
      <c r="B101" s="14">
        <v>96</v>
      </c>
      <c r="C101" s="10" t="s">
        <v>58</v>
      </c>
      <c r="D101" s="10" t="s">
        <v>228</v>
      </c>
      <c r="E101" s="10" t="s">
        <v>25</v>
      </c>
      <c r="F101" s="10" t="s">
        <v>127</v>
      </c>
      <c r="G101" s="10" t="s">
        <v>229</v>
      </c>
      <c r="H101" s="15"/>
      <c r="I101" s="15">
        <v>6392.69</v>
      </c>
      <c r="J101" s="15">
        <v>6400.21</v>
      </c>
      <c r="K101" s="15">
        <v>6399.13</v>
      </c>
      <c r="L101" s="16">
        <v>6381.96</v>
      </c>
    </row>
    <row r="102" spans="2:12" hidden="1">
      <c r="B102" s="14">
        <v>97</v>
      </c>
      <c r="C102" s="10" t="s">
        <v>103</v>
      </c>
      <c r="D102" s="10" t="s">
        <v>230</v>
      </c>
      <c r="E102" s="10" t="s">
        <v>126</v>
      </c>
      <c r="F102" s="10" t="s">
        <v>127</v>
      </c>
      <c r="G102" s="10" t="s">
        <v>231</v>
      </c>
      <c r="H102" s="15"/>
      <c r="I102" s="15">
        <v>4771.71</v>
      </c>
      <c r="J102" s="15">
        <v>4774.93</v>
      </c>
      <c r="K102" s="15">
        <v>4745.9399999999996</v>
      </c>
      <c r="L102" s="16">
        <v>4529.1000000000004</v>
      </c>
    </row>
    <row r="103" spans="2:12" hidden="1">
      <c r="B103" s="9">
        <v>98</v>
      </c>
      <c r="C103" s="10" t="s">
        <v>31</v>
      </c>
      <c r="D103" s="10" t="s">
        <v>232</v>
      </c>
      <c r="E103" s="10" t="s">
        <v>126</v>
      </c>
      <c r="F103" s="10" t="s">
        <v>127</v>
      </c>
      <c r="G103" s="10" t="s">
        <v>233</v>
      </c>
      <c r="H103" s="15"/>
      <c r="I103" s="15">
        <v>6436.71</v>
      </c>
      <c r="J103" s="15"/>
      <c r="K103" s="15">
        <v>6443.15</v>
      </c>
      <c r="L103" s="16"/>
    </row>
    <row r="104" spans="2:12" hidden="1">
      <c r="B104" s="14">
        <v>99</v>
      </c>
      <c r="C104" s="11" t="s">
        <v>234</v>
      </c>
      <c r="D104" s="11" t="s">
        <v>235</v>
      </c>
      <c r="E104" s="10" t="s">
        <v>25</v>
      </c>
      <c r="F104" s="10" t="s">
        <v>127</v>
      </c>
      <c r="G104" s="10" t="s">
        <v>236</v>
      </c>
      <c r="H104" s="15">
        <v>20191.46</v>
      </c>
      <c r="I104" s="15"/>
      <c r="J104" s="15"/>
      <c r="K104" s="15"/>
      <c r="L104" s="16"/>
    </row>
    <row r="105" spans="2:12" hidden="1">
      <c r="B105" s="14">
        <v>100</v>
      </c>
      <c r="C105" s="11" t="s">
        <v>234</v>
      </c>
      <c r="D105" s="11" t="s">
        <v>235</v>
      </c>
      <c r="E105" s="10" t="s">
        <v>25</v>
      </c>
      <c r="F105" s="18" t="s">
        <v>102</v>
      </c>
      <c r="G105" s="10" t="s">
        <v>237</v>
      </c>
      <c r="H105" s="19">
        <v>21378.75</v>
      </c>
      <c r="I105" s="19"/>
      <c r="J105" s="19"/>
      <c r="K105" s="19"/>
      <c r="L105" s="20"/>
    </row>
    <row r="106" spans="2:12" hidden="1">
      <c r="B106" s="9">
        <v>101</v>
      </c>
      <c r="C106" s="11" t="s">
        <v>234</v>
      </c>
      <c r="D106" s="11" t="s">
        <v>235</v>
      </c>
      <c r="E106" s="10" t="s">
        <v>126</v>
      </c>
      <c r="F106" s="10" t="s">
        <v>127</v>
      </c>
      <c r="G106" s="10" t="s">
        <v>238</v>
      </c>
      <c r="H106" s="15">
        <v>20191.46</v>
      </c>
      <c r="I106" s="15"/>
      <c r="J106" s="15"/>
      <c r="K106" s="15"/>
      <c r="L106" s="16"/>
    </row>
    <row r="107" spans="2:12" hidden="1">
      <c r="B107" s="14">
        <v>102</v>
      </c>
      <c r="C107" s="10" t="s">
        <v>239</v>
      </c>
      <c r="D107" s="10" t="s">
        <v>240</v>
      </c>
      <c r="E107" s="10" t="s">
        <v>126</v>
      </c>
      <c r="F107" s="10" t="s">
        <v>127</v>
      </c>
      <c r="G107" s="10" t="s">
        <v>241</v>
      </c>
      <c r="H107" s="15"/>
      <c r="I107" s="15">
        <v>5640.17</v>
      </c>
      <c r="J107" s="15">
        <v>5650.9</v>
      </c>
      <c r="K107" s="15">
        <v>5645.54</v>
      </c>
      <c r="L107" s="16"/>
    </row>
    <row r="108" spans="2:12" hidden="1">
      <c r="B108" s="14">
        <v>103</v>
      </c>
      <c r="C108" s="10" t="s">
        <v>239</v>
      </c>
      <c r="D108" s="10" t="s">
        <v>240</v>
      </c>
      <c r="E108" s="10" t="s">
        <v>25</v>
      </c>
      <c r="F108" s="10" t="s">
        <v>102</v>
      </c>
      <c r="G108" s="10" t="s">
        <v>242</v>
      </c>
      <c r="H108" s="15"/>
      <c r="I108" s="15">
        <v>12293.72</v>
      </c>
      <c r="J108" s="15">
        <v>12316.27</v>
      </c>
      <c r="K108" s="15">
        <v>12311.97</v>
      </c>
      <c r="L108" s="16"/>
    </row>
    <row r="109" spans="2:12" hidden="1">
      <c r="B109" s="9">
        <v>104</v>
      </c>
      <c r="C109" s="10" t="s">
        <v>239</v>
      </c>
      <c r="D109" s="10" t="s">
        <v>240</v>
      </c>
      <c r="E109" s="10" t="s">
        <v>25</v>
      </c>
      <c r="F109" s="10" t="s">
        <v>127</v>
      </c>
      <c r="G109" s="10" t="s">
        <v>242</v>
      </c>
      <c r="H109" s="15"/>
      <c r="I109" s="15">
        <v>8818.7999999999993</v>
      </c>
      <c r="J109" s="15">
        <v>8236.9699999999993</v>
      </c>
      <c r="K109" s="15">
        <v>8830.61</v>
      </c>
      <c r="L109" s="16">
        <v>8812.36</v>
      </c>
    </row>
    <row r="110" spans="2:12" hidden="1">
      <c r="B110" s="14">
        <v>105</v>
      </c>
      <c r="C110" s="10" t="s">
        <v>58</v>
      </c>
      <c r="D110" s="10" t="s">
        <v>243</v>
      </c>
      <c r="E110" s="10" t="s">
        <v>126</v>
      </c>
      <c r="F110" s="10" t="s">
        <v>127</v>
      </c>
      <c r="G110" s="10" t="s">
        <v>244</v>
      </c>
      <c r="H110" s="15"/>
      <c r="I110" s="15">
        <v>6350.83</v>
      </c>
      <c r="J110" s="15">
        <v>6363.71</v>
      </c>
      <c r="K110" s="15">
        <v>6358.34</v>
      </c>
      <c r="L110" s="16"/>
    </row>
    <row r="111" spans="2:12" hidden="1">
      <c r="B111" s="14">
        <v>106</v>
      </c>
      <c r="C111" s="10" t="s">
        <v>58</v>
      </c>
      <c r="D111" s="10" t="s">
        <v>245</v>
      </c>
      <c r="E111" s="10" t="s">
        <v>126</v>
      </c>
      <c r="F111" s="10" t="s">
        <v>127</v>
      </c>
      <c r="G111" s="10" t="s">
        <v>154</v>
      </c>
      <c r="H111" s="15">
        <v>6152.23</v>
      </c>
      <c r="I111" s="15">
        <v>6146.86</v>
      </c>
      <c r="J111" s="15">
        <v>6159.74</v>
      </c>
      <c r="K111" s="15">
        <v>6153.3</v>
      </c>
      <c r="L111" s="16"/>
    </row>
    <row r="112" spans="2:12" hidden="1">
      <c r="B112" s="9">
        <v>107</v>
      </c>
      <c r="C112" s="10" t="s">
        <v>58</v>
      </c>
      <c r="D112" s="10" t="s">
        <v>245</v>
      </c>
      <c r="E112" s="10" t="s">
        <v>126</v>
      </c>
      <c r="F112" s="10" t="s">
        <v>127</v>
      </c>
      <c r="G112" s="10" t="s">
        <v>246</v>
      </c>
      <c r="H112" s="15"/>
      <c r="I112" s="15">
        <v>6146.86</v>
      </c>
      <c r="J112" s="15">
        <v>6159.74</v>
      </c>
      <c r="K112" s="15"/>
      <c r="L112" s="16"/>
    </row>
    <row r="113" spans="2:12" hidden="1">
      <c r="B113" s="14">
        <v>108</v>
      </c>
      <c r="C113" s="10" t="s">
        <v>62</v>
      </c>
      <c r="D113" s="10" t="s">
        <v>63</v>
      </c>
      <c r="E113" s="10" t="s">
        <v>126</v>
      </c>
      <c r="F113" s="10" t="s">
        <v>127</v>
      </c>
      <c r="G113" s="10" t="s">
        <v>247</v>
      </c>
      <c r="H113" s="15">
        <v>4168.3999999999996</v>
      </c>
      <c r="I113" s="15">
        <v>4166.25</v>
      </c>
      <c r="J113" s="15">
        <v>4174.84</v>
      </c>
      <c r="K113" s="15"/>
      <c r="L113" s="16"/>
    </row>
    <row r="114" spans="2:12" hidden="1">
      <c r="B114" s="14">
        <v>109</v>
      </c>
      <c r="C114" s="10" t="s">
        <v>62</v>
      </c>
      <c r="D114" s="10" t="s">
        <v>63</v>
      </c>
      <c r="E114" s="10" t="s">
        <v>25</v>
      </c>
      <c r="F114" s="10" t="s">
        <v>127</v>
      </c>
      <c r="G114" s="10" t="s">
        <v>64</v>
      </c>
      <c r="H114" s="15"/>
      <c r="I114" s="15"/>
      <c r="J114" s="15"/>
      <c r="K114" s="15"/>
      <c r="L114" s="16">
        <v>15280.2</v>
      </c>
    </row>
    <row r="115" spans="2:12" hidden="1">
      <c r="B115" s="9">
        <v>110</v>
      </c>
      <c r="C115" s="10" t="s">
        <v>62</v>
      </c>
      <c r="D115" s="10" t="s">
        <v>63</v>
      </c>
      <c r="E115" s="10" t="s">
        <v>25</v>
      </c>
      <c r="F115" s="10" t="s">
        <v>127</v>
      </c>
      <c r="G115" s="10" t="s">
        <v>248</v>
      </c>
      <c r="H115" s="15"/>
      <c r="I115" s="15">
        <v>12786.46</v>
      </c>
      <c r="J115" s="15"/>
      <c r="K115" s="15"/>
      <c r="L115" s="16"/>
    </row>
    <row r="116" spans="2:12" hidden="1">
      <c r="B116" s="14">
        <v>111</v>
      </c>
      <c r="C116" s="11" t="s">
        <v>194</v>
      </c>
      <c r="D116" s="11" t="s">
        <v>249</v>
      </c>
      <c r="E116" s="10" t="s">
        <v>126</v>
      </c>
      <c r="F116" s="10" t="s">
        <v>127</v>
      </c>
      <c r="G116" s="10" t="s">
        <v>250</v>
      </c>
      <c r="H116" s="15"/>
      <c r="I116" s="15">
        <v>5180.71</v>
      </c>
      <c r="J116" s="15">
        <v>5178.5600000000004</v>
      </c>
      <c r="K116" s="15">
        <v>5156.0200000000004</v>
      </c>
      <c r="L116" s="16">
        <v>4915.5600000000004</v>
      </c>
    </row>
    <row r="117" spans="2:12">
      <c r="B117" s="14">
        <v>112</v>
      </c>
      <c r="C117" s="10" t="s">
        <v>46</v>
      </c>
      <c r="D117" s="10" t="s">
        <v>47</v>
      </c>
      <c r="E117" s="10" t="s">
        <v>126</v>
      </c>
      <c r="F117" s="10" t="s">
        <v>127</v>
      </c>
      <c r="G117" s="10" t="s">
        <v>48</v>
      </c>
      <c r="H117" s="15"/>
      <c r="I117" s="15">
        <v>5867.75</v>
      </c>
      <c r="J117" s="15">
        <v>5879.56</v>
      </c>
      <c r="K117" s="15">
        <v>5873.12</v>
      </c>
      <c r="L117" s="16"/>
    </row>
    <row r="118" spans="2:12" hidden="1">
      <c r="B118" s="9">
        <v>113</v>
      </c>
      <c r="C118" s="18" t="s">
        <v>65</v>
      </c>
      <c r="D118" s="18" t="s">
        <v>68</v>
      </c>
      <c r="E118" s="10" t="s">
        <v>25</v>
      </c>
      <c r="F118" s="10" t="s">
        <v>127</v>
      </c>
      <c r="G118" s="10" t="s">
        <v>69</v>
      </c>
      <c r="H118" s="15"/>
      <c r="I118" s="15"/>
      <c r="J118" s="15"/>
      <c r="K118" s="15"/>
      <c r="L118" s="16">
        <v>20215.080000000002</v>
      </c>
    </row>
    <row r="119" spans="2:12" hidden="1">
      <c r="B119" s="14">
        <v>114</v>
      </c>
      <c r="C119" s="10" t="s">
        <v>31</v>
      </c>
      <c r="D119" s="10" t="s">
        <v>251</v>
      </c>
      <c r="E119" s="10" t="s">
        <v>126</v>
      </c>
      <c r="F119" s="10" t="s">
        <v>127</v>
      </c>
      <c r="G119" s="10" t="s">
        <v>252</v>
      </c>
      <c r="H119" s="15"/>
      <c r="I119" s="15">
        <v>7703.44</v>
      </c>
      <c r="J119" s="15">
        <v>7718.47</v>
      </c>
      <c r="K119" s="15"/>
      <c r="L119" s="16"/>
    </row>
    <row r="120" spans="2:12" hidden="1">
      <c r="B120" s="14">
        <v>115</v>
      </c>
      <c r="C120" s="11" t="s">
        <v>253</v>
      </c>
      <c r="D120" s="11" t="s">
        <v>254</v>
      </c>
      <c r="E120" s="10" t="s">
        <v>126</v>
      </c>
      <c r="F120" s="10" t="s">
        <v>127</v>
      </c>
      <c r="G120" s="10" t="s">
        <v>255</v>
      </c>
      <c r="H120" s="15">
        <v>9585.2800000000007</v>
      </c>
      <c r="I120" s="15">
        <v>9577.77</v>
      </c>
      <c r="J120" s="15">
        <v>9597.09</v>
      </c>
      <c r="K120" s="15"/>
      <c r="L120" s="16"/>
    </row>
    <row r="121" spans="2:12" hidden="1">
      <c r="B121" s="9">
        <v>116</v>
      </c>
      <c r="C121" s="10" t="s">
        <v>256</v>
      </c>
      <c r="D121" s="10" t="s">
        <v>257</v>
      </c>
      <c r="E121" s="10" t="s">
        <v>25</v>
      </c>
      <c r="F121" s="10" t="s">
        <v>102</v>
      </c>
      <c r="G121" s="10" t="s">
        <v>258</v>
      </c>
      <c r="H121" s="15"/>
      <c r="I121" s="15">
        <v>9462.9</v>
      </c>
      <c r="J121" s="15">
        <v>9481.15</v>
      </c>
      <c r="K121" s="15">
        <v>9475.7800000000007</v>
      </c>
      <c r="L121" s="16"/>
    </row>
    <row r="122" spans="2:12" hidden="1">
      <c r="B122" s="14">
        <v>117</v>
      </c>
      <c r="C122" s="10" t="s">
        <v>256</v>
      </c>
      <c r="D122" s="10" t="s">
        <v>257</v>
      </c>
      <c r="E122" s="10" t="s">
        <v>25</v>
      </c>
      <c r="F122" s="10" t="s">
        <v>127</v>
      </c>
      <c r="G122" s="10" t="s">
        <v>258</v>
      </c>
      <c r="H122" s="15"/>
      <c r="I122" s="15">
        <v>7160.25</v>
      </c>
      <c r="J122" s="15">
        <v>7175.27</v>
      </c>
      <c r="K122" s="15">
        <v>7168.83</v>
      </c>
      <c r="L122" s="16">
        <v>7151.66</v>
      </c>
    </row>
    <row r="123" spans="2:12" hidden="1">
      <c r="B123" s="14">
        <v>118</v>
      </c>
      <c r="C123" s="10" t="s">
        <v>62</v>
      </c>
      <c r="D123" s="10" t="s">
        <v>259</v>
      </c>
      <c r="E123" s="10" t="s">
        <v>126</v>
      </c>
      <c r="F123" s="10" t="s">
        <v>127</v>
      </c>
      <c r="G123" s="10" t="s">
        <v>260</v>
      </c>
      <c r="H123" s="15">
        <v>7946.05</v>
      </c>
      <c r="I123" s="15">
        <v>7941.75</v>
      </c>
      <c r="J123" s="15">
        <v>7957.86</v>
      </c>
      <c r="K123" s="15"/>
      <c r="L123" s="16"/>
    </row>
    <row r="124" spans="2:12" hidden="1">
      <c r="B124" s="9">
        <v>119</v>
      </c>
      <c r="C124" s="10" t="s">
        <v>103</v>
      </c>
      <c r="D124" s="10" t="s">
        <v>261</v>
      </c>
      <c r="E124" s="10" t="s">
        <v>126</v>
      </c>
      <c r="F124" s="10" t="s">
        <v>127</v>
      </c>
      <c r="G124" s="10" t="s">
        <v>262</v>
      </c>
      <c r="H124" s="15"/>
      <c r="I124" s="15">
        <v>5554.29</v>
      </c>
      <c r="J124" s="15">
        <v>5566.1</v>
      </c>
      <c r="K124" s="15"/>
      <c r="L124" s="16"/>
    </row>
    <row r="125" spans="2:12" hidden="1">
      <c r="B125" s="14">
        <v>120</v>
      </c>
      <c r="C125" s="10" t="s">
        <v>31</v>
      </c>
      <c r="D125" s="10" t="s">
        <v>34</v>
      </c>
      <c r="E125" s="10" t="s">
        <v>126</v>
      </c>
      <c r="F125" s="10" t="s">
        <v>127</v>
      </c>
      <c r="G125" s="10" t="s">
        <v>263</v>
      </c>
      <c r="H125" s="15"/>
      <c r="I125" s="15">
        <v>5748.59</v>
      </c>
      <c r="J125" s="15">
        <v>5748.59</v>
      </c>
      <c r="K125" s="15">
        <v>5724.98</v>
      </c>
      <c r="L125" s="16"/>
    </row>
    <row r="126" spans="2:12" hidden="1">
      <c r="B126" s="14">
        <v>121</v>
      </c>
      <c r="C126" s="10" t="s">
        <v>31</v>
      </c>
      <c r="D126" s="10" t="s">
        <v>34</v>
      </c>
      <c r="E126" s="10" t="s">
        <v>25</v>
      </c>
      <c r="F126" s="10" t="s">
        <v>127</v>
      </c>
      <c r="G126" s="10" t="s">
        <v>35</v>
      </c>
      <c r="H126" s="15"/>
      <c r="I126" s="15">
        <v>19558.099999999999</v>
      </c>
      <c r="J126" s="15"/>
      <c r="K126" s="15"/>
      <c r="L126" s="16"/>
    </row>
    <row r="127" spans="2:12" hidden="1">
      <c r="B127" s="9">
        <v>122</v>
      </c>
      <c r="C127" s="18" t="s">
        <v>58</v>
      </c>
      <c r="D127" s="18" t="s">
        <v>264</v>
      </c>
      <c r="E127" s="10" t="s">
        <v>126</v>
      </c>
      <c r="F127" s="10" t="s">
        <v>127</v>
      </c>
      <c r="G127" s="10" t="s">
        <v>265</v>
      </c>
      <c r="H127" s="15"/>
      <c r="I127" s="15"/>
      <c r="J127" s="15">
        <v>9043.16</v>
      </c>
      <c r="K127" s="15"/>
      <c r="L127" s="16"/>
    </row>
    <row r="128" spans="2:12" hidden="1">
      <c r="B128" s="14">
        <v>123</v>
      </c>
      <c r="C128" s="18" t="s">
        <v>92</v>
      </c>
      <c r="D128" s="18" t="s">
        <v>266</v>
      </c>
      <c r="E128" s="10" t="s">
        <v>126</v>
      </c>
      <c r="F128" s="11" t="s">
        <v>102</v>
      </c>
      <c r="G128" s="10" t="s">
        <v>267</v>
      </c>
      <c r="H128" s="12"/>
      <c r="I128" s="12">
        <v>8834.91</v>
      </c>
      <c r="J128" s="12">
        <v>8852.08</v>
      </c>
      <c r="K128" s="12">
        <v>8845.64</v>
      </c>
      <c r="L128" s="13"/>
    </row>
    <row r="129" spans="2:12" hidden="1">
      <c r="B129" s="14">
        <v>124</v>
      </c>
      <c r="C129" s="18" t="s">
        <v>77</v>
      </c>
      <c r="D129" s="18" t="s">
        <v>78</v>
      </c>
      <c r="E129" s="10" t="s">
        <v>25</v>
      </c>
      <c r="F129" s="18" t="s">
        <v>127</v>
      </c>
      <c r="G129" s="10" t="s">
        <v>268</v>
      </c>
      <c r="H129" s="19"/>
      <c r="I129" s="19"/>
      <c r="J129" s="19"/>
      <c r="K129" s="19"/>
      <c r="L129" s="20">
        <v>10903.54</v>
      </c>
    </row>
    <row r="130" spans="2:12" hidden="1">
      <c r="B130" s="9">
        <v>125</v>
      </c>
      <c r="C130" s="18" t="s">
        <v>269</v>
      </c>
      <c r="D130" s="18" t="s">
        <v>270</v>
      </c>
      <c r="E130" s="10" t="s">
        <v>25</v>
      </c>
      <c r="F130" s="18" t="s">
        <v>102</v>
      </c>
      <c r="G130" s="10" t="s">
        <v>271</v>
      </c>
      <c r="H130" s="19">
        <v>24573.49</v>
      </c>
      <c r="I130" s="19"/>
      <c r="J130" s="19"/>
      <c r="K130" s="19"/>
      <c r="L130" s="20"/>
    </row>
    <row r="131" spans="2:12" hidden="1">
      <c r="B131" s="14">
        <v>126</v>
      </c>
      <c r="C131" s="18" t="s">
        <v>269</v>
      </c>
      <c r="D131" s="18" t="s">
        <v>270</v>
      </c>
      <c r="E131" s="10" t="s">
        <v>25</v>
      </c>
      <c r="F131" s="10" t="s">
        <v>127</v>
      </c>
      <c r="G131" s="10" t="s">
        <v>271</v>
      </c>
      <c r="H131" s="15">
        <v>21022.35</v>
      </c>
      <c r="I131" s="15"/>
      <c r="J131" s="15"/>
      <c r="K131" s="15"/>
      <c r="L131" s="16"/>
    </row>
    <row r="132" spans="2:12" hidden="1">
      <c r="B132" s="14">
        <v>127</v>
      </c>
      <c r="C132" s="10" t="s">
        <v>83</v>
      </c>
      <c r="D132" s="10" t="s">
        <v>272</v>
      </c>
      <c r="E132" s="10" t="s">
        <v>126</v>
      </c>
      <c r="F132" s="10" t="s">
        <v>127</v>
      </c>
      <c r="G132" s="10" t="s">
        <v>273</v>
      </c>
      <c r="H132" s="15"/>
      <c r="I132" s="15">
        <v>7111.94</v>
      </c>
      <c r="J132" s="15"/>
      <c r="K132" s="15"/>
      <c r="L132" s="16"/>
    </row>
    <row r="133" spans="2:12" hidden="1">
      <c r="B133" s="9">
        <v>128</v>
      </c>
      <c r="C133" s="18" t="s">
        <v>72</v>
      </c>
      <c r="D133" s="18" t="s">
        <v>274</v>
      </c>
      <c r="E133" s="10" t="s">
        <v>25</v>
      </c>
      <c r="F133" s="10" t="s">
        <v>127</v>
      </c>
      <c r="G133" s="10" t="s">
        <v>275</v>
      </c>
      <c r="H133" s="15"/>
      <c r="I133" s="15"/>
      <c r="J133" s="15">
        <v>27436.51</v>
      </c>
      <c r="K133" s="15"/>
      <c r="L133" s="16"/>
    </row>
    <row r="134" spans="2:12" hidden="1">
      <c r="B134" s="14">
        <v>129</v>
      </c>
      <c r="C134" s="10" t="s">
        <v>239</v>
      </c>
      <c r="D134" s="10" t="s">
        <v>276</v>
      </c>
      <c r="E134" s="10" t="s">
        <v>126</v>
      </c>
      <c r="F134" s="10" t="s">
        <v>127</v>
      </c>
      <c r="G134" s="10" t="s">
        <v>277</v>
      </c>
      <c r="H134" s="15"/>
      <c r="I134" s="15">
        <v>6152.23</v>
      </c>
      <c r="J134" s="15"/>
      <c r="K134" s="15">
        <v>6158.67</v>
      </c>
      <c r="L134" s="16"/>
    </row>
    <row r="135" spans="2:12" hidden="1">
      <c r="B135" s="14">
        <v>130</v>
      </c>
      <c r="C135" s="10" t="s">
        <v>96</v>
      </c>
      <c r="D135" s="10" t="s">
        <v>278</v>
      </c>
      <c r="E135" s="10" t="s">
        <v>126</v>
      </c>
      <c r="F135" s="10" t="s">
        <v>127</v>
      </c>
      <c r="G135" s="10" t="s">
        <v>279</v>
      </c>
      <c r="H135" s="15">
        <v>7826.89</v>
      </c>
      <c r="I135" s="15">
        <v>7823.67</v>
      </c>
      <c r="J135" s="15"/>
      <c r="K135" s="15"/>
      <c r="L135" s="16"/>
    </row>
    <row r="136" spans="2:12" hidden="1">
      <c r="B136" s="9">
        <v>131</v>
      </c>
      <c r="C136" s="10" t="s">
        <v>133</v>
      </c>
      <c r="D136" s="10" t="s">
        <v>278</v>
      </c>
      <c r="E136" s="10" t="s">
        <v>126</v>
      </c>
      <c r="F136" s="10" t="s">
        <v>127</v>
      </c>
      <c r="G136" s="10" t="s">
        <v>280</v>
      </c>
      <c r="H136" s="15">
        <v>7601.45</v>
      </c>
      <c r="I136" s="15">
        <v>7588.57</v>
      </c>
      <c r="J136" s="15"/>
      <c r="K136" s="15"/>
      <c r="L136" s="16"/>
    </row>
    <row r="137" spans="2:12" hidden="1">
      <c r="B137" s="14">
        <v>132</v>
      </c>
      <c r="C137" s="10" t="s">
        <v>133</v>
      </c>
      <c r="D137" s="10" t="s">
        <v>278</v>
      </c>
      <c r="E137" s="10" t="s">
        <v>126</v>
      </c>
      <c r="F137" s="10" t="s">
        <v>127</v>
      </c>
      <c r="G137" s="10" t="s">
        <v>281</v>
      </c>
      <c r="H137" s="15"/>
      <c r="I137" s="15">
        <v>7588.57</v>
      </c>
      <c r="J137" s="15"/>
      <c r="K137" s="15"/>
      <c r="L137" s="16"/>
    </row>
    <row r="138" spans="2:12" hidden="1">
      <c r="B138" s="14">
        <v>133</v>
      </c>
      <c r="C138" s="10" t="s">
        <v>194</v>
      </c>
      <c r="D138" s="10" t="s">
        <v>282</v>
      </c>
      <c r="E138" s="10" t="s">
        <v>126</v>
      </c>
      <c r="F138" s="10" t="s">
        <v>127</v>
      </c>
      <c r="G138" s="10" t="s">
        <v>283</v>
      </c>
      <c r="H138" s="15">
        <v>4193.09</v>
      </c>
      <c r="I138" s="15"/>
      <c r="J138" s="15">
        <v>4212.41</v>
      </c>
      <c r="K138" s="15">
        <v>4207.05</v>
      </c>
      <c r="L138" s="16">
        <v>3989.13</v>
      </c>
    </row>
    <row r="139" spans="2:12" hidden="1">
      <c r="B139" s="9">
        <v>134</v>
      </c>
      <c r="C139" s="10" t="s">
        <v>194</v>
      </c>
      <c r="D139" s="10" t="s">
        <v>282</v>
      </c>
      <c r="E139" s="10" t="s">
        <v>126</v>
      </c>
      <c r="F139" s="10" t="s">
        <v>102</v>
      </c>
      <c r="G139" s="10" t="s">
        <v>283</v>
      </c>
      <c r="H139" s="15">
        <v>6414.16</v>
      </c>
      <c r="I139" s="15"/>
      <c r="J139" s="15">
        <v>6410.94</v>
      </c>
      <c r="K139" s="15">
        <v>6407.72</v>
      </c>
      <c r="L139" s="16"/>
    </row>
    <row r="140" spans="2:12" hidden="1">
      <c r="B140" s="14">
        <v>135</v>
      </c>
      <c r="C140" s="10" t="s">
        <v>36</v>
      </c>
      <c r="D140" s="10" t="s">
        <v>37</v>
      </c>
      <c r="E140" s="10" t="s">
        <v>126</v>
      </c>
      <c r="F140" s="10" t="s">
        <v>127</v>
      </c>
      <c r="G140" s="10" t="s">
        <v>284</v>
      </c>
      <c r="H140" s="15"/>
      <c r="I140" s="15"/>
      <c r="J140" s="15">
        <v>5904.25</v>
      </c>
      <c r="K140" s="15">
        <v>5868.82</v>
      </c>
      <c r="L140" s="16"/>
    </row>
    <row r="141" spans="2:12" hidden="1">
      <c r="B141" s="14">
        <v>136</v>
      </c>
      <c r="C141" s="10" t="s">
        <v>36</v>
      </c>
      <c r="D141" s="10" t="s">
        <v>37</v>
      </c>
      <c r="E141" s="10" t="s">
        <v>25</v>
      </c>
      <c r="F141" s="10" t="s">
        <v>127</v>
      </c>
      <c r="G141" s="10" t="s">
        <v>38</v>
      </c>
      <c r="H141" s="15"/>
      <c r="I141" s="15">
        <v>23114.6</v>
      </c>
      <c r="J141" s="15"/>
      <c r="K141" s="15"/>
      <c r="L141" s="16"/>
    </row>
    <row r="142" spans="2:12" hidden="1">
      <c r="B142" s="9">
        <v>137</v>
      </c>
      <c r="C142" s="10" t="s">
        <v>42</v>
      </c>
      <c r="D142" s="10" t="s">
        <v>43</v>
      </c>
      <c r="E142" s="10" t="s">
        <v>25</v>
      </c>
      <c r="F142" s="10" t="s">
        <v>127</v>
      </c>
      <c r="G142" s="10" t="s">
        <v>44</v>
      </c>
      <c r="H142" s="15"/>
      <c r="I142" s="15">
        <v>6973.46</v>
      </c>
      <c r="J142" s="15">
        <v>6987.41</v>
      </c>
      <c r="K142" s="15">
        <v>6980.97</v>
      </c>
      <c r="L142" s="16">
        <v>6963.79</v>
      </c>
    </row>
    <row r="143" spans="2:12" hidden="1">
      <c r="B143" s="14">
        <v>138</v>
      </c>
      <c r="C143" s="10" t="s">
        <v>58</v>
      </c>
      <c r="D143" s="10" t="s">
        <v>285</v>
      </c>
      <c r="E143" s="10" t="s">
        <v>126</v>
      </c>
      <c r="F143" s="10" t="s">
        <v>127</v>
      </c>
      <c r="G143" s="10" t="s">
        <v>286</v>
      </c>
      <c r="H143" s="15"/>
      <c r="I143" s="15"/>
      <c r="J143" s="15">
        <v>3629.5</v>
      </c>
      <c r="K143" s="15">
        <v>3624.14</v>
      </c>
      <c r="L143" s="16"/>
    </row>
    <row r="144" spans="2:12" hidden="1">
      <c r="B144" s="14">
        <v>139</v>
      </c>
      <c r="C144" s="10" t="s">
        <v>58</v>
      </c>
      <c r="D144" s="10" t="s">
        <v>285</v>
      </c>
      <c r="E144" s="10" t="s">
        <v>25</v>
      </c>
      <c r="F144" s="10" t="s">
        <v>102</v>
      </c>
      <c r="G144" s="10" t="s">
        <v>287</v>
      </c>
      <c r="H144" s="15"/>
      <c r="I144" s="15">
        <v>9601.3799999999992</v>
      </c>
      <c r="J144" s="15">
        <v>9620.7099999999991</v>
      </c>
      <c r="K144" s="15">
        <v>9614.27</v>
      </c>
      <c r="L144" s="16"/>
    </row>
    <row r="145" spans="2:12" hidden="1">
      <c r="B145" s="9">
        <v>140</v>
      </c>
      <c r="C145" s="10" t="s">
        <v>58</v>
      </c>
      <c r="D145" s="10" t="s">
        <v>285</v>
      </c>
      <c r="E145" s="10" t="s">
        <v>25</v>
      </c>
      <c r="F145" s="10" t="s">
        <v>127</v>
      </c>
      <c r="G145" s="10" t="s">
        <v>287</v>
      </c>
      <c r="H145" s="15"/>
      <c r="I145" s="15">
        <v>6254.21</v>
      </c>
      <c r="J145" s="15">
        <v>6263.87</v>
      </c>
      <c r="K145" s="15">
        <v>6260.65</v>
      </c>
      <c r="L145" s="16">
        <v>6242.4</v>
      </c>
    </row>
    <row r="146" spans="2:12" hidden="1">
      <c r="B146" s="14">
        <v>141</v>
      </c>
      <c r="C146" s="18" t="s">
        <v>288</v>
      </c>
      <c r="D146" s="18" t="s">
        <v>289</v>
      </c>
      <c r="E146" s="10" t="s">
        <v>25</v>
      </c>
      <c r="F146" s="10" t="s">
        <v>127</v>
      </c>
      <c r="G146" s="10" t="s">
        <v>290</v>
      </c>
      <c r="H146" s="15"/>
      <c r="I146" s="15">
        <v>9482.23</v>
      </c>
      <c r="J146" s="15">
        <v>9501.5499999999993</v>
      </c>
      <c r="K146" s="15"/>
      <c r="L146" s="16">
        <v>9477.93</v>
      </c>
    </row>
    <row r="147" spans="2:12" hidden="1">
      <c r="B147" s="14">
        <v>142</v>
      </c>
      <c r="C147" s="10" t="s">
        <v>39</v>
      </c>
      <c r="D147" s="10" t="s">
        <v>40</v>
      </c>
      <c r="E147" s="10" t="s">
        <v>126</v>
      </c>
      <c r="F147" s="10" t="s">
        <v>127</v>
      </c>
      <c r="G147" s="10" t="s">
        <v>291</v>
      </c>
      <c r="H147" s="15">
        <v>5867.75</v>
      </c>
      <c r="I147" s="15">
        <v>5859.16</v>
      </c>
      <c r="J147" s="15">
        <v>5869.9</v>
      </c>
      <c r="K147" s="15">
        <v>5864.53</v>
      </c>
      <c r="L147" s="16"/>
    </row>
    <row r="148" spans="2:12" hidden="1">
      <c r="B148" s="9">
        <v>143</v>
      </c>
      <c r="C148" s="10" t="s">
        <v>39</v>
      </c>
      <c r="D148" s="10" t="s">
        <v>40</v>
      </c>
      <c r="E148" s="10" t="s">
        <v>126</v>
      </c>
      <c r="F148" s="10" t="s">
        <v>127</v>
      </c>
      <c r="G148" s="10" t="s">
        <v>154</v>
      </c>
      <c r="H148" s="15">
        <v>5867.75</v>
      </c>
      <c r="I148" s="15">
        <v>5859.16</v>
      </c>
      <c r="J148" s="15">
        <v>5869.9</v>
      </c>
      <c r="K148" s="15">
        <v>5864.53</v>
      </c>
      <c r="L148" s="16"/>
    </row>
    <row r="149" spans="2:12" hidden="1">
      <c r="B149" s="14">
        <v>144</v>
      </c>
      <c r="C149" s="10" t="s">
        <v>39</v>
      </c>
      <c r="D149" s="10" t="s">
        <v>40</v>
      </c>
      <c r="E149" s="10" t="s">
        <v>25</v>
      </c>
      <c r="F149" s="10" t="s">
        <v>102</v>
      </c>
      <c r="G149" s="10" t="s">
        <v>41</v>
      </c>
      <c r="H149" s="15">
        <v>9501.5499999999993</v>
      </c>
      <c r="I149" s="15"/>
      <c r="J149" s="15"/>
      <c r="K149" s="15"/>
      <c r="L149" s="16"/>
    </row>
    <row r="150" spans="2:12" hidden="1">
      <c r="B150" s="14">
        <v>145</v>
      </c>
      <c r="C150" s="10" t="s">
        <v>39</v>
      </c>
      <c r="D150" s="10" t="s">
        <v>40</v>
      </c>
      <c r="E150" s="10" t="s">
        <v>25</v>
      </c>
      <c r="F150" s="10" t="s">
        <v>127</v>
      </c>
      <c r="G150" s="10" t="s">
        <v>41</v>
      </c>
      <c r="H150" s="15">
        <v>6461.4</v>
      </c>
      <c r="I150" s="15">
        <v>6459.25</v>
      </c>
      <c r="J150" s="15"/>
      <c r="K150" s="15"/>
      <c r="L150" s="16">
        <v>6448.51</v>
      </c>
    </row>
    <row r="151" spans="2:12" hidden="1">
      <c r="B151" s="9">
        <v>146</v>
      </c>
      <c r="C151" s="10" t="s">
        <v>39</v>
      </c>
      <c r="D151" s="10" t="s">
        <v>40</v>
      </c>
      <c r="E151" s="10" t="s">
        <v>126</v>
      </c>
      <c r="F151" s="10" t="s">
        <v>127</v>
      </c>
      <c r="G151" s="10" t="s">
        <v>41</v>
      </c>
      <c r="H151" s="15">
        <v>5938.6</v>
      </c>
      <c r="I151" s="15">
        <v>5926.79</v>
      </c>
      <c r="J151" s="15">
        <v>5936.46</v>
      </c>
      <c r="K151" s="15"/>
      <c r="L151" s="16"/>
    </row>
    <row r="152" spans="2:12" hidden="1">
      <c r="B152" s="14">
        <v>147</v>
      </c>
      <c r="C152" s="18" t="s">
        <v>96</v>
      </c>
      <c r="D152" s="18" t="s">
        <v>292</v>
      </c>
      <c r="E152" s="10" t="s">
        <v>25</v>
      </c>
      <c r="F152" s="10" t="s">
        <v>127</v>
      </c>
      <c r="G152" s="10" t="s">
        <v>293</v>
      </c>
      <c r="H152" s="15">
        <v>6520.44</v>
      </c>
      <c r="I152" s="15"/>
      <c r="J152" s="15"/>
      <c r="K152" s="15"/>
      <c r="L152" s="16"/>
    </row>
    <row r="153" spans="2:12" hidden="1">
      <c r="B153" s="14">
        <v>148</v>
      </c>
      <c r="C153" s="18" t="s">
        <v>96</v>
      </c>
      <c r="D153" s="18" t="s">
        <v>292</v>
      </c>
      <c r="E153" s="10" t="s">
        <v>126</v>
      </c>
      <c r="F153" s="10" t="s">
        <v>127</v>
      </c>
      <c r="G153" s="10" t="s">
        <v>293</v>
      </c>
      <c r="H153" s="15">
        <v>7125.89</v>
      </c>
      <c r="I153" s="15"/>
      <c r="J153" s="15"/>
      <c r="K153" s="15"/>
      <c r="L153" s="16"/>
    </row>
    <row r="154" spans="2:12" hidden="1">
      <c r="B154" s="9">
        <v>149</v>
      </c>
      <c r="C154" s="18" t="s">
        <v>96</v>
      </c>
      <c r="D154" s="18" t="s">
        <v>292</v>
      </c>
      <c r="E154" s="10" t="s">
        <v>25</v>
      </c>
      <c r="F154" s="11" t="s">
        <v>102</v>
      </c>
      <c r="G154" s="10" t="s">
        <v>293</v>
      </c>
      <c r="H154" s="12">
        <v>10927.16</v>
      </c>
      <c r="I154" s="12"/>
      <c r="J154" s="12"/>
      <c r="K154" s="12"/>
      <c r="L154" s="13"/>
    </row>
    <row r="155" spans="2:12" hidden="1">
      <c r="B155" s="14">
        <v>150</v>
      </c>
      <c r="C155" s="11" t="s">
        <v>72</v>
      </c>
      <c r="D155" s="11" t="s">
        <v>294</v>
      </c>
      <c r="E155" s="10" t="s">
        <v>126</v>
      </c>
      <c r="F155" s="10" t="s">
        <v>127</v>
      </c>
      <c r="G155" s="10" t="s">
        <v>295</v>
      </c>
      <c r="H155" s="15">
        <v>5784.02</v>
      </c>
      <c r="I155" s="15">
        <v>5775.43</v>
      </c>
      <c r="J155" s="15"/>
      <c r="K155" s="15"/>
      <c r="L155" s="16"/>
    </row>
    <row r="156" spans="2:12" hidden="1">
      <c r="B156" s="14">
        <v>151</v>
      </c>
      <c r="C156" s="10" t="s">
        <v>191</v>
      </c>
      <c r="D156" s="10" t="s">
        <v>296</v>
      </c>
      <c r="E156" s="10" t="s">
        <v>126</v>
      </c>
      <c r="F156" s="10" t="s">
        <v>127</v>
      </c>
      <c r="G156" s="10" t="s">
        <v>297</v>
      </c>
      <c r="H156" s="15">
        <v>4774.93</v>
      </c>
      <c r="I156" s="15">
        <v>4768.49</v>
      </c>
      <c r="J156" s="15">
        <v>4778.1499999999996</v>
      </c>
      <c r="K156" s="15">
        <v>4772.78</v>
      </c>
      <c r="L156" s="16"/>
    </row>
    <row r="157" spans="2:12" hidden="1">
      <c r="B157" s="9">
        <v>152</v>
      </c>
      <c r="C157" s="10" t="s">
        <v>191</v>
      </c>
      <c r="D157" s="10" t="s">
        <v>296</v>
      </c>
      <c r="E157" s="10" t="s">
        <v>25</v>
      </c>
      <c r="F157" s="10" t="s">
        <v>102</v>
      </c>
      <c r="G157" s="10" t="s">
        <v>298</v>
      </c>
      <c r="H157" s="15"/>
      <c r="I157" s="15">
        <v>8851.01</v>
      </c>
      <c r="J157" s="15">
        <v>8868.18</v>
      </c>
      <c r="K157" s="15">
        <v>8862.82</v>
      </c>
      <c r="L157" s="16"/>
    </row>
    <row r="158" spans="2:12" hidden="1">
      <c r="B158" s="14">
        <v>153</v>
      </c>
      <c r="C158" s="10" t="s">
        <v>191</v>
      </c>
      <c r="D158" s="10" t="s">
        <v>296</v>
      </c>
      <c r="E158" s="10" t="s">
        <v>25</v>
      </c>
      <c r="F158" s="10" t="s">
        <v>127</v>
      </c>
      <c r="G158" s="10" t="s">
        <v>298</v>
      </c>
      <c r="H158" s="15"/>
      <c r="I158" s="15">
        <v>5709.95</v>
      </c>
      <c r="J158" s="15">
        <v>5719.61</v>
      </c>
      <c r="K158" s="15">
        <v>5715.31</v>
      </c>
      <c r="L158" s="16">
        <v>5697.06</v>
      </c>
    </row>
    <row r="159" spans="2:12" hidden="1">
      <c r="B159" s="14">
        <v>154</v>
      </c>
      <c r="C159" s="10" t="s">
        <v>89</v>
      </c>
      <c r="D159" s="10" t="s">
        <v>90</v>
      </c>
      <c r="E159" s="10" t="s">
        <v>126</v>
      </c>
      <c r="F159" s="10" t="s">
        <v>127</v>
      </c>
      <c r="G159" s="10" t="s">
        <v>91</v>
      </c>
      <c r="H159" s="15"/>
      <c r="I159" s="15">
        <v>5808.71</v>
      </c>
      <c r="J159" s="15">
        <v>5819.44</v>
      </c>
      <c r="K159" s="15">
        <v>5814.08</v>
      </c>
      <c r="L159" s="16"/>
    </row>
    <row r="160" spans="2:12" hidden="1">
      <c r="B160" s="9">
        <v>155</v>
      </c>
      <c r="C160" s="18" t="s">
        <v>83</v>
      </c>
      <c r="D160" s="18" t="s">
        <v>299</v>
      </c>
      <c r="E160" s="10" t="s">
        <v>25</v>
      </c>
      <c r="F160" s="10" t="s">
        <v>127</v>
      </c>
      <c r="G160" s="10" t="s">
        <v>300</v>
      </c>
      <c r="H160" s="15">
        <v>7720.61</v>
      </c>
      <c r="I160" s="15"/>
      <c r="J160" s="15"/>
      <c r="K160" s="15"/>
      <c r="L160" s="16"/>
    </row>
    <row r="161" spans="2:12" hidden="1">
      <c r="B161" s="14">
        <v>156</v>
      </c>
      <c r="C161" s="18" t="s">
        <v>83</v>
      </c>
      <c r="D161" s="18" t="s">
        <v>299</v>
      </c>
      <c r="E161" s="10" t="s">
        <v>126</v>
      </c>
      <c r="F161" s="10" t="s">
        <v>127</v>
      </c>
      <c r="G161" s="10" t="s">
        <v>301</v>
      </c>
      <c r="H161" s="15">
        <v>5767.92</v>
      </c>
      <c r="I161" s="15"/>
      <c r="J161" s="15"/>
      <c r="K161" s="15"/>
      <c r="L161" s="16"/>
    </row>
    <row r="162" spans="2:12" hidden="1">
      <c r="B162" s="14">
        <v>157</v>
      </c>
      <c r="C162" s="10" t="s">
        <v>58</v>
      </c>
      <c r="D162" s="10" t="s">
        <v>302</v>
      </c>
      <c r="E162" s="10" t="s">
        <v>126</v>
      </c>
      <c r="F162" s="10" t="s">
        <v>127</v>
      </c>
      <c r="G162" s="10" t="s">
        <v>303</v>
      </c>
      <c r="H162" s="15">
        <v>5879.56</v>
      </c>
      <c r="I162" s="15"/>
      <c r="J162" s="15">
        <v>5879.56</v>
      </c>
      <c r="K162" s="15">
        <v>5873.12</v>
      </c>
      <c r="L162" s="16"/>
    </row>
    <row r="163" spans="2:12" hidden="1">
      <c r="B163" s="9">
        <v>158</v>
      </c>
      <c r="C163" s="10" t="s">
        <v>83</v>
      </c>
      <c r="D163" s="10" t="s">
        <v>304</v>
      </c>
      <c r="E163" s="10" t="s">
        <v>126</v>
      </c>
      <c r="F163" s="10" t="s">
        <v>127</v>
      </c>
      <c r="G163" s="10" t="s">
        <v>305</v>
      </c>
      <c r="H163" s="15">
        <v>6175.85</v>
      </c>
      <c r="I163" s="15">
        <v>6182.29</v>
      </c>
      <c r="J163" s="15"/>
      <c r="K163" s="15"/>
      <c r="L163" s="16"/>
    </row>
    <row r="164" spans="2:12" hidden="1">
      <c r="B164" s="14">
        <v>159</v>
      </c>
      <c r="C164" s="10" t="s">
        <v>83</v>
      </c>
      <c r="D164" s="10" t="s">
        <v>304</v>
      </c>
      <c r="E164" s="10" t="s">
        <v>25</v>
      </c>
      <c r="F164" s="10" t="s">
        <v>127</v>
      </c>
      <c r="G164" s="10" t="s">
        <v>306</v>
      </c>
      <c r="H164" s="15">
        <v>7720.61</v>
      </c>
      <c r="I164" s="15"/>
      <c r="J164" s="15"/>
      <c r="K164" s="15"/>
      <c r="L164" s="16"/>
    </row>
    <row r="165" spans="2:12" hidden="1">
      <c r="B165" s="14">
        <v>160</v>
      </c>
      <c r="C165" s="10" t="s">
        <v>58</v>
      </c>
      <c r="D165" s="10" t="s">
        <v>307</v>
      </c>
      <c r="E165" s="10" t="s">
        <v>126</v>
      </c>
      <c r="F165" s="10" t="s">
        <v>127</v>
      </c>
      <c r="G165" s="10" t="s">
        <v>308</v>
      </c>
      <c r="H165" s="15"/>
      <c r="I165" s="15">
        <v>5890.29</v>
      </c>
      <c r="J165" s="15">
        <v>5902.1</v>
      </c>
      <c r="K165" s="15"/>
      <c r="L165" s="16"/>
    </row>
    <row r="166" spans="2:12" hidden="1">
      <c r="B166" s="9">
        <v>161</v>
      </c>
      <c r="C166" s="18" t="s">
        <v>96</v>
      </c>
      <c r="D166" s="18" t="s">
        <v>309</v>
      </c>
      <c r="E166" s="10" t="s">
        <v>126</v>
      </c>
      <c r="F166" s="10" t="s">
        <v>127</v>
      </c>
      <c r="G166" s="10" t="s">
        <v>310</v>
      </c>
      <c r="H166" s="15"/>
      <c r="I166" s="15">
        <v>111038.55</v>
      </c>
      <c r="J166" s="15"/>
      <c r="K166" s="15"/>
      <c r="L166" s="16"/>
    </row>
    <row r="167" spans="2:12" hidden="1">
      <c r="B167" s="14">
        <v>162</v>
      </c>
      <c r="C167" s="10" t="s">
        <v>191</v>
      </c>
      <c r="D167" s="10" t="s">
        <v>311</v>
      </c>
      <c r="E167" s="10" t="s">
        <v>126</v>
      </c>
      <c r="F167" s="10" t="s">
        <v>127</v>
      </c>
      <c r="G167" s="10" t="s">
        <v>312</v>
      </c>
      <c r="H167" s="15"/>
      <c r="I167" s="15"/>
      <c r="J167" s="15">
        <v>5985.84</v>
      </c>
      <c r="K167" s="15">
        <v>5980.47</v>
      </c>
      <c r="L167" s="16"/>
    </row>
    <row r="168" spans="2:12" hidden="1">
      <c r="B168" s="14">
        <v>163</v>
      </c>
      <c r="C168" s="10" t="s">
        <v>55</v>
      </c>
      <c r="D168" s="10" t="s">
        <v>313</v>
      </c>
      <c r="E168" s="10" t="s">
        <v>126</v>
      </c>
      <c r="F168" s="10" t="s">
        <v>127</v>
      </c>
      <c r="G168" s="10" t="s">
        <v>154</v>
      </c>
      <c r="H168" s="15">
        <v>5867.75</v>
      </c>
      <c r="I168" s="15">
        <v>5867.75</v>
      </c>
      <c r="J168" s="15">
        <v>5879.56</v>
      </c>
      <c r="K168" s="15">
        <v>5873.12</v>
      </c>
      <c r="L168" s="16"/>
    </row>
    <row r="169" spans="2:12" hidden="1">
      <c r="B169" s="9">
        <v>164</v>
      </c>
      <c r="C169" s="10" t="s">
        <v>55</v>
      </c>
      <c r="D169" s="10" t="s">
        <v>313</v>
      </c>
      <c r="E169" s="10" t="s">
        <v>126</v>
      </c>
      <c r="F169" s="18" t="s">
        <v>102</v>
      </c>
      <c r="G169" s="10" t="s">
        <v>314</v>
      </c>
      <c r="H169" s="19"/>
      <c r="I169" s="19"/>
      <c r="J169" s="19">
        <v>6118.95</v>
      </c>
      <c r="K169" s="19"/>
      <c r="L169" s="20"/>
    </row>
    <row r="170" spans="2:12" hidden="1">
      <c r="B170" s="14">
        <v>165</v>
      </c>
      <c r="C170" s="10" t="s">
        <v>65</v>
      </c>
      <c r="D170" s="10" t="s">
        <v>70</v>
      </c>
      <c r="E170" s="10" t="s">
        <v>126</v>
      </c>
      <c r="F170" s="10" t="s">
        <v>127</v>
      </c>
      <c r="G170" s="10" t="s">
        <v>154</v>
      </c>
      <c r="H170" s="15"/>
      <c r="I170" s="15"/>
      <c r="J170" s="15">
        <v>6855.37</v>
      </c>
      <c r="K170" s="15"/>
      <c r="L170" s="16"/>
    </row>
    <row r="171" spans="2:12" hidden="1">
      <c r="B171" s="14">
        <v>166</v>
      </c>
      <c r="C171" s="10" t="s">
        <v>65</v>
      </c>
      <c r="D171" s="10" t="s">
        <v>70</v>
      </c>
      <c r="E171" s="10" t="s">
        <v>25</v>
      </c>
      <c r="F171" s="10" t="s">
        <v>127</v>
      </c>
      <c r="G171" s="10" t="s">
        <v>71</v>
      </c>
      <c r="H171" s="15"/>
      <c r="I171" s="15"/>
      <c r="J171" s="15"/>
      <c r="K171" s="15"/>
      <c r="L171" s="16">
        <v>20571.48</v>
      </c>
    </row>
    <row r="172" spans="2:12" hidden="1">
      <c r="B172" s="9">
        <v>167</v>
      </c>
      <c r="C172" s="10" t="s">
        <v>65</v>
      </c>
      <c r="D172" s="10" t="s">
        <v>70</v>
      </c>
      <c r="E172" s="10" t="s">
        <v>126</v>
      </c>
      <c r="F172" s="10" t="s">
        <v>127</v>
      </c>
      <c r="G172" s="10" t="s">
        <v>315</v>
      </c>
      <c r="H172" s="15"/>
      <c r="I172" s="15"/>
      <c r="J172" s="15">
        <v>6855.37</v>
      </c>
      <c r="K172" s="15"/>
      <c r="L172" s="16"/>
    </row>
    <row r="173" spans="2:12" hidden="1">
      <c r="B173" s="14">
        <v>168</v>
      </c>
      <c r="C173" s="10" t="s">
        <v>65</v>
      </c>
      <c r="D173" s="10" t="s">
        <v>70</v>
      </c>
      <c r="E173" s="10" t="s">
        <v>126</v>
      </c>
      <c r="F173" s="10" t="s">
        <v>127</v>
      </c>
      <c r="G173" s="10" t="s">
        <v>316</v>
      </c>
      <c r="H173" s="15"/>
      <c r="I173" s="15"/>
      <c r="J173" s="15">
        <v>6855.37</v>
      </c>
      <c r="K173" s="15"/>
      <c r="L173" s="16"/>
    </row>
    <row r="174" spans="2:12" hidden="1">
      <c r="B174" s="14">
        <v>169</v>
      </c>
      <c r="C174" s="10" t="s">
        <v>42</v>
      </c>
      <c r="D174" s="10" t="s">
        <v>317</v>
      </c>
      <c r="E174" s="10" t="s">
        <v>126</v>
      </c>
      <c r="F174" s="10" t="s">
        <v>127</v>
      </c>
      <c r="G174" s="10" t="s">
        <v>318</v>
      </c>
      <c r="H174" s="15"/>
      <c r="I174" s="15"/>
      <c r="J174" s="15">
        <v>5574.69</v>
      </c>
      <c r="K174" s="15">
        <v>5569.32</v>
      </c>
      <c r="L174" s="16"/>
    </row>
    <row r="175" spans="2:12" hidden="1">
      <c r="B175" s="9">
        <v>170</v>
      </c>
      <c r="C175" s="10" t="s">
        <v>58</v>
      </c>
      <c r="D175" s="10" t="s">
        <v>319</v>
      </c>
      <c r="E175" s="10" t="s">
        <v>126</v>
      </c>
      <c r="F175" s="10" t="s">
        <v>127</v>
      </c>
      <c r="G175" s="10" t="s">
        <v>320</v>
      </c>
      <c r="H175" s="15"/>
      <c r="I175" s="15"/>
      <c r="J175" s="15">
        <v>5729.27</v>
      </c>
      <c r="K175" s="15">
        <v>5723.9</v>
      </c>
      <c r="L175" s="16"/>
    </row>
    <row r="176" spans="2:12" hidden="1">
      <c r="B176" s="14">
        <v>171</v>
      </c>
      <c r="C176" s="10" t="s">
        <v>99</v>
      </c>
      <c r="D176" s="10" t="s">
        <v>321</v>
      </c>
      <c r="E176" s="10" t="s">
        <v>126</v>
      </c>
      <c r="F176" s="10" t="s">
        <v>127</v>
      </c>
      <c r="G176" s="10" t="s">
        <v>322</v>
      </c>
      <c r="H176" s="15">
        <v>5333.15</v>
      </c>
      <c r="I176" s="15"/>
      <c r="J176" s="15">
        <v>5333.15</v>
      </c>
      <c r="K176" s="15">
        <v>5326.71</v>
      </c>
      <c r="L176" s="16"/>
    </row>
    <row r="177" spans="2:12" hidden="1">
      <c r="B177" s="14">
        <v>172</v>
      </c>
      <c r="C177" s="10" t="s">
        <v>99</v>
      </c>
      <c r="D177" s="10" t="s">
        <v>321</v>
      </c>
      <c r="E177" s="10" t="s">
        <v>25</v>
      </c>
      <c r="F177" s="10" t="s">
        <v>102</v>
      </c>
      <c r="G177" s="10" t="s">
        <v>323</v>
      </c>
      <c r="H177" s="15"/>
      <c r="I177" s="15">
        <v>12427.91</v>
      </c>
      <c r="J177" s="15">
        <v>12453.67</v>
      </c>
      <c r="K177" s="15">
        <v>12447.23</v>
      </c>
      <c r="L177" s="16"/>
    </row>
    <row r="178" spans="2:12" hidden="1">
      <c r="B178" s="9">
        <v>173</v>
      </c>
      <c r="C178" s="10" t="s">
        <v>99</v>
      </c>
      <c r="D178" s="10" t="s">
        <v>321</v>
      </c>
      <c r="E178" s="10" t="s">
        <v>25</v>
      </c>
      <c r="F178" s="10" t="s">
        <v>127</v>
      </c>
      <c r="G178" s="10" t="s">
        <v>323</v>
      </c>
      <c r="H178" s="15"/>
      <c r="I178" s="15">
        <v>10651.27</v>
      </c>
      <c r="J178" s="15">
        <v>10670.59</v>
      </c>
      <c r="K178" s="15">
        <v>10667.37</v>
      </c>
      <c r="L178" s="16">
        <v>10649.12</v>
      </c>
    </row>
    <row r="179" spans="2:12" hidden="1">
      <c r="B179" s="14">
        <v>174</v>
      </c>
      <c r="C179" s="10" t="s">
        <v>72</v>
      </c>
      <c r="D179" s="10" t="s">
        <v>324</v>
      </c>
      <c r="E179" s="10" t="s">
        <v>126</v>
      </c>
      <c r="F179" s="10" t="s">
        <v>127</v>
      </c>
      <c r="G179" s="10" t="s">
        <v>154</v>
      </c>
      <c r="H179" s="15">
        <v>5724.98</v>
      </c>
      <c r="I179" s="15"/>
      <c r="J179" s="15">
        <v>5724.98</v>
      </c>
      <c r="K179" s="15"/>
      <c r="L179" s="16"/>
    </row>
    <row r="180" spans="2:12" hidden="1">
      <c r="B180" s="14">
        <v>175</v>
      </c>
      <c r="C180" s="10" t="s">
        <v>72</v>
      </c>
      <c r="D180" s="10" t="s">
        <v>324</v>
      </c>
      <c r="E180" s="10" t="s">
        <v>126</v>
      </c>
      <c r="F180" s="10" t="s">
        <v>127</v>
      </c>
      <c r="G180" s="10" t="s">
        <v>325</v>
      </c>
      <c r="H180" s="15">
        <v>8147.87</v>
      </c>
      <c r="I180" s="15"/>
      <c r="J180" s="15">
        <v>8147.87</v>
      </c>
      <c r="K180" s="15"/>
      <c r="L180" s="16"/>
    </row>
    <row r="181" spans="2:12" hidden="1">
      <c r="B181" s="9">
        <v>176</v>
      </c>
      <c r="C181" s="10" t="s">
        <v>72</v>
      </c>
      <c r="D181" s="10" t="s">
        <v>324</v>
      </c>
      <c r="E181" s="10" t="s">
        <v>25</v>
      </c>
      <c r="F181" s="10" t="s">
        <v>127</v>
      </c>
      <c r="G181" s="10" t="s">
        <v>326</v>
      </c>
      <c r="H181" s="15">
        <v>7125.89</v>
      </c>
      <c r="I181" s="15"/>
      <c r="J181" s="15"/>
      <c r="K181" s="15"/>
      <c r="L181" s="16"/>
    </row>
    <row r="182" spans="2:12" hidden="1">
      <c r="B182" s="14">
        <v>177</v>
      </c>
      <c r="C182" s="10" t="s">
        <v>133</v>
      </c>
      <c r="D182" s="10" t="s">
        <v>327</v>
      </c>
      <c r="E182" s="10" t="s">
        <v>25</v>
      </c>
      <c r="F182" s="10" t="s">
        <v>102</v>
      </c>
      <c r="G182" s="10" t="s">
        <v>328</v>
      </c>
      <c r="H182" s="15"/>
      <c r="I182" s="15">
        <v>10431.200000000001</v>
      </c>
      <c r="J182" s="15">
        <v>10451.6</v>
      </c>
      <c r="K182" s="15">
        <v>10446.23</v>
      </c>
      <c r="L182" s="16"/>
    </row>
    <row r="183" spans="2:12" hidden="1">
      <c r="B183" s="14">
        <v>178</v>
      </c>
      <c r="C183" s="10" t="s">
        <v>133</v>
      </c>
      <c r="D183" s="10" t="s">
        <v>327</v>
      </c>
      <c r="E183" s="10" t="s">
        <v>25</v>
      </c>
      <c r="F183" s="10" t="s">
        <v>127</v>
      </c>
      <c r="G183" s="10" t="s">
        <v>328</v>
      </c>
      <c r="H183" s="15"/>
      <c r="I183" s="15">
        <v>8889.65</v>
      </c>
      <c r="J183" s="15">
        <v>8901.4599999999991</v>
      </c>
      <c r="K183" s="15">
        <v>8901.4599999999991</v>
      </c>
      <c r="L183" s="16">
        <v>8884.2900000000009</v>
      </c>
    </row>
    <row r="184" spans="2:12" hidden="1">
      <c r="B184" s="9">
        <v>179</v>
      </c>
      <c r="C184" s="10" t="s">
        <v>133</v>
      </c>
      <c r="D184" s="10" t="s">
        <v>329</v>
      </c>
      <c r="E184" s="10" t="s">
        <v>126</v>
      </c>
      <c r="F184" s="10" t="s">
        <v>127</v>
      </c>
      <c r="G184" s="10" t="s">
        <v>330</v>
      </c>
      <c r="H184" s="15">
        <v>4703</v>
      </c>
      <c r="I184" s="15"/>
      <c r="J184" s="15"/>
      <c r="K184" s="15"/>
      <c r="L184" s="16"/>
    </row>
    <row r="185" spans="2:12" hidden="1">
      <c r="B185" s="14">
        <v>180</v>
      </c>
      <c r="C185" s="10" t="s">
        <v>253</v>
      </c>
      <c r="D185" s="10" t="s">
        <v>331</v>
      </c>
      <c r="E185" s="10" t="s">
        <v>126</v>
      </c>
      <c r="F185" s="10" t="s">
        <v>127</v>
      </c>
      <c r="G185" s="10" t="s">
        <v>332</v>
      </c>
      <c r="H185" s="15">
        <v>5546.77</v>
      </c>
      <c r="I185" s="15">
        <v>5541.41</v>
      </c>
      <c r="J185" s="15">
        <v>5546.77</v>
      </c>
      <c r="K185" s="15">
        <v>5546.77</v>
      </c>
      <c r="L185" s="16"/>
    </row>
    <row r="186" spans="2:12" hidden="1">
      <c r="B186" s="14">
        <v>181</v>
      </c>
      <c r="C186" s="10" t="s">
        <v>253</v>
      </c>
      <c r="D186" s="10" t="s">
        <v>331</v>
      </c>
      <c r="E186" s="10" t="s">
        <v>126</v>
      </c>
      <c r="F186" s="10" t="s">
        <v>127</v>
      </c>
      <c r="G186" s="10" t="s">
        <v>333</v>
      </c>
      <c r="H186" s="15"/>
      <c r="I186" s="15"/>
      <c r="J186" s="15">
        <v>14288.29</v>
      </c>
      <c r="K186" s="15"/>
      <c r="L186" s="16"/>
    </row>
    <row r="187" spans="2:12" hidden="1">
      <c r="B187" s="9">
        <v>182</v>
      </c>
      <c r="C187" s="10" t="s">
        <v>253</v>
      </c>
      <c r="D187" s="10" t="s">
        <v>331</v>
      </c>
      <c r="E187" s="10" t="s">
        <v>25</v>
      </c>
      <c r="F187" s="10" t="s">
        <v>127</v>
      </c>
      <c r="G187" s="10" t="s">
        <v>333</v>
      </c>
      <c r="H187" s="15"/>
      <c r="I187" s="15"/>
      <c r="J187" s="15">
        <v>12556.73</v>
      </c>
      <c r="K187" s="15">
        <v>12553.51</v>
      </c>
      <c r="L187" s="16">
        <v>12535.26</v>
      </c>
    </row>
    <row r="188" spans="2:12" hidden="1">
      <c r="B188" s="9">
        <v>183</v>
      </c>
      <c r="C188" s="10" t="s">
        <v>253</v>
      </c>
      <c r="D188" s="10" t="s">
        <v>331</v>
      </c>
      <c r="E188" s="10" t="s">
        <v>126</v>
      </c>
      <c r="F188" s="10" t="s">
        <v>127</v>
      </c>
      <c r="G188" s="10" t="s">
        <v>334</v>
      </c>
      <c r="H188" s="15">
        <v>5582.2</v>
      </c>
      <c r="I188" s="15">
        <v>5582.2</v>
      </c>
      <c r="J188" s="15">
        <v>5582.2</v>
      </c>
      <c r="K188" s="15">
        <v>5557.51</v>
      </c>
      <c r="L188" s="16"/>
    </row>
    <row r="189" spans="2:12" hidden="1">
      <c r="B189" s="9">
        <v>184</v>
      </c>
      <c r="C189" s="10" t="s">
        <v>194</v>
      </c>
      <c r="D189" s="10" t="s">
        <v>199</v>
      </c>
      <c r="E189" s="10" t="s">
        <v>25</v>
      </c>
      <c r="F189" s="10" t="s">
        <v>127</v>
      </c>
      <c r="G189" s="10" t="s">
        <v>200</v>
      </c>
      <c r="H189" s="23"/>
      <c r="I189" s="15">
        <v>8963.73</v>
      </c>
      <c r="J189" s="15">
        <v>8802.7000000000007</v>
      </c>
      <c r="K189" s="23"/>
      <c r="L189" s="24"/>
    </row>
    <row r="190" spans="2:12" hidden="1">
      <c r="B190" s="9">
        <v>185</v>
      </c>
      <c r="C190" s="10" t="s">
        <v>103</v>
      </c>
      <c r="D190" s="10" t="s">
        <v>226</v>
      </c>
      <c r="E190" s="10" t="s">
        <v>25</v>
      </c>
      <c r="F190" s="10" t="s">
        <v>127</v>
      </c>
      <c r="G190" s="10" t="s">
        <v>227</v>
      </c>
      <c r="H190" s="23"/>
      <c r="I190" s="15"/>
      <c r="J190" s="15">
        <v>9124.75</v>
      </c>
      <c r="K190" s="23"/>
      <c r="L190" s="24"/>
    </row>
    <row r="191" spans="2:12" hidden="1">
      <c r="B191" s="9">
        <v>186</v>
      </c>
      <c r="C191" s="10" t="s">
        <v>335</v>
      </c>
      <c r="D191" s="10" t="s">
        <v>336</v>
      </c>
      <c r="E191" s="25" t="s">
        <v>126</v>
      </c>
      <c r="F191" s="10" t="s">
        <v>127</v>
      </c>
      <c r="G191" s="10" t="s">
        <v>337</v>
      </c>
      <c r="H191" s="26"/>
      <c r="I191" s="15">
        <v>62263</v>
      </c>
      <c r="J191" s="26"/>
      <c r="K191" s="26"/>
      <c r="L191" s="16"/>
    </row>
    <row r="192" spans="2:12" hidden="1">
      <c r="B192" s="9">
        <v>187</v>
      </c>
      <c r="C192" s="10" t="s">
        <v>338</v>
      </c>
      <c r="D192" s="10" t="s">
        <v>339</v>
      </c>
      <c r="E192" s="25" t="s">
        <v>126</v>
      </c>
      <c r="F192" s="10" t="s">
        <v>127</v>
      </c>
      <c r="G192" s="10" t="s">
        <v>340</v>
      </c>
      <c r="H192" s="26"/>
      <c r="I192" s="15">
        <v>80512.5</v>
      </c>
      <c r="J192" s="26"/>
      <c r="K192" s="26"/>
      <c r="L192" s="16"/>
    </row>
    <row r="193" spans="2:12" ht="14.65" hidden="1" thickBot="1">
      <c r="B193" s="27">
        <v>188</v>
      </c>
      <c r="C193" s="28" t="s">
        <v>341</v>
      </c>
      <c r="D193" s="28" t="s">
        <v>342</v>
      </c>
      <c r="E193" s="29" t="s">
        <v>25</v>
      </c>
      <c r="F193" s="28" t="s">
        <v>127</v>
      </c>
      <c r="G193" s="28" t="s">
        <v>74</v>
      </c>
      <c r="H193" s="30"/>
      <c r="I193" s="30"/>
      <c r="J193" s="30"/>
      <c r="K193" s="30"/>
      <c r="L193" s="31">
        <v>17501.27</v>
      </c>
    </row>
  </sheetData>
  <autoFilter ref="B4:L193" xr:uid="{21D11DAB-7A2C-4B58-A8A7-D242B001CF12}">
    <filterColumn colId="2">
      <filters>
        <filter val="OCAÑA"/>
      </filters>
    </filterColumn>
    <filterColumn colId="6" showButton="0"/>
    <filterColumn colId="7" showButton="0"/>
    <filterColumn colId="8" showButton="0"/>
    <filterColumn colId="9" showButton="0"/>
  </autoFilter>
  <mergeCells count="10">
    <mergeCell ref="A1:L1"/>
    <mergeCell ref="B2:L2"/>
    <mergeCell ref="A3:L3"/>
    <mergeCell ref="B4:B5"/>
    <mergeCell ref="C4:C5"/>
    <mergeCell ref="D4:D5"/>
    <mergeCell ref="E4:E5"/>
    <mergeCell ref="F4:F5"/>
    <mergeCell ref="G4:G5"/>
    <mergeCell ref="H4:L4"/>
  </mergeCells>
  <conditionalFormatting sqref="H6:L188">
    <cfRule type="containsText" dxfId="36" priority="7" operator="containsText" text="No">
      <formula>NOT(ISERROR(SEARCH("No",H6)))</formula>
    </cfRule>
    <cfRule type="containsText" dxfId="35" priority="8" operator="containsText" text="Sí">
      <formula>NOT(ISERROR(SEARCH("Sí",H6)))</formula>
    </cfRule>
  </conditionalFormatting>
  <conditionalFormatting sqref="I191:I192">
    <cfRule type="containsText" dxfId="34" priority="3" operator="containsText" text="No">
      <formula>NOT(ISERROR(SEARCH("No",I191)))</formula>
    </cfRule>
    <cfRule type="containsText" dxfId="33" priority="4" operator="containsText" text="Sí">
      <formula>NOT(ISERROR(SEARCH("Sí",I191)))</formula>
    </cfRule>
  </conditionalFormatting>
  <conditionalFormatting sqref="I189:J190">
    <cfRule type="containsText" dxfId="32" priority="5" operator="containsText" text="No">
      <formula>NOT(ISERROR(SEARCH("No",I189)))</formula>
    </cfRule>
    <cfRule type="containsText" dxfId="31" priority="6" operator="containsText" text="Sí">
      <formula>NOT(ISERROR(SEARCH("Sí",I189)))</formula>
    </cfRule>
  </conditionalFormatting>
  <conditionalFormatting sqref="L191:L193">
    <cfRule type="containsText" dxfId="30" priority="1" operator="containsText" text="No">
      <formula>NOT(ISERROR(SEARCH("No",L191)))</formula>
    </cfRule>
    <cfRule type="containsText" dxfId="29" priority="2" operator="containsText" text="Sí">
      <formula>NOT(ISERROR(SEARCH("Sí",L191)))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35EC2-61E7-4D30-866B-F74001146AAF}">
  <dimension ref="C1:E91"/>
  <sheetViews>
    <sheetView workbookViewId="0">
      <selection activeCell="F55" sqref="F55"/>
    </sheetView>
  </sheetViews>
  <sheetFormatPr defaultColWidth="9.140625" defaultRowHeight="14.25"/>
  <cols>
    <col min="3" max="3" width="22.85546875" customWidth="1"/>
    <col min="4" max="4" width="11.42578125" customWidth="1"/>
    <col min="5" max="5" width="20.7109375" customWidth="1"/>
  </cols>
  <sheetData>
    <row r="1" spans="3:5">
      <c r="C1" s="36" t="s">
        <v>8</v>
      </c>
      <c r="D1" s="37" t="s">
        <v>343</v>
      </c>
      <c r="E1" s="37" t="s">
        <v>344</v>
      </c>
    </row>
    <row r="2" spans="3:5">
      <c r="C2" s="32" t="s">
        <v>270</v>
      </c>
      <c r="D2" s="33" t="s">
        <v>345</v>
      </c>
      <c r="E2" s="33">
        <v>196.23</v>
      </c>
    </row>
    <row r="3" spans="3:5">
      <c r="C3" s="34" t="s">
        <v>163</v>
      </c>
      <c r="D3" s="35" t="s">
        <v>345</v>
      </c>
      <c r="E3" s="35">
        <v>188.67</v>
      </c>
    </row>
    <row r="4" spans="3:5">
      <c r="C4" s="32" t="s">
        <v>346</v>
      </c>
      <c r="D4" s="33" t="s">
        <v>345</v>
      </c>
      <c r="E4" s="33">
        <v>174.4</v>
      </c>
    </row>
    <row r="5" spans="3:5">
      <c r="C5" s="34" t="s">
        <v>169</v>
      </c>
      <c r="D5" s="35" t="s">
        <v>345</v>
      </c>
      <c r="E5" s="35">
        <v>161.31</v>
      </c>
    </row>
    <row r="6" spans="3:5">
      <c r="C6" s="32" t="s">
        <v>347</v>
      </c>
      <c r="D6" s="33" t="s">
        <v>345</v>
      </c>
      <c r="E6" s="33">
        <v>157.58000000000001</v>
      </c>
    </row>
    <row r="7" spans="3:5">
      <c r="C7" s="34" t="s">
        <v>34</v>
      </c>
      <c r="D7" s="35" t="s">
        <v>345</v>
      </c>
      <c r="E7" s="35">
        <v>129.5</v>
      </c>
    </row>
    <row r="8" spans="3:5">
      <c r="C8" s="32" t="s">
        <v>97</v>
      </c>
      <c r="D8" s="33" t="s">
        <v>345</v>
      </c>
      <c r="E8" s="33">
        <v>122.18</v>
      </c>
    </row>
    <row r="9" spans="3:5">
      <c r="C9" s="34" t="s">
        <v>204</v>
      </c>
      <c r="D9" s="35" t="s">
        <v>345</v>
      </c>
      <c r="E9" s="35">
        <v>108.49</v>
      </c>
    </row>
    <row r="10" spans="3:5">
      <c r="C10" s="32" t="s">
        <v>240</v>
      </c>
      <c r="D10" s="33" t="s">
        <v>345</v>
      </c>
      <c r="E10" s="33">
        <v>100.2</v>
      </c>
    </row>
    <row r="11" spans="3:5">
      <c r="C11" s="34" t="s">
        <v>40</v>
      </c>
      <c r="D11" s="35" t="s">
        <v>345</v>
      </c>
      <c r="E11" s="35">
        <v>94.01</v>
      </c>
    </row>
    <row r="12" spans="3:5">
      <c r="C12" s="32" t="s">
        <v>348</v>
      </c>
      <c r="D12" s="33" t="s">
        <v>345</v>
      </c>
      <c r="E12" s="33">
        <v>85.3</v>
      </c>
    </row>
    <row r="13" spans="3:5">
      <c r="C13" s="34" t="s">
        <v>70</v>
      </c>
      <c r="D13" s="35" t="s">
        <v>345</v>
      </c>
      <c r="E13" s="35">
        <v>79.010000000000005</v>
      </c>
    </row>
    <row r="14" spans="3:5">
      <c r="C14" s="32" t="s">
        <v>142</v>
      </c>
      <c r="D14" s="33" t="s">
        <v>345</v>
      </c>
      <c r="E14" s="33">
        <v>73.930000000000007</v>
      </c>
    </row>
    <row r="15" spans="3:5">
      <c r="C15" s="34" t="s">
        <v>235</v>
      </c>
      <c r="D15" s="35" t="s">
        <v>345</v>
      </c>
      <c r="E15" s="35">
        <v>68.36</v>
      </c>
    </row>
    <row r="16" spans="3:5">
      <c r="C16" s="32" t="s">
        <v>83</v>
      </c>
      <c r="D16" s="33" t="s">
        <v>345</v>
      </c>
      <c r="E16" s="33">
        <v>67.94</v>
      </c>
    </row>
    <row r="17" spans="3:5">
      <c r="C17" s="34" t="s">
        <v>167</v>
      </c>
      <c r="D17" s="35" t="s">
        <v>345</v>
      </c>
      <c r="E17" s="35">
        <v>61.35</v>
      </c>
    </row>
    <row r="18" spans="3:5">
      <c r="C18" s="32" t="s">
        <v>37</v>
      </c>
      <c r="D18" s="33" t="s">
        <v>345</v>
      </c>
      <c r="E18" s="33">
        <v>57.25</v>
      </c>
    </row>
    <row r="19" spans="3:5">
      <c r="C19" s="34" t="s">
        <v>78</v>
      </c>
      <c r="D19" s="35" t="s">
        <v>345</v>
      </c>
      <c r="E19" s="35">
        <v>56.11</v>
      </c>
    </row>
    <row r="20" spans="3:5">
      <c r="C20" s="32" t="s">
        <v>349</v>
      </c>
      <c r="D20" s="33" t="s">
        <v>345</v>
      </c>
      <c r="E20" s="33">
        <v>55.2</v>
      </c>
    </row>
    <row r="21" spans="3:5">
      <c r="C21" s="34" t="s">
        <v>68</v>
      </c>
      <c r="D21" s="35" t="s">
        <v>345</v>
      </c>
      <c r="E21" s="35">
        <v>53.74</v>
      </c>
    </row>
    <row r="22" spans="3:5">
      <c r="C22" s="32" t="s">
        <v>274</v>
      </c>
      <c r="D22" s="33" t="s">
        <v>345</v>
      </c>
      <c r="E22" s="33">
        <v>51.69</v>
      </c>
    </row>
    <row r="23" spans="3:5">
      <c r="C23" s="34" t="s">
        <v>63</v>
      </c>
      <c r="D23" s="35" t="s">
        <v>345</v>
      </c>
      <c r="E23" s="35">
        <v>49.94</v>
      </c>
    </row>
    <row r="24" spans="3:5">
      <c r="C24" s="32" t="s">
        <v>43</v>
      </c>
      <c r="D24" s="33" t="s">
        <v>345</v>
      </c>
      <c r="E24" s="33">
        <v>49.2</v>
      </c>
    </row>
    <row r="25" spans="3:5">
      <c r="C25" s="34" t="s">
        <v>59</v>
      </c>
      <c r="D25" s="35" t="s">
        <v>345</v>
      </c>
      <c r="E25" s="35">
        <v>45.35</v>
      </c>
    </row>
    <row r="26" spans="3:5">
      <c r="C26" s="32" t="s">
        <v>73</v>
      </c>
      <c r="D26" s="33" t="s">
        <v>345</v>
      </c>
      <c r="E26" s="33">
        <v>43.29</v>
      </c>
    </row>
    <row r="27" spans="3:5">
      <c r="C27" s="34" t="s">
        <v>184</v>
      </c>
      <c r="D27" s="35" t="s">
        <v>345</v>
      </c>
      <c r="E27" s="35">
        <v>35.590000000000003</v>
      </c>
    </row>
    <row r="28" spans="3:5">
      <c r="C28" s="32" t="s">
        <v>321</v>
      </c>
      <c r="D28" s="33" t="s">
        <v>345</v>
      </c>
      <c r="E28" s="33">
        <v>34.56</v>
      </c>
    </row>
    <row r="29" spans="3:5">
      <c r="C29" s="34" t="s">
        <v>296</v>
      </c>
      <c r="D29" s="35" t="s">
        <v>345</v>
      </c>
      <c r="E29" s="35">
        <v>33.11</v>
      </c>
    </row>
    <row r="30" spans="3:5">
      <c r="C30" s="32" t="s">
        <v>156</v>
      </c>
      <c r="D30" s="33" t="s">
        <v>345</v>
      </c>
      <c r="E30" s="33">
        <v>27.07</v>
      </c>
    </row>
    <row r="31" spans="3:5">
      <c r="C31" s="34" t="s">
        <v>257</v>
      </c>
      <c r="D31" s="35" t="s">
        <v>345</v>
      </c>
      <c r="E31" s="35">
        <v>26.76</v>
      </c>
    </row>
    <row r="32" spans="3:5">
      <c r="C32" s="32" t="s">
        <v>350</v>
      </c>
      <c r="D32" s="33" t="s">
        <v>345</v>
      </c>
      <c r="E32" s="33">
        <v>26.01</v>
      </c>
    </row>
    <row r="33" spans="3:5">
      <c r="C33" s="34" t="s">
        <v>351</v>
      </c>
      <c r="D33" s="35" t="s">
        <v>345</v>
      </c>
      <c r="E33" s="35">
        <v>23.52</v>
      </c>
    </row>
    <row r="34" spans="3:5">
      <c r="C34" s="32" t="s">
        <v>53</v>
      </c>
      <c r="D34" s="33" t="s">
        <v>345</v>
      </c>
      <c r="E34" s="33">
        <v>23.23</v>
      </c>
    </row>
    <row r="35" spans="3:5">
      <c r="C35" s="34" t="s">
        <v>352</v>
      </c>
      <c r="D35" s="35" t="s">
        <v>345</v>
      </c>
      <c r="E35" s="35">
        <v>23.19</v>
      </c>
    </row>
    <row r="36" spans="3:5">
      <c r="C36" s="32" t="s">
        <v>208</v>
      </c>
      <c r="D36" s="33" t="s">
        <v>345</v>
      </c>
      <c r="E36" s="33">
        <v>22.6</v>
      </c>
    </row>
    <row r="37" spans="3:5">
      <c r="C37" s="34" t="s">
        <v>32</v>
      </c>
      <c r="D37" s="35" t="s">
        <v>345</v>
      </c>
      <c r="E37" s="35">
        <v>20.350000000000001</v>
      </c>
    </row>
    <row r="38" spans="3:5">
      <c r="C38" s="32" t="s">
        <v>299</v>
      </c>
      <c r="D38" s="33" t="s">
        <v>345</v>
      </c>
      <c r="E38" s="33">
        <v>16.98</v>
      </c>
    </row>
    <row r="39" spans="3:5">
      <c r="C39" s="34" t="s">
        <v>353</v>
      </c>
      <c r="D39" s="35" t="s">
        <v>345</v>
      </c>
      <c r="E39" s="35">
        <v>16.32</v>
      </c>
    </row>
    <row r="40" spans="3:5">
      <c r="C40" s="32" t="s">
        <v>354</v>
      </c>
      <c r="D40" s="33" t="s">
        <v>345</v>
      </c>
      <c r="E40" s="33">
        <v>16.05</v>
      </c>
    </row>
    <row r="41" spans="3:5">
      <c r="C41" s="34" t="s">
        <v>355</v>
      </c>
      <c r="D41" s="35" t="s">
        <v>345</v>
      </c>
      <c r="E41" s="35">
        <v>15.79</v>
      </c>
    </row>
    <row r="42" spans="3:5">
      <c r="C42" s="32" t="s">
        <v>145</v>
      </c>
      <c r="D42" s="33" t="s">
        <v>345</v>
      </c>
      <c r="E42" s="33">
        <v>15.31</v>
      </c>
    </row>
    <row r="43" spans="3:5">
      <c r="C43" s="34" t="s">
        <v>285</v>
      </c>
      <c r="D43" s="35" t="s">
        <v>345</v>
      </c>
      <c r="E43" s="35">
        <v>14.83</v>
      </c>
    </row>
    <row r="44" spans="3:5">
      <c r="C44" s="32" t="s">
        <v>331</v>
      </c>
      <c r="D44" s="33" t="s">
        <v>345</v>
      </c>
      <c r="E44" s="33">
        <v>14.65</v>
      </c>
    </row>
    <row r="45" spans="3:5">
      <c r="C45" s="34" t="s">
        <v>356</v>
      </c>
      <c r="D45" s="35" t="s">
        <v>345</v>
      </c>
      <c r="E45" s="35">
        <v>13.69</v>
      </c>
    </row>
    <row r="46" spans="3:5">
      <c r="C46" s="32" t="s">
        <v>100</v>
      </c>
      <c r="D46" s="33" t="s">
        <v>345</v>
      </c>
      <c r="E46" s="33">
        <v>13.16</v>
      </c>
    </row>
    <row r="47" spans="3:5">
      <c r="C47" s="34" t="s">
        <v>56</v>
      </c>
      <c r="D47" s="35" t="s">
        <v>345</v>
      </c>
      <c r="E47" s="35">
        <v>12.52</v>
      </c>
    </row>
    <row r="48" spans="3:5">
      <c r="C48" s="32" t="s">
        <v>357</v>
      </c>
      <c r="D48" s="33" t="s">
        <v>345</v>
      </c>
      <c r="E48" s="33">
        <v>11.85</v>
      </c>
    </row>
    <row r="49" spans="3:5">
      <c r="C49" s="34" t="s">
        <v>81</v>
      </c>
      <c r="D49" s="35" t="s">
        <v>345</v>
      </c>
      <c r="E49" s="35">
        <v>9.75</v>
      </c>
    </row>
    <row r="50" spans="3:5">
      <c r="C50" s="32" t="s">
        <v>50</v>
      </c>
      <c r="D50" s="33" t="s">
        <v>345</v>
      </c>
      <c r="E50" s="33">
        <v>9.31</v>
      </c>
    </row>
    <row r="51" spans="3:5">
      <c r="C51" s="34" t="s">
        <v>75</v>
      </c>
      <c r="D51" s="35" t="s">
        <v>345</v>
      </c>
      <c r="E51" s="35">
        <v>8.6199999999999992</v>
      </c>
    </row>
    <row r="52" spans="3:5">
      <c r="C52" s="32" t="s">
        <v>304</v>
      </c>
      <c r="D52" s="33" t="s">
        <v>345</v>
      </c>
      <c r="E52" s="33">
        <v>7.5</v>
      </c>
    </row>
    <row r="53" spans="3:5">
      <c r="C53" s="34" t="s">
        <v>66</v>
      </c>
      <c r="D53" s="35" t="s">
        <v>345</v>
      </c>
      <c r="E53" s="35">
        <v>5.37</v>
      </c>
    </row>
    <row r="54" spans="3:5">
      <c r="C54" s="32" t="s">
        <v>93</v>
      </c>
      <c r="D54" s="33" t="s">
        <v>345</v>
      </c>
      <c r="E54" s="33">
        <v>5.1100000000000003</v>
      </c>
    </row>
    <row r="55" spans="3:5">
      <c r="C55" s="34" t="s">
        <v>163</v>
      </c>
      <c r="D55" s="35" t="s">
        <v>358</v>
      </c>
      <c r="E55" s="35">
        <v>4.47</v>
      </c>
    </row>
    <row r="56" spans="3:5">
      <c r="C56" s="32" t="s">
        <v>359</v>
      </c>
      <c r="D56" s="33" t="s">
        <v>345</v>
      </c>
      <c r="E56" s="33">
        <v>3.33</v>
      </c>
    </row>
    <row r="57" spans="3:5">
      <c r="C57" s="34" t="s">
        <v>292</v>
      </c>
      <c r="D57" s="35" t="s">
        <v>345</v>
      </c>
      <c r="E57" s="35">
        <v>3.22</v>
      </c>
    </row>
    <row r="58" spans="3:5">
      <c r="C58" s="32" t="s">
        <v>156</v>
      </c>
      <c r="D58" s="33" t="s">
        <v>358</v>
      </c>
      <c r="E58" s="33">
        <v>2.48</v>
      </c>
    </row>
    <row r="59" spans="3:5">
      <c r="C59" s="34" t="s">
        <v>327</v>
      </c>
      <c r="D59" s="35" t="s">
        <v>345</v>
      </c>
      <c r="E59" s="35">
        <v>1.93</v>
      </c>
    </row>
    <row r="60" spans="3:5">
      <c r="C60" s="32" t="s">
        <v>169</v>
      </c>
      <c r="D60" s="33" t="s">
        <v>358</v>
      </c>
      <c r="E60" s="33">
        <v>1.65</v>
      </c>
    </row>
    <row r="61" spans="3:5">
      <c r="C61" s="34" t="s">
        <v>40</v>
      </c>
      <c r="D61" s="35" t="s">
        <v>358</v>
      </c>
      <c r="E61" s="35">
        <v>1.48</v>
      </c>
    </row>
    <row r="62" spans="3:5">
      <c r="C62" s="32" t="s">
        <v>321</v>
      </c>
      <c r="D62" s="33" t="s">
        <v>358</v>
      </c>
      <c r="E62" s="33">
        <v>1.2</v>
      </c>
    </row>
    <row r="63" spans="3:5">
      <c r="C63" s="34" t="s">
        <v>270</v>
      </c>
      <c r="D63" s="35" t="s">
        <v>358</v>
      </c>
      <c r="E63" s="35">
        <v>1.1599999999999999</v>
      </c>
    </row>
    <row r="64" spans="3:5">
      <c r="C64" s="32" t="s">
        <v>240</v>
      </c>
      <c r="D64" s="33" t="s">
        <v>358</v>
      </c>
      <c r="E64" s="33">
        <v>1.06</v>
      </c>
    </row>
    <row r="65" spans="3:5">
      <c r="C65" s="34" t="s">
        <v>184</v>
      </c>
      <c r="D65" s="35" t="s">
        <v>358</v>
      </c>
      <c r="E65" s="35">
        <v>1.02</v>
      </c>
    </row>
    <row r="66" spans="3:5">
      <c r="C66" s="32" t="s">
        <v>83</v>
      </c>
      <c r="D66" s="33" t="s">
        <v>358</v>
      </c>
      <c r="E66" s="33">
        <v>0.94</v>
      </c>
    </row>
    <row r="67" spans="3:5">
      <c r="C67" s="34" t="s">
        <v>235</v>
      </c>
      <c r="D67" s="35" t="s">
        <v>358</v>
      </c>
      <c r="E67" s="35">
        <v>0.92</v>
      </c>
    </row>
    <row r="68" spans="3:5">
      <c r="C68" s="32" t="s">
        <v>346</v>
      </c>
      <c r="D68" s="33" t="s">
        <v>358</v>
      </c>
      <c r="E68" s="33">
        <v>0.91</v>
      </c>
    </row>
    <row r="69" spans="3:5">
      <c r="C69" s="34" t="s">
        <v>28</v>
      </c>
      <c r="D69" s="35" t="s">
        <v>345</v>
      </c>
      <c r="E69" s="35">
        <v>0.88</v>
      </c>
    </row>
    <row r="70" spans="3:5">
      <c r="C70" s="32" t="s">
        <v>47</v>
      </c>
      <c r="D70" s="33" t="s">
        <v>345</v>
      </c>
      <c r="E70" s="33">
        <v>0.85</v>
      </c>
    </row>
    <row r="71" spans="3:5">
      <c r="C71" s="34" t="s">
        <v>142</v>
      </c>
      <c r="D71" s="35" t="s">
        <v>358</v>
      </c>
      <c r="E71" s="35">
        <v>0.71</v>
      </c>
    </row>
    <row r="72" spans="3:5">
      <c r="C72" s="32" t="s">
        <v>360</v>
      </c>
      <c r="D72" s="33" t="s">
        <v>345</v>
      </c>
      <c r="E72" s="33">
        <v>0.5</v>
      </c>
    </row>
    <row r="73" spans="3:5">
      <c r="C73" s="34" t="s">
        <v>357</v>
      </c>
      <c r="D73" s="35" t="s">
        <v>358</v>
      </c>
      <c r="E73" s="35">
        <v>0.48</v>
      </c>
    </row>
    <row r="74" spans="3:5">
      <c r="C74" s="32" t="s">
        <v>355</v>
      </c>
      <c r="D74" s="33" t="s">
        <v>358</v>
      </c>
      <c r="E74" s="33">
        <v>0.4</v>
      </c>
    </row>
    <row r="75" spans="3:5">
      <c r="C75" s="34" t="s">
        <v>195</v>
      </c>
      <c r="D75" s="35" t="s">
        <v>345</v>
      </c>
      <c r="E75" s="35">
        <v>0.38</v>
      </c>
    </row>
    <row r="76" spans="3:5">
      <c r="C76" s="32" t="s">
        <v>78</v>
      </c>
      <c r="D76" s="33" t="s">
        <v>358</v>
      </c>
      <c r="E76" s="33">
        <v>0.34</v>
      </c>
    </row>
    <row r="77" spans="3:5">
      <c r="C77" s="34" t="s">
        <v>285</v>
      </c>
      <c r="D77" s="35" t="s">
        <v>358</v>
      </c>
      <c r="E77" s="35">
        <v>0.33</v>
      </c>
    </row>
    <row r="78" spans="3:5">
      <c r="C78" s="32" t="s">
        <v>361</v>
      </c>
      <c r="D78" s="33" t="s">
        <v>358</v>
      </c>
      <c r="E78" s="33">
        <v>0.28000000000000003</v>
      </c>
    </row>
    <row r="79" spans="3:5">
      <c r="C79" s="34" t="s">
        <v>145</v>
      </c>
      <c r="D79" s="35" t="s">
        <v>358</v>
      </c>
      <c r="E79" s="35">
        <v>0.25</v>
      </c>
    </row>
    <row r="80" spans="3:5">
      <c r="C80" s="32" t="s">
        <v>331</v>
      </c>
      <c r="D80" s="33" t="s">
        <v>358</v>
      </c>
      <c r="E80" s="33">
        <v>0.11</v>
      </c>
    </row>
    <row r="81" spans="3:5">
      <c r="C81" s="34" t="s">
        <v>350</v>
      </c>
      <c r="D81" s="35" t="s">
        <v>127</v>
      </c>
      <c r="E81" s="35">
        <v>0</v>
      </c>
    </row>
    <row r="82" spans="3:5">
      <c r="C82" s="32" t="s">
        <v>362</v>
      </c>
      <c r="D82" s="33" t="s">
        <v>345</v>
      </c>
      <c r="E82" s="33">
        <v>0</v>
      </c>
    </row>
    <row r="83" spans="3:5">
      <c r="C83" s="34" t="s">
        <v>195</v>
      </c>
      <c r="D83" s="35" t="s">
        <v>358</v>
      </c>
      <c r="E83" s="35">
        <v>0</v>
      </c>
    </row>
    <row r="84" spans="3:5">
      <c r="C84" s="32" t="s">
        <v>63</v>
      </c>
      <c r="D84" s="33" t="s">
        <v>358</v>
      </c>
      <c r="E84" s="33">
        <v>0</v>
      </c>
    </row>
    <row r="85" spans="3:5">
      <c r="C85" s="34" t="s">
        <v>257</v>
      </c>
      <c r="D85" s="35" t="s">
        <v>358</v>
      </c>
      <c r="E85" s="35">
        <v>0</v>
      </c>
    </row>
    <row r="86" spans="3:5">
      <c r="C86" s="32" t="s">
        <v>289</v>
      </c>
      <c r="D86" s="33" t="s">
        <v>345</v>
      </c>
      <c r="E86" s="33">
        <v>0</v>
      </c>
    </row>
    <row r="87" spans="3:5">
      <c r="C87" s="34" t="s">
        <v>296</v>
      </c>
      <c r="D87" s="35" t="s">
        <v>358</v>
      </c>
      <c r="E87" s="35">
        <v>0</v>
      </c>
    </row>
    <row r="88" spans="3:5">
      <c r="C88" s="32" t="s">
        <v>363</v>
      </c>
      <c r="D88" s="33" t="s">
        <v>345</v>
      </c>
      <c r="E88" s="33">
        <v>0</v>
      </c>
    </row>
    <row r="89" spans="3:5">
      <c r="C89" s="34" t="s">
        <v>364</v>
      </c>
      <c r="D89" s="35" t="s">
        <v>345</v>
      </c>
      <c r="E89" s="35">
        <v>0</v>
      </c>
    </row>
    <row r="90" spans="3:5">
      <c r="C90" s="32" t="s">
        <v>365</v>
      </c>
      <c r="D90" s="33" t="s">
        <v>345</v>
      </c>
      <c r="E90" s="33">
        <v>0</v>
      </c>
    </row>
    <row r="91" spans="3:5">
      <c r="C91" s="34" t="s">
        <v>324</v>
      </c>
      <c r="D91" s="35" t="s">
        <v>345</v>
      </c>
      <c r="E91" s="35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80A13-EB2D-4A7B-898F-B38593023D5A}">
  <dimension ref="B2:H5"/>
  <sheetViews>
    <sheetView workbookViewId="0">
      <selection activeCell="E9" sqref="E9"/>
    </sheetView>
  </sheetViews>
  <sheetFormatPr defaultRowHeight="14.25"/>
  <cols>
    <col min="2" max="2" width="5.140625" customWidth="1"/>
    <col min="3" max="3" width="15.85546875" customWidth="1"/>
    <col min="4" max="4" width="12.5703125" customWidth="1"/>
    <col min="6" max="6" width="15.140625" customWidth="1"/>
    <col min="7" max="7" width="13.7109375" customWidth="1"/>
  </cols>
  <sheetData>
    <row r="2" spans="2:8" ht="14.65" thickBot="1"/>
    <row r="3" spans="2:8" ht="35.25" thickBot="1">
      <c r="B3" s="80" t="s">
        <v>366</v>
      </c>
      <c r="C3" s="81" t="s">
        <v>367</v>
      </c>
      <c r="D3" s="81" t="s">
        <v>368</v>
      </c>
      <c r="E3" s="81" t="s">
        <v>369</v>
      </c>
      <c r="F3" s="81" t="s">
        <v>370</v>
      </c>
      <c r="G3" s="81" t="s">
        <v>371</v>
      </c>
      <c r="H3" s="77"/>
    </row>
    <row r="4" spans="2:8" ht="43.5" customHeight="1">
      <c r="B4" s="147" t="s">
        <v>372</v>
      </c>
      <c r="C4" s="147" t="s">
        <v>373</v>
      </c>
      <c r="D4" s="145">
        <f>'PUNTOS AVIACION '!F39</f>
        <v>7364529402</v>
      </c>
      <c r="E4" s="149" t="s">
        <v>374</v>
      </c>
      <c r="F4" s="151">
        <f>'PUNTOS AVIACION '!F36</f>
        <v>2403000000</v>
      </c>
      <c r="G4" s="145">
        <f>'PUNTOS AVIACION '!F41</f>
        <v>4961529402</v>
      </c>
      <c r="H4" s="77"/>
    </row>
    <row r="5" spans="2:8" ht="14.65" thickBot="1">
      <c r="B5" s="148"/>
      <c r="C5" s="148"/>
      <c r="D5" s="146"/>
      <c r="E5" s="150"/>
      <c r="F5" s="152"/>
      <c r="G5" s="146"/>
      <c r="H5" s="77"/>
    </row>
  </sheetData>
  <mergeCells count="6">
    <mergeCell ref="G4:G5"/>
    <mergeCell ref="B4:B5"/>
    <mergeCell ref="C4:C5"/>
    <mergeCell ref="D4:D5"/>
    <mergeCell ref="E4:E5"/>
    <mergeCell ref="F4:F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9B80C-5ADB-4796-A3F0-C76A5376BBBB}">
  <dimension ref="B2:I31"/>
  <sheetViews>
    <sheetView topLeftCell="B13" workbookViewId="0">
      <selection activeCell="I31" sqref="I31"/>
    </sheetView>
  </sheetViews>
  <sheetFormatPr defaultRowHeight="14.25"/>
  <cols>
    <col min="2" max="2" width="17.5703125" customWidth="1"/>
    <col min="3" max="3" width="11.7109375" customWidth="1"/>
    <col min="4" max="4" width="18.42578125" customWidth="1"/>
    <col min="5" max="5" width="21.42578125" customWidth="1"/>
    <col min="6" max="6" width="24" bestFit="1" customWidth="1"/>
    <col min="7" max="7" width="28" customWidth="1"/>
    <col min="8" max="8" width="25.5703125" customWidth="1"/>
    <col min="9" max="9" width="15.140625" customWidth="1"/>
  </cols>
  <sheetData>
    <row r="2" spans="2:9">
      <c r="B2" s="111" t="s">
        <v>375</v>
      </c>
      <c r="C2" s="111" t="s">
        <v>376</v>
      </c>
      <c r="D2" s="111" t="s">
        <v>377</v>
      </c>
      <c r="E2" s="111" t="s">
        <v>378</v>
      </c>
      <c r="F2" s="111" t="s">
        <v>379</v>
      </c>
      <c r="G2" s="111" t="s">
        <v>380</v>
      </c>
      <c r="H2" s="118" t="s">
        <v>23</v>
      </c>
      <c r="I2" s="112" t="s">
        <v>24</v>
      </c>
    </row>
    <row r="3" spans="2:9">
      <c r="B3" s="105">
        <v>136963</v>
      </c>
      <c r="C3" s="106" t="s">
        <v>381</v>
      </c>
      <c r="D3" s="106" t="s">
        <v>345</v>
      </c>
      <c r="E3" s="106" t="s">
        <v>45</v>
      </c>
      <c r="F3" s="107" t="s">
        <v>99</v>
      </c>
      <c r="G3" s="106" t="s">
        <v>100</v>
      </c>
      <c r="H3" s="113">
        <v>3890.68</v>
      </c>
      <c r="I3" s="114"/>
    </row>
    <row r="4" spans="2:9">
      <c r="B4" s="105">
        <v>136963</v>
      </c>
      <c r="C4" s="106" t="s">
        <v>381</v>
      </c>
      <c r="D4" s="106" t="s">
        <v>345</v>
      </c>
      <c r="E4" s="106" t="s">
        <v>382</v>
      </c>
      <c r="F4" s="107" t="s">
        <v>49</v>
      </c>
      <c r="G4" s="106" t="s">
        <v>50</v>
      </c>
      <c r="H4" s="113">
        <v>19602.7</v>
      </c>
      <c r="I4" s="114"/>
    </row>
    <row r="5" spans="2:9">
      <c r="B5" s="105">
        <v>136963</v>
      </c>
      <c r="C5" s="106" t="s">
        <v>381</v>
      </c>
      <c r="D5" s="106" t="s">
        <v>345</v>
      </c>
      <c r="E5" s="106" t="s">
        <v>45</v>
      </c>
      <c r="F5" s="107" t="s">
        <v>55</v>
      </c>
      <c r="G5" s="106" t="s">
        <v>139</v>
      </c>
      <c r="H5" s="113">
        <v>34835.279999999999</v>
      </c>
      <c r="I5" s="114"/>
    </row>
    <row r="6" spans="2:9">
      <c r="B6" s="108">
        <v>136963</v>
      </c>
      <c r="C6" s="109" t="s">
        <v>381</v>
      </c>
      <c r="D6" s="109" t="s">
        <v>345</v>
      </c>
      <c r="E6" s="109" t="s">
        <v>45</v>
      </c>
      <c r="F6" s="110" t="s">
        <v>269</v>
      </c>
      <c r="G6" s="109" t="s">
        <v>383</v>
      </c>
      <c r="H6" s="115">
        <v>91824.51</v>
      </c>
      <c r="I6" s="114"/>
    </row>
    <row r="7" spans="2:9">
      <c r="B7" s="108">
        <v>136963</v>
      </c>
      <c r="C7" s="109" t="s">
        <v>381</v>
      </c>
      <c r="D7" s="109" t="s">
        <v>345</v>
      </c>
      <c r="E7" s="109" t="s">
        <v>382</v>
      </c>
      <c r="F7" s="110" t="s">
        <v>86</v>
      </c>
      <c r="G7" s="109" t="s">
        <v>87</v>
      </c>
      <c r="H7" s="115">
        <v>2825.5</v>
      </c>
      <c r="I7" s="114"/>
    </row>
    <row r="8" spans="2:9">
      <c r="B8" s="108">
        <v>136963</v>
      </c>
      <c r="C8" s="109" t="s">
        <v>381</v>
      </c>
      <c r="D8" s="109" t="s">
        <v>345</v>
      </c>
      <c r="E8" s="109" t="s">
        <v>382</v>
      </c>
      <c r="F8" s="110" t="s">
        <v>55</v>
      </c>
      <c r="G8" s="109" t="s">
        <v>56</v>
      </c>
      <c r="H8" s="115">
        <v>22981.84</v>
      </c>
      <c r="I8" s="114"/>
    </row>
    <row r="9" spans="2:9">
      <c r="B9" s="108">
        <v>136963</v>
      </c>
      <c r="C9" s="109" t="s">
        <v>381</v>
      </c>
      <c r="D9" s="109" t="s">
        <v>345</v>
      </c>
      <c r="E9" s="109" t="s">
        <v>45</v>
      </c>
      <c r="F9" s="110" t="s">
        <v>83</v>
      </c>
      <c r="G9" s="109" t="s">
        <v>84</v>
      </c>
      <c r="H9" s="115">
        <v>12843.19</v>
      </c>
      <c r="I9" s="114"/>
    </row>
    <row r="10" spans="2:9">
      <c r="B10" s="108">
        <v>161000</v>
      </c>
      <c r="C10" s="109" t="s">
        <v>22</v>
      </c>
      <c r="D10" s="109" t="s">
        <v>345</v>
      </c>
      <c r="E10" s="109" t="s">
        <v>382</v>
      </c>
      <c r="F10" s="110" t="s">
        <v>58</v>
      </c>
      <c r="G10" s="109" t="s">
        <v>59</v>
      </c>
      <c r="H10" s="124"/>
      <c r="I10" s="126">
        <v>21420.83</v>
      </c>
    </row>
    <row r="11" spans="2:9">
      <c r="B11" s="108">
        <v>136963</v>
      </c>
      <c r="C11" s="109" t="s">
        <v>381</v>
      </c>
      <c r="D11" s="109" t="s">
        <v>345</v>
      </c>
      <c r="E11" s="109" t="s">
        <v>382</v>
      </c>
      <c r="F11" s="110" t="s">
        <v>52</v>
      </c>
      <c r="G11" s="109" t="s">
        <v>53</v>
      </c>
      <c r="H11" s="115">
        <v>20954.349999999999</v>
      </c>
      <c r="I11" s="114"/>
    </row>
    <row r="12" spans="2:9">
      <c r="B12" s="108">
        <v>161000</v>
      </c>
      <c r="C12" s="109" t="s">
        <v>22</v>
      </c>
      <c r="D12" s="109" t="s">
        <v>345</v>
      </c>
      <c r="E12" s="109" t="s">
        <v>382</v>
      </c>
      <c r="F12" s="110" t="s">
        <v>52</v>
      </c>
      <c r="G12" s="109" t="s">
        <v>75</v>
      </c>
      <c r="H12" s="124"/>
      <c r="I12" s="126">
        <v>16409.650000000001</v>
      </c>
    </row>
    <row r="13" spans="2:9">
      <c r="B13" s="108">
        <v>136963</v>
      </c>
      <c r="C13" s="109" t="s">
        <v>381</v>
      </c>
      <c r="D13" s="109" t="s">
        <v>345</v>
      </c>
      <c r="E13" s="109" t="s">
        <v>45</v>
      </c>
      <c r="F13" s="110" t="s">
        <v>83</v>
      </c>
      <c r="G13" s="109" t="s">
        <v>384</v>
      </c>
      <c r="H13" s="115">
        <v>71010.95</v>
      </c>
      <c r="I13" s="114"/>
    </row>
    <row r="14" spans="2:9">
      <c r="B14" s="108">
        <v>136963</v>
      </c>
      <c r="C14" s="109" t="s">
        <v>381</v>
      </c>
      <c r="D14" s="109" t="s">
        <v>345</v>
      </c>
      <c r="E14" s="109" t="s">
        <v>382</v>
      </c>
      <c r="F14" s="110" t="s">
        <v>96</v>
      </c>
      <c r="G14" s="109" t="s">
        <v>97</v>
      </c>
      <c r="H14" s="115">
        <v>10670.01</v>
      </c>
      <c r="I14" s="114"/>
    </row>
    <row r="15" spans="2:9">
      <c r="B15" s="108">
        <v>136963</v>
      </c>
      <c r="C15" s="109" t="s">
        <v>381</v>
      </c>
      <c r="D15" s="109" t="s">
        <v>345</v>
      </c>
      <c r="E15" s="109" t="s">
        <v>382</v>
      </c>
      <c r="F15" s="110" t="s">
        <v>31</v>
      </c>
      <c r="G15" s="109" t="s">
        <v>32</v>
      </c>
      <c r="H15" s="115">
        <v>58131.03</v>
      </c>
      <c r="I15" s="114"/>
    </row>
    <row r="16" spans="2:9">
      <c r="B16" s="108">
        <v>136963</v>
      </c>
      <c r="C16" s="109" t="s">
        <v>381</v>
      </c>
      <c r="D16" s="109" t="s">
        <v>345</v>
      </c>
      <c r="E16" s="109" t="s">
        <v>382</v>
      </c>
      <c r="F16" s="110" t="s">
        <v>103</v>
      </c>
      <c r="G16" s="109" t="s">
        <v>104</v>
      </c>
      <c r="H16" s="115">
        <v>19602.7</v>
      </c>
      <c r="I16" s="114"/>
    </row>
    <row r="17" spans="2:9">
      <c r="B17" s="108">
        <v>161000</v>
      </c>
      <c r="C17" s="109" t="s">
        <v>22</v>
      </c>
      <c r="D17" s="109" t="s">
        <v>345</v>
      </c>
      <c r="E17" s="109" t="s">
        <v>382</v>
      </c>
      <c r="F17" s="110" t="s">
        <v>65</v>
      </c>
      <c r="G17" s="109" t="s">
        <v>66</v>
      </c>
      <c r="H17" s="124"/>
      <c r="I17" s="126">
        <v>22445.59</v>
      </c>
    </row>
    <row r="18" spans="2:9">
      <c r="B18" s="108">
        <v>136963</v>
      </c>
      <c r="C18" s="109" t="s">
        <v>381</v>
      </c>
      <c r="D18" s="109" t="s">
        <v>345</v>
      </c>
      <c r="E18" s="109" t="s">
        <v>45</v>
      </c>
      <c r="F18" s="110" t="s">
        <v>55</v>
      </c>
      <c r="G18" s="109" t="s">
        <v>202</v>
      </c>
      <c r="H18" s="115">
        <v>27351.88</v>
      </c>
      <c r="I18" s="114"/>
    </row>
    <row r="19" spans="2:9">
      <c r="B19" s="108">
        <v>136963</v>
      </c>
      <c r="C19" s="109" t="s">
        <v>381</v>
      </c>
      <c r="D19" s="109" t="s">
        <v>345</v>
      </c>
      <c r="E19" s="109" t="s">
        <v>382</v>
      </c>
      <c r="F19" s="110" t="s">
        <v>80</v>
      </c>
      <c r="G19" s="109" t="s">
        <v>81</v>
      </c>
      <c r="H19" s="115">
        <v>11334.28</v>
      </c>
      <c r="I19" s="114"/>
    </row>
    <row r="20" spans="2:9">
      <c r="B20" s="108">
        <v>136963</v>
      </c>
      <c r="C20" s="109" t="s">
        <v>381</v>
      </c>
      <c r="D20" s="109" t="s">
        <v>345</v>
      </c>
      <c r="E20" s="109" t="s">
        <v>382</v>
      </c>
      <c r="F20" s="110" t="s">
        <v>27</v>
      </c>
      <c r="G20" s="109" t="s">
        <v>28</v>
      </c>
      <c r="H20" s="115">
        <v>20142.62</v>
      </c>
      <c r="I20" s="114"/>
    </row>
    <row r="21" spans="2:9">
      <c r="B21" s="108">
        <v>161000</v>
      </c>
      <c r="C21" s="109" t="s">
        <v>22</v>
      </c>
      <c r="D21" s="109" t="s">
        <v>345</v>
      </c>
      <c r="E21" s="109" t="s">
        <v>382</v>
      </c>
      <c r="F21" s="110" t="s">
        <v>62</v>
      </c>
      <c r="G21" s="109" t="s">
        <v>63</v>
      </c>
      <c r="H21" s="124"/>
      <c r="I21" s="126">
        <v>17427.07</v>
      </c>
    </row>
    <row r="22" spans="2:9">
      <c r="B22" s="108">
        <v>136963</v>
      </c>
      <c r="C22" s="109" t="s">
        <v>381</v>
      </c>
      <c r="D22" s="109" t="s">
        <v>345</v>
      </c>
      <c r="E22" s="109" t="s">
        <v>45</v>
      </c>
      <c r="F22" s="110" t="s">
        <v>46</v>
      </c>
      <c r="G22" s="109" t="s">
        <v>47</v>
      </c>
      <c r="H22" s="115">
        <v>4282.99</v>
      </c>
      <c r="I22" s="114"/>
    </row>
    <row r="23" spans="2:9">
      <c r="B23" s="108">
        <v>161000</v>
      </c>
      <c r="C23" s="109" t="s">
        <v>22</v>
      </c>
      <c r="D23" s="109" t="s">
        <v>345</v>
      </c>
      <c r="E23" s="109" t="s">
        <v>382</v>
      </c>
      <c r="F23" s="110" t="s">
        <v>65</v>
      </c>
      <c r="G23" s="109" t="s">
        <v>68</v>
      </c>
      <c r="H23" s="124"/>
      <c r="I23" s="126">
        <v>23055.3</v>
      </c>
    </row>
    <row r="24" spans="2:9" ht="14.65" customHeight="1">
      <c r="B24" s="122">
        <v>136963</v>
      </c>
      <c r="C24" s="123" t="s">
        <v>381</v>
      </c>
      <c r="D24" s="123" t="s">
        <v>345</v>
      </c>
      <c r="E24" s="123" t="s">
        <v>382</v>
      </c>
      <c r="F24" s="122" t="s">
        <v>31</v>
      </c>
      <c r="G24" s="123" t="s">
        <v>34</v>
      </c>
      <c r="H24" s="125">
        <v>22306.01</v>
      </c>
      <c r="I24" s="127"/>
    </row>
    <row r="25" spans="2:9">
      <c r="B25" s="107">
        <v>161000</v>
      </c>
      <c r="C25" s="106" t="s">
        <v>22</v>
      </c>
      <c r="D25" s="106" t="s">
        <v>345</v>
      </c>
      <c r="E25" s="106" t="s">
        <v>382</v>
      </c>
      <c r="F25" s="107" t="s">
        <v>72</v>
      </c>
      <c r="G25" s="106" t="s">
        <v>73</v>
      </c>
      <c r="H25" s="116"/>
      <c r="I25" s="113">
        <v>19960.2</v>
      </c>
    </row>
    <row r="26" spans="2:9">
      <c r="B26" s="107">
        <v>161000</v>
      </c>
      <c r="C26" s="106" t="s">
        <v>22</v>
      </c>
      <c r="D26" s="106" t="s">
        <v>345</v>
      </c>
      <c r="E26" s="106" t="s">
        <v>382</v>
      </c>
      <c r="F26" s="107" t="s">
        <v>77</v>
      </c>
      <c r="G26" s="106" t="s">
        <v>78</v>
      </c>
      <c r="H26" s="116"/>
      <c r="I26" s="113">
        <v>12435.49</v>
      </c>
    </row>
    <row r="27" spans="2:9">
      <c r="B27" s="107">
        <v>136963</v>
      </c>
      <c r="C27" s="106" t="s">
        <v>381</v>
      </c>
      <c r="D27" s="106" t="s">
        <v>345</v>
      </c>
      <c r="E27" s="106" t="s">
        <v>382</v>
      </c>
      <c r="F27" s="107" t="s">
        <v>36</v>
      </c>
      <c r="G27" s="106" t="s">
        <v>37</v>
      </c>
      <c r="H27" s="113">
        <v>26362.2</v>
      </c>
      <c r="I27" s="127"/>
    </row>
    <row r="28" spans="2:9">
      <c r="B28" s="107">
        <v>136963</v>
      </c>
      <c r="C28" s="106" t="s">
        <v>381</v>
      </c>
      <c r="D28" s="106" t="s">
        <v>345</v>
      </c>
      <c r="E28" s="106" t="s">
        <v>382</v>
      </c>
      <c r="F28" s="107" t="s">
        <v>42</v>
      </c>
      <c r="G28" s="106" t="s">
        <v>43</v>
      </c>
      <c r="H28" s="113">
        <v>3578.95</v>
      </c>
      <c r="I28" s="127"/>
    </row>
    <row r="29" spans="2:9">
      <c r="B29" s="107">
        <v>136963</v>
      </c>
      <c r="C29" s="106" t="s">
        <v>381</v>
      </c>
      <c r="D29" s="106" t="s">
        <v>345</v>
      </c>
      <c r="E29" s="106" t="s">
        <v>382</v>
      </c>
      <c r="F29" s="107" t="s">
        <v>39</v>
      </c>
      <c r="G29" s="106" t="s">
        <v>40</v>
      </c>
      <c r="H29" s="113">
        <v>4641.07</v>
      </c>
      <c r="I29" s="127"/>
    </row>
    <row r="30" spans="2:9">
      <c r="B30" s="107">
        <v>136963</v>
      </c>
      <c r="C30" s="106" t="s">
        <v>381</v>
      </c>
      <c r="D30" s="106" t="s">
        <v>345</v>
      </c>
      <c r="E30" s="106" t="s">
        <v>45</v>
      </c>
      <c r="F30" s="107" t="s">
        <v>89</v>
      </c>
      <c r="G30" s="106" t="s">
        <v>90</v>
      </c>
      <c r="H30" s="113">
        <v>3179.92</v>
      </c>
      <c r="I30" s="127"/>
    </row>
    <row r="31" spans="2:9">
      <c r="B31" s="107">
        <v>161000</v>
      </c>
      <c r="C31" s="106" t="s">
        <v>22</v>
      </c>
      <c r="D31" s="106" t="s">
        <v>345</v>
      </c>
      <c r="E31" s="106" t="s">
        <v>382</v>
      </c>
      <c r="F31" s="107" t="s">
        <v>65</v>
      </c>
      <c r="G31" s="106" t="s">
        <v>70</v>
      </c>
      <c r="H31" s="117"/>
      <c r="I31" s="113">
        <v>23461.77</v>
      </c>
    </row>
  </sheetData>
  <conditionalFormatting sqref="G6">
    <cfRule type="duplicateValues" dxfId="28" priority="20"/>
  </conditionalFormatting>
  <conditionalFormatting sqref="G7 G11 G23">
    <cfRule type="duplicateValues" dxfId="27" priority="21"/>
  </conditionalFormatting>
  <conditionalFormatting sqref="G8">
    <cfRule type="duplicateValues" dxfId="26" priority="19"/>
  </conditionalFormatting>
  <conditionalFormatting sqref="G9">
    <cfRule type="duplicateValues" dxfId="25" priority="18"/>
  </conditionalFormatting>
  <conditionalFormatting sqref="G10">
    <cfRule type="duplicateValues" dxfId="24" priority="17"/>
  </conditionalFormatting>
  <conditionalFormatting sqref="G12">
    <cfRule type="duplicateValues" dxfId="23" priority="16"/>
  </conditionalFormatting>
  <conditionalFormatting sqref="G13">
    <cfRule type="duplicateValues" dxfId="22" priority="15"/>
  </conditionalFormatting>
  <conditionalFormatting sqref="G14">
    <cfRule type="duplicateValues" dxfId="21" priority="14"/>
  </conditionalFormatting>
  <conditionalFormatting sqref="G15">
    <cfRule type="duplicateValues" dxfId="20" priority="13"/>
  </conditionalFormatting>
  <conditionalFormatting sqref="G16">
    <cfRule type="duplicateValues" dxfId="19" priority="12"/>
  </conditionalFormatting>
  <conditionalFormatting sqref="G17">
    <cfRule type="duplicateValues" dxfId="18" priority="11"/>
  </conditionalFormatting>
  <conditionalFormatting sqref="G18">
    <cfRule type="duplicateValues" dxfId="17" priority="10"/>
  </conditionalFormatting>
  <conditionalFormatting sqref="G19">
    <cfRule type="duplicateValues" dxfId="16" priority="9"/>
  </conditionalFormatting>
  <conditionalFormatting sqref="G20">
    <cfRule type="duplicateValues" dxfId="15" priority="8"/>
  </conditionalFormatting>
  <conditionalFormatting sqref="G21">
    <cfRule type="duplicateValues" dxfId="14" priority="7"/>
  </conditionalFormatting>
  <conditionalFormatting sqref="G22">
    <cfRule type="duplicateValues" dxfId="13" priority="6"/>
  </conditionalFormatting>
  <conditionalFormatting sqref="G24:G25">
    <cfRule type="duplicateValues" dxfId="12" priority="4"/>
  </conditionalFormatting>
  <conditionalFormatting sqref="G26">
    <cfRule type="duplicateValues" dxfId="11" priority="5"/>
  </conditionalFormatting>
  <conditionalFormatting sqref="G27:G29">
    <cfRule type="duplicateValues" dxfId="10" priority="3"/>
  </conditionalFormatting>
  <conditionalFormatting sqref="G30">
    <cfRule type="duplicateValues" dxfId="9" priority="2"/>
  </conditionalFormatting>
  <conditionalFormatting sqref="G31">
    <cfRule type="duplicateValues" dxfId="8" priority="1"/>
  </conditionalFormatting>
  <dataValidations count="2">
    <dataValidation type="list" allowBlank="1" showInputMessage="1" showErrorMessage="1" sqref="G12" xr:uid="{FEB049F8-E1EB-42BA-9269-E7B12DA68EF2}"/>
    <dataValidation type="list" allowBlank="1" showInputMessage="1" showErrorMessage="1" sqref="F12" xr:uid="{4900C764-8F64-4B78-8DB8-46154C96E303}">
      <formula1>DEPARTAMENTO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2EA27-A99A-41E2-B530-90B62AC707A2}">
  <dimension ref="B1:Q79"/>
  <sheetViews>
    <sheetView topLeftCell="I1" workbookViewId="0">
      <selection activeCell="O16" sqref="O16"/>
    </sheetView>
  </sheetViews>
  <sheetFormatPr defaultRowHeight="14.25"/>
  <cols>
    <col min="2" max="2" width="27.42578125" bestFit="1" customWidth="1"/>
    <col min="3" max="3" width="22.140625" bestFit="1" customWidth="1"/>
    <col min="4" max="4" width="10.5703125" customWidth="1"/>
    <col min="5" max="5" width="19.28515625" customWidth="1"/>
    <col min="6" max="6" width="11.85546875" customWidth="1"/>
    <col min="7" max="7" width="15" customWidth="1"/>
    <col min="8" max="8" width="18.28515625" customWidth="1"/>
    <col min="9" max="9" width="16.140625" customWidth="1"/>
    <col min="14" max="14" width="12" bestFit="1" customWidth="1"/>
    <col min="15" max="15" width="25.42578125" bestFit="1" customWidth="1"/>
  </cols>
  <sheetData>
    <row r="1" spans="2:17" ht="14.65" thickBot="1"/>
    <row r="2" spans="2:17" ht="14.65" thickBot="1">
      <c r="B2" s="153" t="s">
        <v>385</v>
      </c>
      <c r="C2" s="153" t="s">
        <v>386</v>
      </c>
      <c r="D2" s="156" t="s">
        <v>387</v>
      </c>
      <c r="E2" s="157"/>
      <c r="F2" s="157"/>
      <c r="G2" s="157"/>
      <c r="H2" s="157"/>
      <c r="I2" s="158"/>
    </row>
    <row r="3" spans="2:17" ht="14.65" thickBot="1">
      <c r="B3" s="154"/>
      <c r="C3" s="154"/>
      <c r="D3" s="156">
        <v>2023</v>
      </c>
      <c r="E3" s="158"/>
      <c r="F3" s="156">
        <v>2024</v>
      </c>
      <c r="G3" s="158"/>
      <c r="H3" s="156" t="s">
        <v>388</v>
      </c>
      <c r="I3" s="158"/>
    </row>
    <row r="4" spans="2:17">
      <c r="B4" s="154"/>
      <c r="C4" s="154"/>
      <c r="D4" s="153" t="s">
        <v>389</v>
      </c>
      <c r="E4" s="82" t="s">
        <v>390</v>
      </c>
      <c r="F4" s="153" t="s">
        <v>389</v>
      </c>
      <c r="G4" s="82" t="s">
        <v>390</v>
      </c>
      <c r="H4" s="153" t="s">
        <v>389</v>
      </c>
      <c r="I4" s="82" t="s">
        <v>390</v>
      </c>
    </row>
    <row r="5" spans="2:17" ht="14.65" thickBot="1">
      <c r="B5" s="155"/>
      <c r="C5" s="155"/>
      <c r="D5" s="155"/>
      <c r="E5" s="83" t="s">
        <v>391</v>
      </c>
      <c r="F5" s="155"/>
      <c r="G5" s="83" t="s">
        <v>391</v>
      </c>
      <c r="H5" s="155"/>
      <c r="I5" s="83" t="s">
        <v>391</v>
      </c>
    </row>
    <row r="6" spans="2:17" ht="14.65" thickBot="1">
      <c r="B6" s="87" t="s">
        <v>392</v>
      </c>
      <c r="C6" s="84">
        <v>2403000000</v>
      </c>
      <c r="D6" s="85" t="s">
        <v>393</v>
      </c>
      <c r="E6" s="88">
        <f>C18</f>
        <v>0</v>
      </c>
      <c r="F6" s="85" t="s">
        <v>393</v>
      </c>
      <c r="G6" s="88">
        <f>C38</f>
        <v>3783000000</v>
      </c>
      <c r="H6" s="85" t="s">
        <v>393</v>
      </c>
      <c r="I6" s="89">
        <f>E20</f>
        <v>9456016604.7000008</v>
      </c>
      <c r="Q6" s="129">
        <v>1750905</v>
      </c>
    </row>
    <row r="7" spans="2:17">
      <c r="B7" s="86"/>
      <c r="N7" s="44" t="s">
        <v>394</v>
      </c>
      <c r="O7" t="s">
        <v>395</v>
      </c>
      <c r="P7" s="94" t="s">
        <v>396</v>
      </c>
    </row>
    <row r="8" spans="2:17">
      <c r="N8" s="45">
        <v>1</v>
      </c>
      <c r="O8" s="91">
        <v>1069904000</v>
      </c>
      <c r="P8" s="130">
        <f>O8/$Q$6</f>
        <v>611.05771015560526</v>
      </c>
    </row>
    <row r="9" spans="2:17">
      <c r="C9" s="90"/>
      <c r="D9" s="90"/>
      <c r="E9" s="90"/>
      <c r="F9" s="90"/>
      <c r="G9" s="79">
        <f>G6/12</f>
        <v>315250000</v>
      </c>
      <c r="N9" s="45">
        <v>2</v>
      </c>
      <c r="O9" s="91">
        <v>788309000</v>
      </c>
      <c r="P9" s="130">
        <f t="shared" ref="P9:P10" si="0">O9/$Q$6</f>
        <v>450.22945276871104</v>
      </c>
    </row>
    <row r="10" spans="2:17">
      <c r="G10" s="79">
        <f>G9/15000</f>
        <v>21016.666666666668</v>
      </c>
      <c r="N10" s="45">
        <v>3</v>
      </c>
      <c r="O10" s="91">
        <v>544787000</v>
      </c>
      <c r="P10" s="130">
        <f t="shared" si="0"/>
        <v>311.14595023716305</v>
      </c>
    </row>
    <row r="11" spans="2:17">
      <c r="N11" s="45" t="s">
        <v>397</v>
      </c>
      <c r="O11" s="91">
        <v>2403000000</v>
      </c>
    </row>
    <row r="13" spans="2:17">
      <c r="C13">
        <v>2023</v>
      </c>
      <c r="D13">
        <v>2024</v>
      </c>
      <c r="E13">
        <v>2025</v>
      </c>
    </row>
    <row r="14" spans="2:17" ht="42.75">
      <c r="B14" s="90" t="s">
        <v>398</v>
      </c>
      <c r="C14" s="91">
        <v>4198950238.4000001</v>
      </c>
      <c r="D14" s="91"/>
      <c r="E14" s="91"/>
    </row>
    <row r="15" spans="2:17" ht="42.75">
      <c r="B15" s="90" t="s">
        <v>399</v>
      </c>
      <c r="C15" s="91">
        <v>24299000</v>
      </c>
      <c r="D15" s="91"/>
      <c r="E15" s="91"/>
    </row>
    <row r="16" spans="2:17" ht="42.75">
      <c r="B16" s="90" t="s">
        <v>400</v>
      </c>
      <c r="C16" s="91">
        <v>4735051607.5</v>
      </c>
      <c r="D16" s="91"/>
      <c r="E16" s="91"/>
    </row>
    <row r="17" spans="2:5" ht="42.75">
      <c r="B17" s="90" t="s">
        <v>401</v>
      </c>
      <c r="C17" s="91">
        <v>1299581193</v>
      </c>
      <c r="D17" s="91"/>
      <c r="E17" s="91"/>
    </row>
    <row r="18" spans="2:5">
      <c r="B18" t="s">
        <v>402</v>
      </c>
      <c r="C18" s="91"/>
      <c r="E18" s="79">
        <v>7986016604.6999998</v>
      </c>
    </row>
    <row r="19" spans="2:5">
      <c r="B19" t="s">
        <v>403</v>
      </c>
      <c r="E19" s="79">
        <v>1470000000</v>
      </c>
    </row>
    <row r="20" spans="2:5">
      <c r="B20" s="95" t="s">
        <v>109</v>
      </c>
      <c r="C20" s="96">
        <f>SUM(C14:C19)</f>
        <v>10257882038.9</v>
      </c>
      <c r="D20" s="96">
        <f>SUM(D14:D19)</f>
        <v>0</v>
      </c>
      <c r="E20" s="96">
        <f>SUM(E14:E19)</f>
        <v>9456016604.7000008</v>
      </c>
    </row>
    <row r="25" spans="2:5">
      <c r="B25" s="44" t="s">
        <v>394</v>
      </c>
      <c r="C25" t="s">
        <v>404</v>
      </c>
    </row>
    <row r="26" spans="2:5">
      <c r="B26" s="45" t="s">
        <v>405</v>
      </c>
      <c r="C26" s="91">
        <v>280000000</v>
      </c>
    </row>
    <row r="27" spans="2:5">
      <c r="B27" s="45" t="s">
        <v>406</v>
      </c>
      <c r="C27" s="91">
        <v>292000000</v>
      </c>
    </row>
    <row r="28" spans="2:5">
      <c r="B28" s="45" t="s">
        <v>407</v>
      </c>
      <c r="C28" s="91">
        <v>545000000</v>
      </c>
    </row>
    <row r="29" spans="2:5">
      <c r="B29" s="45" t="s">
        <v>408</v>
      </c>
      <c r="C29" s="91">
        <v>442000000</v>
      </c>
    </row>
    <row r="30" spans="2:5">
      <c r="B30" s="45" t="s">
        <v>409</v>
      </c>
      <c r="C30" s="91">
        <v>963000000</v>
      </c>
    </row>
    <row r="31" spans="2:5">
      <c r="B31" s="45" t="s">
        <v>397</v>
      </c>
      <c r="C31" s="91">
        <v>2522000000</v>
      </c>
    </row>
    <row r="38" spans="3:3">
      <c r="C38">
        <f>GETPIVOTDATA("TOTAL (por punto)",$B$25)*1.5</f>
        <v>3783000000</v>
      </c>
    </row>
    <row r="50" spans="2:8" ht="28.5">
      <c r="B50" s="92" t="s">
        <v>410</v>
      </c>
      <c r="C50" s="92" t="s">
        <v>411</v>
      </c>
      <c r="D50" s="92" t="s">
        <v>412</v>
      </c>
      <c r="E50" s="92" t="s">
        <v>413</v>
      </c>
      <c r="F50" s="92" t="s">
        <v>376</v>
      </c>
      <c r="G50" s="92" t="s">
        <v>414</v>
      </c>
    </row>
    <row r="51" spans="2:8" ht="28.5">
      <c r="B51" s="77" t="s">
        <v>415</v>
      </c>
      <c r="C51" s="77" t="s">
        <v>416</v>
      </c>
      <c r="D51" s="77" t="s">
        <v>417</v>
      </c>
      <c r="E51" s="77" t="s">
        <v>418</v>
      </c>
      <c r="F51" s="77" t="s">
        <v>407</v>
      </c>
      <c r="G51" s="93">
        <v>120000000</v>
      </c>
      <c r="H51" s="78"/>
    </row>
    <row r="52" spans="2:8" ht="28.5">
      <c r="B52" s="77" t="s">
        <v>419</v>
      </c>
      <c r="C52" s="77" t="s">
        <v>416</v>
      </c>
      <c r="D52" s="77" t="s">
        <v>417</v>
      </c>
      <c r="E52" s="77" t="s">
        <v>418</v>
      </c>
      <c r="F52" s="77" t="s">
        <v>407</v>
      </c>
      <c r="G52" s="93">
        <v>95000000</v>
      </c>
      <c r="H52" s="78"/>
    </row>
    <row r="53" spans="2:8" ht="28.5">
      <c r="B53" s="77" t="s">
        <v>420</v>
      </c>
      <c r="C53" s="77" t="s">
        <v>421</v>
      </c>
      <c r="D53" s="77" t="s">
        <v>417</v>
      </c>
      <c r="E53" s="77" t="s">
        <v>422</v>
      </c>
      <c r="F53" s="77" t="s">
        <v>409</v>
      </c>
      <c r="G53" s="93">
        <v>150000000</v>
      </c>
      <c r="H53" s="78"/>
    </row>
    <row r="54" spans="2:8" ht="28.5">
      <c r="B54" s="77" t="s">
        <v>423</v>
      </c>
      <c r="C54" s="77" t="s">
        <v>416</v>
      </c>
      <c r="D54" s="77" t="s">
        <v>417</v>
      </c>
      <c r="E54" s="77" t="s">
        <v>422</v>
      </c>
      <c r="F54" s="77" t="s">
        <v>409</v>
      </c>
      <c r="G54" s="93">
        <v>180000000</v>
      </c>
      <c r="H54" s="78"/>
    </row>
    <row r="55" spans="2:8" ht="57">
      <c r="B55" s="77" t="s">
        <v>424</v>
      </c>
      <c r="C55" s="77" t="s">
        <v>421</v>
      </c>
      <c r="D55" s="77" t="s">
        <v>417</v>
      </c>
      <c r="E55" s="77" t="s">
        <v>425</v>
      </c>
      <c r="F55" s="77" t="s">
        <v>408</v>
      </c>
      <c r="G55" s="93">
        <v>85000000</v>
      </c>
      <c r="H55" s="78"/>
    </row>
    <row r="56" spans="2:8" ht="57">
      <c r="B56" s="77" t="s">
        <v>426</v>
      </c>
      <c r="C56" s="77" t="s">
        <v>421</v>
      </c>
      <c r="D56" s="77" t="s">
        <v>417</v>
      </c>
      <c r="E56" s="77" t="s">
        <v>425</v>
      </c>
      <c r="F56" s="77" t="s">
        <v>408</v>
      </c>
      <c r="G56" s="93">
        <v>90000000</v>
      </c>
      <c r="H56" s="78"/>
    </row>
    <row r="57" spans="2:8" ht="28.5">
      <c r="B57" s="77" t="s">
        <v>427</v>
      </c>
      <c r="C57" s="77" t="s">
        <v>416</v>
      </c>
      <c r="D57" s="77" t="s">
        <v>417</v>
      </c>
      <c r="E57" s="77" t="s">
        <v>428</v>
      </c>
      <c r="F57" s="77" t="s">
        <v>405</v>
      </c>
      <c r="G57" s="93">
        <v>45000000</v>
      </c>
      <c r="H57" s="78"/>
    </row>
    <row r="58" spans="2:8" ht="28.5">
      <c r="B58" s="77" t="s">
        <v>429</v>
      </c>
      <c r="C58" s="77" t="s">
        <v>416</v>
      </c>
      <c r="D58" s="77" t="s">
        <v>417</v>
      </c>
      <c r="E58" s="77" t="s">
        <v>428</v>
      </c>
      <c r="F58" s="77" t="s">
        <v>405</v>
      </c>
      <c r="G58" s="93">
        <v>40000000</v>
      </c>
      <c r="H58" s="78"/>
    </row>
    <row r="59" spans="2:8" ht="28.5">
      <c r="B59" s="77" t="s">
        <v>430</v>
      </c>
      <c r="C59" s="77" t="s">
        <v>416</v>
      </c>
      <c r="D59" s="77" t="s">
        <v>417</v>
      </c>
      <c r="E59" s="77" t="s">
        <v>431</v>
      </c>
      <c r="F59" s="77" t="s">
        <v>406</v>
      </c>
      <c r="G59" s="93">
        <v>60000000</v>
      </c>
      <c r="H59" s="78"/>
    </row>
    <row r="60" spans="2:8" ht="28.5">
      <c r="B60" s="77" t="s">
        <v>432</v>
      </c>
      <c r="C60" s="77" t="s">
        <v>416</v>
      </c>
      <c r="D60" s="77" t="s">
        <v>417</v>
      </c>
      <c r="E60" s="77" t="s">
        <v>431</v>
      </c>
      <c r="F60" s="77" t="s">
        <v>406</v>
      </c>
      <c r="G60" s="93">
        <v>55000000</v>
      </c>
      <c r="H60" s="78"/>
    </row>
    <row r="61" spans="2:8" ht="57">
      <c r="B61" s="77" t="s">
        <v>433</v>
      </c>
      <c r="C61" s="77" t="s">
        <v>421</v>
      </c>
      <c r="D61" s="77" t="s">
        <v>417</v>
      </c>
      <c r="E61" s="77" t="s">
        <v>425</v>
      </c>
      <c r="F61" s="77" t="s">
        <v>408</v>
      </c>
      <c r="G61" s="93">
        <v>88000000</v>
      </c>
      <c r="H61" s="78"/>
    </row>
    <row r="62" spans="2:8" ht="28.5">
      <c r="B62" s="77" t="s">
        <v>434</v>
      </c>
      <c r="C62" s="77" t="s">
        <v>416</v>
      </c>
      <c r="D62" s="77" t="s">
        <v>417</v>
      </c>
      <c r="E62" s="77" t="s">
        <v>428</v>
      </c>
      <c r="F62" s="77" t="s">
        <v>405</v>
      </c>
      <c r="G62" s="93">
        <v>42000000</v>
      </c>
      <c r="H62" s="78"/>
    </row>
    <row r="63" spans="2:8" ht="46.5" customHeight="1">
      <c r="B63" s="77" t="s">
        <v>435</v>
      </c>
      <c r="C63" s="77" t="s">
        <v>416</v>
      </c>
      <c r="D63" s="77" t="s">
        <v>417</v>
      </c>
      <c r="E63" s="77" t="s">
        <v>428</v>
      </c>
      <c r="F63" s="77" t="s">
        <v>405</v>
      </c>
      <c r="G63" s="93">
        <v>39000000</v>
      </c>
      <c r="H63" s="78"/>
    </row>
    <row r="64" spans="2:8">
      <c r="B64" s="77" t="s">
        <v>436</v>
      </c>
      <c r="C64" s="77" t="s">
        <v>416</v>
      </c>
      <c r="D64" s="77" t="s">
        <v>417</v>
      </c>
      <c r="E64" s="77" t="s">
        <v>418</v>
      </c>
      <c r="F64" s="77" t="s">
        <v>407</v>
      </c>
      <c r="G64" s="93">
        <v>110000000</v>
      </c>
      <c r="H64" s="78"/>
    </row>
    <row r="65" spans="2:8" ht="28.5">
      <c r="B65" s="77" t="s">
        <v>437</v>
      </c>
      <c r="C65" s="77" t="s">
        <v>416</v>
      </c>
      <c r="D65" s="77" t="s">
        <v>417</v>
      </c>
      <c r="E65" s="77" t="s">
        <v>422</v>
      </c>
      <c r="F65" s="77" t="s">
        <v>409</v>
      </c>
      <c r="G65" s="93">
        <v>160000000</v>
      </c>
      <c r="H65" s="78"/>
    </row>
    <row r="66" spans="2:8" ht="28.5">
      <c r="B66" s="77" t="s">
        <v>438</v>
      </c>
      <c r="C66" s="77" t="s">
        <v>416</v>
      </c>
      <c r="D66" s="77" t="s">
        <v>417</v>
      </c>
      <c r="E66" s="77" t="s">
        <v>431</v>
      </c>
      <c r="F66" s="77" t="s">
        <v>406</v>
      </c>
      <c r="G66" s="93">
        <v>58000000</v>
      </c>
      <c r="H66" s="78"/>
    </row>
    <row r="67" spans="2:8" ht="28.5">
      <c r="B67" s="77" t="s">
        <v>439</v>
      </c>
      <c r="C67" s="77" t="s">
        <v>416</v>
      </c>
      <c r="D67" s="77" t="s">
        <v>417</v>
      </c>
      <c r="E67" s="77" t="s">
        <v>431</v>
      </c>
      <c r="F67" s="77" t="s">
        <v>406</v>
      </c>
      <c r="G67" s="93">
        <v>62000000</v>
      </c>
      <c r="H67" s="78"/>
    </row>
    <row r="68" spans="2:8" ht="28.5">
      <c r="B68" s="77" t="s">
        <v>440</v>
      </c>
      <c r="C68" s="77" t="s">
        <v>416</v>
      </c>
      <c r="D68" s="77" t="s">
        <v>417</v>
      </c>
      <c r="E68" s="77" t="s">
        <v>431</v>
      </c>
      <c r="F68" s="77" t="s">
        <v>406</v>
      </c>
      <c r="G68" s="93">
        <v>57000000</v>
      </c>
      <c r="H68" s="78"/>
    </row>
    <row r="69" spans="2:8" ht="57">
      <c r="B69" s="77" t="s">
        <v>441</v>
      </c>
      <c r="C69" s="77" t="s">
        <v>421</v>
      </c>
      <c r="D69" s="77" t="s">
        <v>417</v>
      </c>
      <c r="E69" s="77" t="s">
        <v>425</v>
      </c>
      <c r="F69" s="77" t="s">
        <v>408</v>
      </c>
      <c r="G69" s="93">
        <v>92000000</v>
      </c>
      <c r="H69" s="78"/>
    </row>
    <row r="70" spans="2:8" ht="28.5">
      <c r="B70" s="77" t="s">
        <v>442</v>
      </c>
      <c r="C70" s="77" t="s">
        <v>416</v>
      </c>
      <c r="D70" s="77" t="s">
        <v>417</v>
      </c>
      <c r="E70" s="77" t="s">
        <v>428</v>
      </c>
      <c r="F70" s="77" t="s">
        <v>405</v>
      </c>
      <c r="G70" s="93">
        <v>41000000</v>
      </c>
      <c r="H70" s="78"/>
    </row>
    <row r="71" spans="2:8">
      <c r="B71" s="77" t="s">
        <v>443</v>
      </c>
      <c r="C71" s="77" t="s">
        <v>416</v>
      </c>
      <c r="D71" s="77" t="s">
        <v>417</v>
      </c>
      <c r="E71" s="77" t="s">
        <v>418</v>
      </c>
      <c r="F71" s="77" t="s">
        <v>407</v>
      </c>
      <c r="G71" s="93">
        <v>105000000</v>
      </c>
      <c r="H71" s="78"/>
    </row>
    <row r="72" spans="2:8" ht="28.5">
      <c r="B72" s="77" t="s">
        <v>444</v>
      </c>
      <c r="C72" s="77" t="s">
        <v>416</v>
      </c>
      <c r="D72" s="77" t="s">
        <v>417</v>
      </c>
      <c r="E72" s="77" t="s">
        <v>422</v>
      </c>
      <c r="F72" s="77" t="s">
        <v>409</v>
      </c>
      <c r="G72" s="93">
        <v>155000000</v>
      </c>
      <c r="H72" s="78"/>
    </row>
    <row r="73" spans="2:8" ht="28.5">
      <c r="B73" s="77" t="s">
        <v>445</v>
      </c>
      <c r="C73" s="77" t="s">
        <v>416</v>
      </c>
      <c r="D73" s="77" t="s">
        <v>417</v>
      </c>
      <c r="E73" s="77" t="s">
        <v>422</v>
      </c>
      <c r="F73" s="77" t="s">
        <v>409</v>
      </c>
      <c r="G73" s="93">
        <v>148000000</v>
      </c>
      <c r="H73" s="78"/>
    </row>
    <row r="74" spans="2:8" ht="28.5">
      <c r="B74" s="77" t="s">
        <v>446</v>
      </c>
      <c r="C74" s="77" t="s">
        <v>416</v>
      </c>
      <c r="D74" s="77" t="s">
        <v>447</v>
      </c>
      <c r="E74" s="77" t="s">
        <v>428</v>
      </c>
      <c r="F74" s="77" t="s">
        <v>405</v>
      </c>
      <c r="G74" s="93">
        <v>35000000</v>
      </c>
      <c r="H74" s="78"/>
    </row>
    <row r="75" spans="2:8" ht="28.5">
      <c r="B75" s="77" t="s">
        <v>448</v>
      </c>
      <c r="C75" s="77" t="s">
        <v>416</v>
      </c>
      <c r="D75" s="77" t="s">
        <v>417</v>
      </c>
      <c r="E75" s="77" t="s">
        <v>428</v>
      </c>
      <c r="F75" s="77" t="s">
        <v>405</v>
      </c>
      <c r="G75" s="93">
        <v>38000000</v>
      </c>
      <c r="H75" s="78"/>
    </row>
    <row r="76" spans="2:8" ht="57">
      <c r="B76" s="77" t="s">
        <v>449</v>
      </c>
      <c r="C76" s="77" t="s">
        <v>421</v>
      </c>
      <c r="D76" s="77" t="s">
        <v>417</v>
      </c>
      <c r="E76" s="77" t="s">
        <v>425</v>
      </c>
      <c r="F76" s="77" t="s">
        <v>408</v>
      </c>
      <c r="G76" s="93">
        <v>87000000</v>
      </c>
      <c r="H76" s="78"/>
    </row>
    <row r="77" spans="2:8" ht="34.9" customHeight="1">
      <c r="B77" s="77" t="s">
        <v>450</v>
      </c>
      <c r="C77" s="77" t="s">
        <v>416</v>
      </c>
      <c r="D77" s="77" t="s">
        <v>417</v>
      </c>
      <c r="E77" s="77" t="s">
        <v>418</v>
      </c>
      <c r="F77" s="77" t="s">
        <v>407</v>
      </c>
      <c r="G77" s="93">
        <v>115000000</v>
      </c>
      <c r="H77" s="78"/>
    </row>
    <row r="78" spans="2:8" ht="28.5">
      <c r="B78" s="77" t="s">
        <v>451</v>
      </c>
      <c r="C78" s="77" t="s">
        <v>416</v>
      </c>
      <c r="D78" s="77" t="s">
        <v>417</v>
      </c>
      <c r="E78" s="77" t="s">
        <v>422</v>
      </c>
      <c r="F78" s="77" t="s">
        <v>409</v>
      </c>
      <c r="G78" s="93">
        <v>170000000</v>
      </c>
      <c r="H78" s="78"/>
    </row>
    <row r="79" spans="2:8">
      <c r="G79" s="78"/>
    </row>
  </sheetData>
  <mergeCells count="9">
    <mergeCell ref="B2:B5"/>
    <mergeCell ref="C2:C5"/>
    <mergeCell ref="D2:I2"/>
    <mergeCell ref="D3:E3"/>
    <mergeCell ref="F3:G3"/>
    <mergeCell ref="H3:I3"/>
    <mergeCell ref="D4:D5"/>
    <mergeCell ref="F4:F5"/>
    <mergeCell ref="H4:H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0E2AE1F0E3994ABF904B99EEB71848" ma:contentTypeVersion="14" ma:contentTypeDescription="Create a new document." ma:contentTypeScope="" ma:versionID="3ddaaf24b2d6722d3982729917cc282a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c6b3b77b53ce791503874543fc50e561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add2ae9-9ac7-4b92-a563-faf84d09f8b7">
      <Terms xmlns="http://schemas.microsoft.com/office/infopath/2007/PartnerControls"/>
    </lcf76f155ced4ddcb4097134ff3c332f>
    <TaxCatchAll xmlns="a95545c8-ea11-4e08-a45a-87bf5a6f947e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248C33E3-3F21-49D3-BA54-EB354B1B1481}"/>
</file>

<file path=customXml/itemProps2.xml><?xml version="1.0" encoding="utf-8"?>
<ds:datastoreItem xmlns:ds="http://schemas.openxmlformats.org/officeDocument/2006/customXml" ds:itemID="{E304FF63-14D5-40E4-9688-A89FFD57E9F0}"/>
</file>

<file path=customXml/itemProps3.xml><?xml version="1.0" encoding="utf-8"?>
<ds:datastoreItem xmlns:ds="http://schemas.openxmlformats.org/officeDocument/2006/customXml" ds:itemID="{6AB0BC49-7F14-4E2C-AB47-651FB02810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MY. JAVIER FELIPE URBANO JURADO</dc:creator>
  <cp:keywords/>
  <dc:description/>
  <cp:lastModifiedBy>WILSON ERNESTO ACUNA PINZON</cp:lastModifiedBy>
  <cp:revision/>
  <dcterms:created xsi:type="dcterms:W3CDTF">2026-03-12T18:52:46Z</dcterms:created>
  <dcterms:modified xsi:type="dcterms:W3CDTF">2026-05-06T11:33:27Z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