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D:\LEON VALENCIA E&amp;D\"/>
    </mc:Choice>
  </mc:AlternateContent>
  <xr:revisionPtr revIDLastSave="0" documentId="13_ncr:1_{3B9D4D99-17F1-4FFC-9C0B-6F6AB09F211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 2" sheetId="2" r:id="rId1"/>
    <sheet name="Hoja1" sheetId="3" r:id="rId2"/>
  </sheets>
  <definedNames>
    <definedName name="_xlnm._FilterDatabase" localSheetId="0" hidden="1">'Hoja 2'!$A$19:$P$19</definedName>
    <definedName name="_xlnm.Print_Titles" localSheetId="0">'Hoja 2'!$19:$19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77" i="2" l="1"/>
  <c r="E282" i="2" s="1"/>
  <c r="D171" i="2" l="1"/>
  <c r="H169" i="2" l="1"/>
  <c r="F169" i="2"/>
  <c r="F11" i="2"/>
  <c r="E281" i="2" l="1"/>
  <c r="D172" i="2"/>
  <c r="E171" i="2"/>
  <c r="G282" i="2"/>
  <c r="G277" i="2"/>
  <c r="G288" i="2" l="1"/>
  <c r="E288" i="2" l="1"/>
  <c r="C268" i="2"/>
  <c r="C267" i="2"/>
  <c r="C266" i="2"/>
  <c r="C265" i="2"/>
  <c r="C264" i="2"/>
  <c r="C263" i="2"/>
  <c r="C262" i="2"/>
  <c r="C254" i="2"/>
  <c r="C253" i="2"/>
  <c r="C252" i="2"/>
  <c r="C251" i="2"/>
  <c r="C250" i="2"/>
  <c r="C249" i="2"/>
  <c r="C248" i="2"/>
  <c r="C240" i="2"/>
  <c r="C239" i="2"/>
  <c r="C238" i="2"/>
  <c r="C237" i="2"/>
  <c r="C236" i="2"/>
  <c r="C235" i="2"/>
  <c r="C234" i="2"/>
  <c r="C225" i="2"/>
  <c r="C224" i="2"/>
  <c r="C223" i="2"/>
  <c r="C222" i="2"/>
  <c r="C221" i="2"/>
  <c r="C212" i="2"/>
  <c r="C211" i="2"/>
  <c r="C210" i="2"/>
  <c r="C209" i="2"/>
  <c r="C208" i="2"/>
  <c r="C207" i="2"/>
  <c r="C206" i="2"/>
  <c r="C197" i="2"/>
  <c r="C196" i="2"/>
  <c r="C195" i="2"/>
  <c r="C187" i="2"/>
  <c r="C186" i="2"/>
  <c r="C185" i="2"/>
  <c r="C184" i="2"/>
  <c r="C183" i="2"/>
  <c r="C182" i="2"/>
  <c r="C181" i="2"/>
  <c r="C180" i="2"/>
  <c r="J174" i="2"/>
  <c r="J173" i="2"/>
  <c r="J172" i="2"/>
  <c r="J171" i="2"/>
  <c r="I174" i="2"/>
  <c r="I173" i="2"/>
  <c r="I172" i="2"/>
  <c r="I171" i="2"/>
  <c r="H174" i="2"/>
  <c r="H173" i="2"/>
  <c r="H172" i="2"/>
  <c r="H171" i="2"/>
  <c r="F174" i="2"/>
  <c r="F173" i="2"/>
  <c r="F172" i="2"/>
  <c r="F171" i="2"/>
  <c r="E174" i="2"/>
  <c r="E173" i="2"/>
  <c r="E172" i="2"/>
  <c r="D174" i="2"/>
  <c r="D173" i="2"/>
  <c r="G174" i="2" l="1"/>
  <c r="G173" i="2"/>
  <c r="G172" i="2"/>
  <c r="G171" i="2"/>
  <c r="C255" i="2" l="1"/>
  <c r="C226" i="2"/>
  <c r="C269" i="2"/>
  <c r="C241" i="2"/>
  <c r="C213" i="2"/>
  <c r="C198" i="2"/>
  <c r="C188" i="2" l="1"/>
  <c r="B169" i="2" l="1"/>
  <c r="D282" i="2" l="1"/>
  <c r="F282" i="2"/>
  <c r="I277" i="2"/>
  <c r="J282" i="2"/>
  <c r="H277" i="2"/>
  <c r="I282" i="2"/>
  <c r="F277" i="2"/>
  <c r="H282" i="2"/>
  <c r="J277" i="2"/>
  <c r="D277" i="2"/>
  <c r="D266" i="2"/>
  <c r="D222" i="2"/>
  <c r="D223" i="2"/>
  <c r="D195" i="2"/>
  <c r="D196" i="2"/>
  <c r="D252" i="2"/>
  <c r="D248" i="2"/>
  <c r="D212" i="2"/>
  <c r="D208" i="2"/>
  <c r="D268" i="2"/>
  <c r="D264" i="2"/>
  <c r="D240" i="2"/>
  <c r="D236" i="2"/>
  <c r="D225" i="2"/>
  <c r="D206" i="2"/>
  <c r="D249" i="2"/>
  <c r="D235" i="2"/>
  <c r="D265" i="2"/>
  <c r="D251" i="2"/>
  <c r="D237" i="2"/>
  <c r="D210" i="2"/>
  <c r="D253" i="2"/>
  <c r="D239" i="2"/>
  <c r="D224" i="2"/>
  <c r="D221" i="2"/>
  <c r="D197" i="2"/>
  <c r="D263" i="2"/>
  <c r="D234" i="2"/>
  <c r="D207" i="2"/>
  <c r="D250" i="2"/>
  <c r="D262" i="2"/>
  <c r="D209" i="2"/>
  <c r="D267" i="2"/>
  <c r="D238" i="2"/>
  <c r="D211" i="2"/>
  <c r="D254" i="2"/>
  <c r="D183" i="2"/>
  <c r="D181" i="2"/>
  <c r="D184" i="2"/>
  <c r="D186" i="2"/>
  <c r="D187" i="2"/>
  <c r="D185" i="2"/>
  <c r="D180" i="2"/>
  <c r="D182" i="2"/>
  <c r="D198" i="2" l="1"/>
  <c r="D269" i="2"/>
  <c r="D213" i="2"/>
  <c r="D255" i="2"/>
  <c r="D226" i="2"/>
  <c r="D241" i="2"/>
  <c r="D188" i="2"/>
</calcChain>
</file>

<file path=xl/sharedStrings.xml><?xml version="1.0" encoding="utf-8"?>
<sst xmlns="http://schemas.openxmlformats.org/spreadsheetml/2006/main" count="506" uniqueCount="291">
  <si>
    <t>DIRECCIÓN FINANCIERA</t>
  </si>
  <si>
    <t>ANÁLISIS DE SECTOR – INFORMACIÓN FINANCIERA</t>
  </si>
  <si>
    <t>PROCESOS DE CONTRATACIÓN</t>
  </si>
  <si>
    <t>OBJETO:</t>
  </si>
  <si>
    <t>MODALIDAD:</t>
  </si>
  <si>
    <t>RECOMENDACIÓN SUGERIDA INICIAL:</t>
  </si>
  <si>
    <t>Presupuesto del 
Proceso ($)</t>
  </si>
  <si>
    <t>Plazo de ejecución (meses)</t>
  </si>
  <si>
    <t>Patrimonio:
  (10% del PO)</t>
  </si>
  <si>
    <t>ANÁLISIS DEL SECTOR</t>
  </si>
  <si>
    <t>Fuente de Información: PIE (Portal de Información Empresarial) - Superintendencia de Sociedades</t>
  </si>
  <si>
    <t>Clasificación Internacional Industrial Uniforme (CIIU) Versión 4.</t>
  </si>
  <si>
    <t>Valores Expresados en Miles de $</t>
  </si>
  <si>
    <t>Nit</t>
  </si>
  <si>
    <t>Razón social de la sociedad</t>
  </si>
  <si>
    <t>Clasificación Industrial Internacional Uniforme Versión 4 A.C</t>
  </si>
  <si>
    <t>LIQUIDEZ</t>
  </si>
  <si>
    <t>CAPITAL DE TRABAJO</t>
  </si>
  <si>
    <t>ENDEUDAMIENTO</t>
  </si>
  <si>
    <t>PATRIMONIO</t>
  </si>
  <si>
    <t>RENTABILIDAD SOBRE ACTIVOS</t>
  </si>
  <si>
    <t>RENTABILIDAD SOBRE PATRIMONIO</t>
  </si>
  <si>
    <t>COBERTURA INTERESES</t>
  </si>
  <si>
    <t>N7730 - Alquiler y arrendamiento de otros tipos de maquinaria, equipo y bienes tangibles n.c.p.</t>
  </si>
  <si>
    <t>F4290 - Construcción de otras obras de ingeniería civil</t>
  </si>
  <si>
    <t>M7110 - Actividades de arquitectura e ingeniería y otras actividades conexas de consultoría técnica</t>
  </si>
  <si>
    <t/>
  </si>
  <si>
    <t>M7020 - Actividades de consultaría de gestión</t>
  </si>
  <si>
    <t>F4210 - Construcción de carreteras y vías de ferrocarril</t>
  </si>
  <si>
    <t>CANTIDAD DE EMPRESAS IDENTIFICADAS COMO MUESTRA PARA EL ANALISIS:</t>
  </si>
  <si>
    <t>1. CÁLCULO 
ESTADÍSTICO</t>
  </si>
  <si>
    <t>PROMEDIO</t>
  </si>
  <si>
    <t>DES. ESTANDAR</t>
  </si>
  <si>
    <t>MINIMO</t>
  </si>
  <si>
    <t>MAXIMO</t>
  </si>
  <si>
    <t>2. COMPORTAMIENTO DE LOS ÍNDICES EN LA MUESTRA DEL SECTOR</t>
  </si>
  <si>
    <t xml:space="preserve">A) Indice de Liquidez = Activo corriente / Pasivo corriente.
Indicador que determina la capacidad que tiene un proponente para cumplir con sus obligaciones de corto plazo. A mayor índice de liquidez, menor es la probabilidad de que el proponente incumpla sus obligaciones de corto plazo. </t>
  </si>
  <si>
    <t>RANGO</t>
  </si>
  <si>
    <t>CANTIDAD DE EMPRESAS</t>
  </si>
  <si>
    <t>0 - 1,1</t>
  </si>
  <si>
    <t>1,2 - 2</t>
  </si>
  <si>
    <t>2,1 - 5</t>
  </si>
  <si>
    <t>5,1 - 10</t>
  </si>
  <si>
    <t>10,1 - 20</t>
  </si>
  <si>
    <t>20,1 - 30</t>
  </si>
  <si>
    <t>30,1 - 50</t>
  </si>
  <si>
    <t>&gt; 50</t>
  </si>
  <si>
    <t>TOTAL</t>
  </si>
  <si>
    <t>B) Capital de trabajo = Activo corriente - Pasivo corriente.
Representa la liquidez operativa del proponente, es decir el remanente del proponente luego de liquidar sus activos corrientes (convertirlos en efectivo) y pagar el pasivo de corto plazo.</t>
  </si>
  <si>
    <t>&lt; 0</t>
  </si>
  <si>
    <t xml:space="preserve"> = 0</t>
  </si>
  <si>
    <t>&gt; 0</t>
  </si>
  <si>
    <t>C) Índice de Endeudamiento = Pasivo Total / Activo Total.
Determina el grado de endeudamiento en la estructura de financiación (pasivos y patrimonio) del proponente. A mayor índice de endeudamiento, mayor es la probabilidad del proponente de no poder cumplir con sus pasivos.</t>
  </si>
  <si>
    <t>0 - 15%</t>
  </si>
  <si>
    <t>15,1% - 30%</t>
  </si>
  <si>
    <t>30,1% - 45%</t>
  </si>
  <si>
    <t>45,1% - 60%</t>
  </si>
  <si>
    <t>60,1% - 75%</t>
  </si>
  <si>
    <t>75,1% - 90%</t>
  </si>
  <si>
    <t>&gt; 90%</t>
  </si>
  <si>
    <t>D) Patrimonio = Activo total - Pasivo total.
Mide la cantidad de recursos propios del proponente.</t>
  </si>
  <si>
    <t>0 - $10m</t>
  </si>
  <si>
    <t>$10m - $100m</t>
  </si>
  <si>
    <t>&gt; $100m</t>
  </si>
  <si>
    <t>E) Razón de Cobertura de Intereses = Utilidad Operacional / Gastos de Intereses.
Es la capacidad del proponente de cumplir con sus obligaciones financieras. A mayor cobertura de intereses, menor es la probabilidad de que el proponente incumpla sus obligaciones financieras.</t>
  </si>
  <si>
    <t>Gastos de intereses = 0</t>
  </si>
  <si>
    <t>0 - 1</t>
  </si>
  <si>
    <t>1,1 - 2</t>
  </si>
  <si>
    <t>2,1 - 4</t>
  </si>
  <si>
    <t>4,1 - 6</t>
  </si>
  <si>
    <t>&gt; 6</t>
  </si>
  <si>
    <t>F) Rentabilidad sobre activos = Utilidad Operacional / Activo Total.
Determina la rentabilidad de los activos del proponente, es decir, la capacidad de generación de utilidad operacional por cada peso invertido en el activo. A mayor rentabilidad sobre activos, mayor es la rentabilidad del negocio y mejor la capacidad organizacional del proponente.</t>
  </si>
  <si>
    <t>2,1 - 3</t>
  </si>
  <si>
    <t>3,1 - 4</t>
  </si>
  <si>
    <t>&gt; 4</t>
  </si>
  <si>
    <t>F) Rentabilidad sobre patrimonio: Utilidad Operacional / Patrimonio.
Determina la rentabilidad del patrimonio del proponente, es decir, la capacidad de generación de utilidad operacional por cada peso invertido en el patrimonio. A mayor rentabilidad sobre el patrimonio, mayor es la rentabilidad de los accionistas y mejor la capacidad organizacional del proponente.</t>
  </si>
  <si>
    <t>0 - 2</t>
  </si>
  <si>
    <t>6,1 - 8</t>
  </si>
  <si>
    <t>&gt; 8</t>
  </si>
  <si>
    <t>4. CONCLUSIONES</t>
  </si>
  <si>
    <t>CRITERIOS RECOMENDADOS:</t>
  </si>
  <si>
    <t>MENOR O IGUAL A 
70%</t>
  </si>
  <si>
    <t>MAYOR O IGUAL A 
$146,000.000</t>
  </si>
  <si>
    <t>% DE LA MUESTRA QUE CUMPLE EL CRITERIO</t>
  </si>
  <si>
    <t>Elaboró:</t>
  </si>
  <si>
    <t>BATEMAN INGENIERIA SAS</t>
  </si>
  <si>
    <t>OBRAS DEL NORTE S.A.S</t>
  </si>
  <si>
    <t>C &amp; M CONSULTORES S.A.S</t>
  </si>
  <si>
    <t>INTERSA S.A</t>
  </si>
  <si>
    <t>901218749-3</t>
  </si>
  <si>
    <t>ALEPH INGENIERÍA Y CONSULTORÍA S.A.S.</t>
  </si>
  <si>
    <t>901230477 4</t>
  </si>
  <si>
    <t>ACINCO INGENIERIA S.A.S</t>
  </si>
  <si>
    <t>901243906-9</t>
  </si>
  <si>
    <t>JJAB S.A.S ZOMAC</t>
  </si>
  <si>
    <t>901244298-3</t>
  </si>
  <si>
    <t>CIVIL 33 S.A.S</t>
  </si>
  <si>
    <t>901245880-5</t>
  </si>
  <si>
    <t>SISTEMA INGENIERIA SUCURSAL COLOMBIA</t>
  </si>
  <si>
    <t>901256066-3</t>
  </si>
  <si>
    <t>COMPAÑÍA CONSULTORA COLOMBIANA TRIPLE C SAS -BIC</t>
  </si>
  <si>
    <t>901268368-4</t>
  </si>
  <si>
    <t>PEYCO, PROYECTOS, ESTUDIOS Y CONSTRUCCIONES SAS</t>
  </si>
  <si>
    <t>901286572-7</t>
  </si>
  <si>
    <t>PROES INGENIERÍA S.A.S</t>
  </si>
  <si>
    <t>901289190-0</t>
  </si>
  <si>
    <t>ECG INGENIERIA SAS</t>
  </si>
  <si>
    <t>901302824-7</t>
  </si>
  <si>
    <t xml:space="preserve">C&amp;A PROFESIONALES DE INGENIEIA S.A.S </t>
  </si>
  <si>
    <t>901310959-6</t>
  </si>
  <si>
    <t>INVELER CONSULTORIA</t>
  </si>
  <si>
    <t>901336686-3</t>
  </si>
  <si>
    <t xml:space="preserve">RJ&amp;P INGENIERIA S.A. </t>
  </si>
  <si>
    <t>901383717-3</t>
  </si>
  <si>
    <t>CNG SERVICIOS DE INGENIERIA S.A.S</t>
  </si>
  <si>
    <t>901384670-0</t>
  </si>
  <si>
    <t>TOTALL S.A.S</t>
  </si>
  <si>
    <t>901396141-8</t>
  </si>
  <si>
    <t>DF CONSULTORIA S.A.S</t>
  </si>
  <si>
    <t>901424774-0</t>
  </si>
  <si>
    <t>GHF INGENIERÍAS Y</t>
  </si>
  <si>
    <t>901438198-9</t>
  </si>
  <si>
    <t>GOC INGENIERIA S.A.S</t>
  </si>
  <si>
    <t>901438400-2</t>
  </si>
  <si>
    <t>INGENIERIA MONCADA GONZALEZ Y ASOCIADOS S.A. S</t>
  </si>
  <si>
    <t>901445564-0</t>
  </si>
  <si>
    <t>INGELOGUE S.A.S</t>
  </si>
  <si>
    <t>901450710-1</t>
  </si>
  <si>
    <t>EC CONSULTORIA SAS</t>
  </si>
  <si>
    <t>901472564-5</t>
  </si>
  <si>
    <t>INCOLPLAN IN S.A.S</t>
  </si>
  <si>
    <t>901474506 7</t>
  </si>
  <si>
    <t>EPYPSA S.A.S</t>
  </si>
  <si>
    <t>901486053-4</t>
  </si>
  <si>
    <t>901492520-7</t>
  </si>
  <si>
    <t>PC INTERVENTORES S.A.S.</t>
  </si>
  <si>
    <t>901495470-0</t>
  </si>
  <si>
    <t>CIMA ENGINEERING S.A.S.</t>
  </si>
  <si>
    <t>901506984 3</t>
  </si>
  <si>
    <t>KALPA INGENIERIA SAS</t>
  </si>
  <si>
    <t>901535585 1</t>
  </si>
  <si>
    <t>ANEZGA INTERVENTORIA &amp; CONSTRUCCION S.A.S</t>
  </si>
  <si>
    <t>901539475-8</t>
  </si>
  <si>
    <t>AUDIT PARTNERS SAS</t>
  </si>
  <si>
    <t>901548469 1</t>
  </si>
  <si>
    <t>DANACIB S.A.S</t>
  </si>
  <si>
    <t>901568774-9</t>
  </si>
  <si>
    <t xml:space="preserve">CEMOSA 1972 S.A.S </t>
  </si>
  <si>
    <t>901579224 7</t>
  </si>
  <si>
    <t>MASEB INGENIERIA SAS</t>
  </si>
  <si>
    <t>901580432-4</t>
  </si>
  <si>
    <t xml:space="preserve">AESA PROYECTOS S.A.S </t>
  </si>
  <si>
    <t>901593977-2</t>
  </si>
  <si>
    <t>COBA B&amp;C SAS</t>
  </si>
  <si>
    <t>901620351-9</t>
  </si>
  <si>
    <t>TOTALL INC SAS BIC</t>
  </si>
  <si>
    <t>901622366-8</t>
  </si>
  <si>
    <t>TLL ARQUITECTOS E INGENIEROS S.A.S.</t>
  </si>
  <si>
    <t>901634774-1</t>
  </si>
  <si>
    <t>ECOSENDA SAS</t>
  </si>
  <si>
    <t>9050725-8</t>
  </si>
  <si>
    <t>LUIS GUILLERMO NARVAEZ RICARDO</t>
  </si>
  <si>
    <t>9055944-7</t>
  </si>
  <si>
    <t>RAFAEL ANTONIO GUERRERO FRANCO</t>
  </si>
  <si>
    <t>Lilia Salamanca Gonzalez</t>
  </si>
  <si>
    <t>Contratista Direcciòn Financiera</t>
  </si>
  <si>
    <t>PRESUPUESTO</t>
  </si>
  <si>
    <t xml:space="preserve">PLAZO </t>
  </si>
  <si>
    <t>Capital de Trabajo =(POE-A)*25%</t>
  </si>
  <si>
    <t>INDICADORES FINANCIEROS PARA MIPYMES RANGO 1</t>
  </si>
  <si>
    <t>INDICADORES FINANCIEROS PARA OTROS PROPONENTES RANGO 1</t>
  </si>
  <si>
    <t>MENOR O IGUAL A 
65%</t>
  </si>
  <si>
    <t>MAYOR O IGUAL A 
1,5 VECES</t>
  </si>
  <si>
    <t>MAYOR O IGUAL A 
1%</t>
  </si>
  <si>
    <t>MAYOR O IGUAL A 
2%</t>
  </si>
  <si>
    <t xml:space="preserve">MAYOR O IGUAL A 
1,1 </t>
  </si>
  <si>
    <t xml:space="preserve">MAYOR O IGUAL A 
1,2 </t>
  </si>
  <si>
    <t>MAYOR O IGUAL A 
3%</t>
  </si>
  <si>
    <t>MAYOR O IGUAL A 1,5</t>
  </si>
  <si>
    <t>M7112 - Actividades de ingeniería y otras actividades conexas de consultoría técnica</t>
  </si>
  <si>
    <t>SESAC S.A.</t>
  </si>
  <si>
    <t>INGENIERIA ESPECIALIZADA S.A.</t>
  </si>
  <si>
    <t>INGENIERIA Y TELEMATICA G&amp;C SAS</t>
  </si>
  <si>
    <t>ARISTOS CONSULTORES DE GERENCIA SA</t>
  </si>
  <si>
    <t>M7020 - Actividades de consultoría de gestión</t>
  </si>
  <si>
    <t>COTEL SAS</t>
  </si>
  <si>
    <t>HACE INGENIEROS SAS</t>
  </si>
  <si>
    <t>DELTEC SA</t>
  </si>
  <si>
    <t>ZONA FRANCA DEL PACIFICO SA USUARIO OPERADOR DE ZONA FRANCA</t>
  </si>
  <si>
    <t>SIGNUM INGENIERIA SAS</t>
  </si>
  <si>
    <t>REDES Y COMUNICACIONES DE COLOMBIA LTDA-EN REORGANIZACION</t>
  </si>
  <si>
    <t>servicios de ingenieria y construccion sas</t>
  </si>
  <si>
    <t>Inmobiliaria e Inversiones ISAN SAS</t>
  </si>
  <si>
    <t>INTERPRO SAS</t>
  </si>
  <si>
    <t>iINGENIERIA Y TECNOLOGIA ESPECIALZIADA SAS</t>
  </si>
  <si>
    <t>COPOWER LIMITADA</t>
  </si>
  <si>
    <t>INGENIERIA Y CONSULTORIA INGECON SAS</t>
  </si>
  <si>
    <t>INGENIERIA TECNOLOGIA E INSTRUMENTACION SA</t>
  </si>
  <si>
    <t>INVERSIONES E INGENIERIA VILLEGAS GUTIERREZ SAS</t>
  </si>
  <si>
    <t>SEGURIDAD AMBIENTE CALIDAD Y SALUD CONSULTORES S.A.S.</t>
  </si>
  <si>
    <t>CONSULTEC SAS</t>
  </si>
  <si>
    <t>INTERESTUDIOS INGENIERIA S.A.S</t>
  </si>
  <si>
    <t>ARM CONSULTING SAS</t>
  </si>
  <si>
    <t>GEOCING SAS</t>
  </si>
  <si>
    <t>COPEBA SAS</t>
  </si>
  <si>
    <t>DESARROLLADORA DE PROYECTOS DE INGENIERIA SAS</t>
  </si>
  <si>
    <t>MEDINA &amp; RIVERA INGENIEROS ASOCIADOS POR ACCIONES SIMPLIFICADAS S A S</t>
  </si>
  <si>
    <t>INGENIERIA Y DISEÑO INGEDISA S.A.</t>
  </si>
  <si>
    <t>CONCHA MENDOZA Y CIA SAS</t>
  </si>
  <si>
    <t>DATATOOLS SAS</t>
  </si>
  <si>
    <t>SOMOS INVERSIONES Y COMPAÑIA S.A.S.</t>
  </si>
  <si>
    <t>TECNA INTEGRITY AND CORROSION ENGINEERING S.A</t>
  </si>
  <si>
    <t>INGENIERIA Y SERVICIOS TECNICOS INGESERTEC S A</t>
  </si>
  <si>
    <t>ENVIRONMENTAL INGENIEROS CONSULTORES SA</t>
  </si>
  <si>
    <t>GOMEZ MACIAS Y CIA S EN C</t>
  </si>
  <si>
    <t>VQ INGENIERIA S.A.S.</t>
  </si>
  <si>
    <t>LIGHGEN INGENIERIA SAS</t>
  </si>
  <si>
    <t>ENCINALES RESTREPO ASESORES S.A.S.</t>
  </si>
  <si>
    <t>compañia de Desarollo Territorial Sas</t>
  </si>
  <si>
    <t>GRUPO LONDOÑO INVERSIONES S.C.A.</t>
  </si>
  <si>
    <t>MERIDIAN CONSULTING LTDA</t>
  </si>
  <si>
    <t>EXIMIUM INTERNATIONAL SAS</t>
  </si>
  <si>
    <t>MANALPA S.A.S.</t>
  </si>
  <si>
    <t>VICAMA SAS</t>
  </si>
  <si>
    <t>RGC ACTIVA SAS</t>
  </si>
  <si>
    <t>GESTION AMBIENTAL SAS</t>
  </si>
  <si>
    <t>GNG INGENIERIA SAS</t>
  </si>
  <si>
    <t>LA VIALIDAD LTDA</t>
  </si>
  <si>
    <t>RESTREPO URIBE SAS</t>
  </si>
  <si>
    <t>CONSULTORES TECNICOS Y ECONOMICOS SAS</t>
  </si>
  <si>
    <t>INTERVENTORIAS Y DISEÑOS S.A</t>
  </si>
  <si>
    <t>SALGADO MELENDEZ Y ASOCIADOS INGENIEROS CONSULTORES S.A.S.</t>
  </si>
  <si>
    <t>PRICEWATERHOUSECOOPERS ASESORES GERENCIALES SAS</t>
  </si>
  <si>
    <t>ACEVERDE S.A.S</t>
  </si>
  <si>
    <t>PROYECTOS Y DISENOS SAS</t>
  </si>
  <si>
    <t>ESTUDIOS Y PROYECTOS AMBIENTALES Y MECANICOS SAS</t>
  </si>
  <si>
    <t>CAMILO VILLAVECES ATUESTA Y CIA LTDA</t>
  </si>
  <si>
    <t>DE VALDENEBRO INGENIEROS LTDA</t>
  </si>
  <si>
    <t>INVERLINK S.A.S.</t>
  </si>
  <si>
    <t>INVERSIONES DANESMA Y COMPAÑIA SA</t>
  </si>
  <si>
    <t>Inversiones JDN SAS</t>
  </si>
  <si>
    <t>INGENIERIA DE PROYECTOS S.A.S</t>
  </si>
  <si>
    <t>PLANES SAS</t>
  </si>
  <si>
    <t>AFA CONSULTORES Y CONSTRUCTORES S.A.</t>
  </si>
  <si>
    <t>ARREDONDO MADRID INGENIEROS CIVILES AIM SAS</t>
  </si>
  <si>
    <t>CCR INGENIEROS ASOCIADOS SAS</t>
  </si>
  <si>
    <t>PERFORMANCE FACTOR SAS</t>
  </si>
  <si>
    <t>BONUS BANCA DE INVERSION SAS</t>
  </si>
  <si>
    <t>CONSTRUCTORA DOMUS SAS</t>
  </si>
  <si>
    <t>VISION INDUSTRIAL SA</t>
  </si>
  <si>
    <t>AUSCULTAR SOCIEDAD POR ACCIONES SIMPLIFICADA</t>
  </si>
  <si>
    <t>MAB INGENIERIA DE VALOR SA</t>
  </si>
  <si>
    <t>MANAGEMENT AND QUALITY SAS</t>
  </si>
  <si>
    <t>CALNIA INVERSIONES SA</t>
  </si>
  <si>
    <t>SCAIN ADMINISTRACION E INGENIERIA SAS</t>
  </si>
  <si>
    <t>VILTEC SAS</t>
  </si>
  <si>
    <t>GM - ISUZU CAMIONES ANDINOS DE COLOMBIA LIMITADA</t>
  </si>
  <si>
    <t>TECNOLOGIAS Y CONSULTORIAS AMBIENTALES Y DE GESTION</t>
  </si>
  <si>
    <t>BUELVAS GANDARA &amp; ALMARIO INGENIEROS LTDA BGA INGENIEROS LTDA</t>
  </si>
  <si>
    <t>B&amp;C DISEÑOS Y CONSTRUCCIONES LTDA</t>
  </si>
  <si>
    <t>SMARTY COLOMBIA SAS BIC</t>
  </si>
  <si>
    <t>ARNOLDO BERROCAL INGENIERIA S.A.S</t>
  </si>
  <si>
    <t>INGENIERIA Y CONSULTORIA NACIONAL INALCON S.A.S.-EN REORGANIZACION</t>
  </si>
  <si>
    <t>MS INGENIEROS SL SUCURSAL EN COLOMBIA</t>
  </si>
  <si>
    <t>KBT SAS</t>
  </si>
  <si>
    <t>SIGLO COLOMBIA S A S</t>
  </si>
  <si>
    <t>DOBLE R ARQUITECTURA E INGENEIERIA SAS</t>
  </si>
  <si>
    <t>SERTIC SAS - EN REORGANIZACION</t>
  </si>
  <si>
    <t>METRO OPERACION INMOBILIARIA SAS</t>
  </si>
  <si>
    <t>PEDELTA COLOMBIA S A S</t>
  </si>
  <si>
    <t>WESTPHALIA SAS</t>
  </si>
  <si>
    <t>SURVEY SERVICES SAS</t>
  </si>
  <si>
    <t>FARO COLOMBIA SAS</t>
  </si>
  <si>
    <t>GREEN HOLDINGS SAS</t>
  </si>
  <si>
    <t>CDM SMITH</t>
  </si>
  <si>
    <t>AGNIS SAS</t>
  </si>
  <si>
    <t>5T SAS BIC</t>
  </si>
  <si>
    <t>PRODEGI SAS</t>
  </si>
  <si>
    <t>INGENIERIA Y SOLUCIONES ESPECIALIZADAS S.A.S. (ISES S.A.S.)</t>
  </si>
  <si>
    <t>GIC GERENCIA INTERVENTORIA Y CONSULTORIA SAS</t>
  </si>
  <si>
    <t>INVERSIONES ISAZA VALENCIA SAS</t>
  </si>
  <si>
    <t>TRITONES SAS</t>
  </si>
  <si>
    <t>CONSULTECNICOS GERENCIA SAS</t>
  </si>
  <si>
    <t>NAVELA S.A.S.</t>
  </si>
  <si>
    <t>AYESA INGENIERIA Y ARQUITECTURA SAU SUCURSAL COLOMBIA</t>
  </si>
  <si>
    <t>GINPROSA INGENIERIA S L SUCURSAL COLOMBIA</t>
  </si>
  <si>
    <t>CONURMA INGENIEROS CONSULTORES SL COLOMBIA</t>
  </si>
  <si>
    <t>INGENIERIA Y GESTION ADMINISTRATIVA SAS</t>
  </si>
  <si>
    <t>MAYOR O IGUAL A 
$ 314,017,000</t>
  </si>
  <si>
    <t>|</t>
  </si>
  <si>
    <t>ESTUDIOS Y DISEÑOS PARA EL MEJORAMIENTO DE PISTA, PLATAFORMA, CARCAMO YCONSTRUCCIÓN DE LA CALLE DE RODAJE INCLUYENDO AYUDAS VISUALES
PARA EL AEROPUERTO GUILLERMO LEON VALENCIA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</si>
</sst>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6" formatCode="&quot;$&quot;\ #,##0;[Red]\-&quot;$&quot;\ #,##0"/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-* #,##0.00\ _€_-;\-* #,##0.00\ _€_-;_-* &quot;-&quot;??\ _€_-;_-@_-"/>
    <numFmt numFmtId="166" formatCode="#,##0.0"/>
    <numFmt numFmtId="167" formatCode="&quot;$&quot;#,##0"/>
    <numFmt numFmtId="168" formatCode="_-* #,##0\ _€_-;\-* #,##0\ _€_-;_-* &quot;-&quot;??\ _€_-;_-@_-"/>
    <numFmt numFmtId="169" formatCode="&quot;$&quot;\ #,##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Work Sans"/>
    </font>
    <font>
      <b/>
      <sz val="9"/>
      <color theme="1"/>
      <name val="Work Sans"/>
    </font>
    <font>
      <sz val="9"/>
      <color theme="1"/>
      <name val="Work Sans"/>
    </font>
    <font>
      <b/>
      <sz val="9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Arial"/>
      <family val="2"/>
    </font>
    <font>
      <sz val="12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00">
    <xf numFmtId="0" fontId="0" fillId="0" borderId="0" xfId="0"/>
    <xf numFmtId="0" fontId="4" fillId="0" borderId="4" xfId="0" applyFont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/>
    </xf>
    <xf numFmtId="10" fontId="4" fillId="0" borderId="4" xfId="2" applyNumberFormat="1" applyFont="1" applyBorder="1" applyAlignment="1">
      <alignment horizontal="center" vertical="center"/>
    </xf>
    <xf numFmtId="16" fontId="4" fillId="0" borderId="4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10" fontId="3" fillId="0" borderId="4" xfId="2" applyNumberFormat="1" applyFont="1" applyBorder="1" applyAlignment="1">
      <alignment horizontal="center" vertical="center"/>
    </xf>
    <xf numFmtId="10" fontId="3" fillId="0" borderId="0" xfId="2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0" fontId="4" fillId="0" borderId="0" xfId="2" applyNumberFormat="1" applyFont="1" applyBorder="1" applyAlignment="1">
      <alignment horizontal="center" vertical="center"/>
    </xf>
    <xf numFmtId="166" fontId="7" fillId="0" borderId="0" xfId="3" applyNumberFormat="1" applyFont="1" applyFill="1" applyBorder="1" applyAlignment="1">
      <alignment horizontal="center"/>
    </xf>
    <xf numFmtId="0" fontId="7" fillId="0" borderId="0" xfId="0" applyFont="1"/>
    <xf numFmtId="167" fontId="7" fillId="0" borderId="0" xfId="0" applyNumberFormat="1" applyFont="1"/>
    <xf numFmtId="0" fontId="6" fillId="4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wrapText="1"/>
    </xf>
    <xf numFmtId="0" fontId="6" fillId="4" borderId="1" xfId="0" applyFont="1" applyFill="1" applyBorder="1" applyAlignment="1">
      <alignment horizontal="center" wrapText="1"/>
    </xf>
    <xf numFmtId="0" fontId="3" fillId="0" borderId="4" xfId="0" applyFont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10" fontId="4" fillId="0" borderId="9" xfId="2" applyNumberFormat="1" applyFont="1" applyBorder="1" applyAlignment="1">
      <alignment horizontal="center" vertical="center"/>
    </xf>
    <xf numFmtId="10" fontId="3" fillId="0" borderId="9" xfId="2" applyNumberFormat="1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10" fontId="4" fillId="0" borderId="5" xfId="2" applyNumberFormat="1" applyFont="1" applyBorder="1" applyAlignment="1">
      <alignment horizontal="center" vertical="center"/>
    </xf>
    <xf numFmtId="10" fontId="3" fillId="0" borderId="5" xfId="2" applyNumberFormat="1" applyFont="1" applyBorder="1" applyAlignment="1">
      <alignment horizontal="center" vertical="center"/>
    </xf>
    <xf numFmtId="0" fontId="3" fillId="0" borderId="9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168" fontId="7" fillId="0" borderId="0" xfId="1" applyNumberFormat="1" applyFont="1"/>
    <xf numFmtId="0" fontId="6" fillId="0" borderId="10" xfId="0" applyFont="1" applyBorder="1" applyAlignment="1">
      <alignment vertical="center"/>
    </xf>
    <xf numFmtId="169" fontId="7" fillId="0" borderId="0" xfId="3" applyNumberFormat="1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 vertical="center" wrapText="1"/>
    </xf>
    <xf numFmtId="9" fontId="7" fillId="0" borderId="0" xfId="2" applyFont="1" applyFill="1" applyBorder="1" applyAlignment="1">
      <alignment horizontal="center"/>
    </xf>
    <xf numFmtId="3" fontId="7" fillId="0" borderId="0" xfId="0" applyNumberFormat="1" applyFont="1"/>
    <xf numFmtId="169" fontId="7" fillId="0" borderId="0" xfId="3" applyNumberFormat="1" applyFont="1" applyFill="1" applyBorder="1" applyAlignment="1"/>
    <xf numFmtId="169" fontId="0" fillId="0" borderId="0" xfId="0" applyNumberFormat="1"/>
    <xf numFmtId="1" fontId="7" fillId="0" borderId="0" xfId="3" applyNumberFormat="1" applyFont="1" applyFill="1" applyBorder="1" applyAlignment="1">
      <alignment horizontal="center"/>
    </xf>
    <xf numFmtId="3" fontId="0" fillId="0" borderId="0" xfId="0" applyNumberFormat="1"/>
    <xf numFmtId="167" fontId="7" fillId="0" borderId="2" xfId="0" applyNumberFormat="1" applyFont="1" applyBorder="1" applyAlignment="1">
      <alignment horizontal="center" vertical="center"/>
    </xf>
    <xf numFmtId="9" fontId="3" fillId="0" borderId="11" xfId="2" applyFont="1" applyFill="1" applyBorder="1" applyAlignment="1">
      <alignment horizontal="center" vertical="center" wrapText="1"/>
    </xf>
    <xf numFmtId="9" fontId="3" fillId="0" borderId="12" xfId="2" applyFont="1" applyFill="1" applyBorder="1" applyAlignment="1">
      <alignment horizontal="center" vertical="center" wrapText="1"/>
    </xf>
    <xf numFmtId="6" fontId="7" fillId="0" borderId="0" xfId="0" applyNumberFormat="1" applyFont="1"/>
    <xf numFmtId="169" fontId="3" fillId="0" borderId="12" xfId="2" applyNumberFormat="1" applyFont="1" applyFill="1" applyBorder="1" applyAlignment="1">
      <alignment horizontal="center" vertical="center" wrapText="1"/>
    </xf>
    <xf numFmtId="0" fontId="8" fillId="0" borderId="4" xfId="0" applyFont="1" applyFill="1" applyBorder="1"/>
    <xf numFmtId="0" fontId="8" fillId="0" borderId="4" xfId="0" applyFont="1" applyFill="1" applyBorder="1" applyAlignment="1">
      <alignment wrapText="1"/>
    </xf>
    <xf numFmtId="0" fontId="0" fillId="0" borderId="4" xfId="0" applyFill="1" applyBorder="1"/>
    <xf numFmtId="166" fontId="7" fillId="0" borderId="4" xfId="3" applyNumberFormat="1" applyFont="1" applyFill="1" applyBorder="1" applyAlignment="1">
      <alignment horizontal="center"/>
    </xf>
    <xf numFmtId="169" fontId="7" fillId="0" borderId="4" xfId="3" applyNumberFormat="1" applyFont="1" applyFill="1" applyBorder="1" applyAlignment="1"/>
    <xf numFmtId="9" fontId="7" fillId="0" borderId="4" xfId="2" applyFont="1" applyFill="1" applyBorder="1" applyAlignment="1">
      <alignment horizontal="center"/>
    </xf>
    <xf numFmtId="169" fontId="0" fillId="0" borderId="4" xfId="0" applyNumberFormat="1" applyFill="1" applyBorder="1"/>
    <xf numFmtId="1" fontId="7" fillId="0" borderId="4" xfId="3" applyNumberFormat="1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  <xf numFmtId="166" fontId="6" fillId="2" borderId="4" xfId="0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10" fillId="0" borderId="0" xfId="0" applyFont="1"/>
    <xf numFmtId="0" fontId="11" fillId="0" borderId="0" xfId="0" applyFont="1"/>
    <xf numFmtId="9" fontId="7" fillId="0" borderId="0" xfId="0" applyNumberFormat="1" applyFont="1"/>
    <xf numFmtId="0" fontId="5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44" fontId="7" fillId="0" borderId="0" xfId="4" applyFont="1"/>
    <xf numFmtId="44" fontId="7" fillId="0" borderId="0" xfId="0" applyNumberFormat="1" applyFont="1"/>
    <xf numFmtId="0" fontId="10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0" fillId="0" borderId="14" xfId="0" applyBorder="1"/>
    <xf numFmtId="166" fontId="7" fillId="0" borderId="14" xfId="1" applyNumberFormat="1" applyFont="1" applyFill="1" applyBorder="1" applyAlignment="1">
      <alignment horizontal="center"/>
    </xf>
    <xf numFmtId="3" fontId="7" fillId="0" borderId="14" xfId="1" applyNumberFormat="1" applyFont="1" applyFill="1" applyBorder="1" applyAlignment="1"/>
    <xf numFmtId="9" fontId="7" fillId="0" borderId="14" xfId="2" applyFont="1" applyFill="1" applyBorder="1" applyAlignment="1">
      <alignment horizontal="center"/>
    </xf>
    <xf numFmtId="3" fontId="0" fillId="0" borderId="14" xfId="0" applyNumberFormat="1" applyBorder="1"/>
    <xf numFmtId="4" fontId="7" fillId="0" borderId="14" xfId="1" applyNumberFormat="1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0" fillId="0" borderId="14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6" fillId="4" borderId="0" xfId="0" applyFont="1" applyFill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wrapText="1"/>
    </xf>
    <xf numFmtId="0" fontId="6" fillId="4" borderId="1" xfId="0" applyFont="1" applyFill="1" applyBorder="1" applyAlignment="1">
      <alignment horizontal="left" vertical="center"/>
    </xf>
    <xf numFmtId="0" fontId="6" fillId="4" borderId="7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left" wrapText="1"/>
    </xf>
    <xf numFmtId="0" fontId="6" fillId="4" borderId="4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</cellXfs>
  <cellStyles count="5">
    <cellStyle name="Millares" xfId="1" builtinId="3"/>
    <cellStyle name="Millares 2" xfId="3" xr:uid="{00000000-0005-0000-0000-000001000000}"/>
    <cellStyle name="Moneda" xfId="4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r>
              <a:rPr lang="es-CO" b="1"/>
              <a:t>INDICE DE LIQUIDEZ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>
              <a:gsLst>
                <a:gs pos="0">
                  <a:schemeClr val="accent2"/>
                </a:gs>
                <a:gs pos="100000">
                  <a:schemeClr val="accent2">
                    <a:lumMod val="84000"/>
                  </a:schemeClr>
                </a:gs>
              </a:gsLst>
              <a:lin ang="5400000" scaled="1"/>
            </a:gra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8B7A9750-AE62-476A-B625-1CA1DE02D335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D1DA1207-F4E7-4BFC-B21E-82D60CD25EAA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0D6A-4A7F-83E3-BECDA7C88952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534A494E-4F8C-450A-80A0-307A1EE09215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0CD72389-B199-4F00-A579-DC569C656310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0D6A-4A7F-83E3-BECDA7C88952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E8B0DB96-8C43-4387-8051-48816B5E97C5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EA030C54-4A58-46A5-B0A3-C8FE85AC73F5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0D6A-4A7F-83E3-BECDA7C88952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0DC0427B-1A38-45AE-B347-DB9B3A5E5BAB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563A5BA7-D10D-4463-B46F-A56993452BE9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0D6A-4A7F-83E3-BECDA7C88952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B0679E6D-0653-40D7-88F1-B4B59051418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EF62218D-0DC2-4455-A942-099489203C49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0D6A-4A7F-83E3-BECDA7C88952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125B18D5-16AC-4D0A-A158-0D22851B5D8F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17717A8-5C87-47A0-943B-9570A2435D6D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0D6A-4A7F-83E3-BECDA7C88952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AE2D0D89-6858-4FAF-92A0-CCBDF30D8719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768AFE18-9A09-445D-BA59-7AC42FC937B0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0D6A-4A7F-83E3-BECDA7C88952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BD7AA3A9-4A15-45E3-BB2D-E0B254CA2370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D75E9648-34D7-48C4-BE28-BE514326AC3D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0D6A-4A7F-83E3-BECDA7C8895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2'!$B$179:$B$187</c15:sqref>
                  </c15:fullRef>
                </c:ext>
              </c:extLst>
              <c:f>'Hoja 2'!$B$180:$B$187</c:f>
              <c:strCache>
                <c:ptCount val="8"/>
                <c:pt idx="0">
                  <c:v>0 - 1,1</c:v>
                </c:pt>
                <c:pt idx="1">
                  <c:v>1,2 - 2</c:v>
                </c:pt>
                <c:pt idx="2">
                  <c:v>2,1 - 5</c:v>
                </c:pt>
                <c:pt idx="3">
                  <c:v>5,1 - 10</c:v>
                </c:pt>
                <c:pt idx="4">
                  <c:v>10,1 - 20</c:v>
                </c:pt>
                <c:pt idx="5">
                  <c:v>20,1 - 30</c:v>
                </c:pt>
                <c:pt idx="6">
                  <c:v>30,1 - 50</c:v>
                </c:pt>
                <c:pt idx="7">
                  <c:v>&gt; 50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2'!$C$179:$C$187</c15:sqref>
                  </c15:fullRef>
                </c:ext>
              </c:extLst>
              <c:f>'Hoja 2'!$C$180:$C$187</c:f>
              <c:numCache>
                <c:formatCode>#,##0</c:formatCode>
                <c:ptCount val="8"/>
                <c:pt idx="0">
                  <c:v>18</c:v>
                </c:pt>
                <c:pt idx="1">
                  <c:v>27</c:v>
                </c:pt>
                <c:pt idx="2">
                  <c:v>49</c:v>
                </c:pt>
                <c:pt idx="3">
                  <c:v>28</c:v>
                </c:pt>
                <c:pt idx="4">
                  <c:v>14</c:v>
                </c:pt>
                <c:pt idx="5">
                  <c:v>3</c:v>
                </c:pt>
                <c:pt idx="6">
                  <c:v>0</c:v>
                </c:pt>
                <c:pt idx="7">
                  <c:v>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2'!$D$179:$D$187</c15:f>
                <c15:dlblRangeCache>
                  <c:ptCount val="9"/>
                  <c:pt idx="1">
                    <c:v>12,16%</c:v>
                  </c:pt>
                  <c:pt idx="2">
                    <c:v>18,24%</c:v>
                  </c:pt>
                  <c:pt idx="3">
                    <c:v>33,11%</c:v>
                  </c:pt>
                  <c:pt idx="4">
                    <c:v>18,92%</c:v>
                  </c:pt>
                  <c:pt idx="5">
                    <c:v>9,46%</c:v>
                  </c:pt>
                  <c:pt idx="6">
                    <c:v>2,03%</c:v>
                  </c:pt>
                  <c:pt idx="7">
                    <c:v>0,00%</c:v>
                  </c:pt>
                  <c:pt idx="8">
                    <c:v>6,08%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23A7-4C66-8E2A-F0BEEF04415F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418231400"/>
        <c:axId val="418219264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gradFill>
                    <a:gsLst>
                      <a:gs pos="0">
                        <a:schemeClr val="accent4"/>
                      </a:gs>
                      <a:gs pos="100000">
                        <a:schemeClr val="accent4">
                          <a:lumMod val="84000"/>
                        </a:schemeClr>
                      </a:gs>
                    </a:gsLst>
                    <a:lin ang="5400000" scaled="1"/>
                  </a:gradFill>
                  <a:ln>
                    <a:noFill/>
                  </a:ln>
                  <a:effectLst>
                    <a:outerShdw blurRad="76200" dir="18900000" sy="23000" kx="-1200000" algn="bl" rotWithShape="0">
                      <a:prstClr val="black">
                        <a:alpha val="20000"/>
                      </a:prstClr>
                    </a:outerShdw>
                  </a:effectLst>
                </c:spPr>
                <c:invertIfNegative val="0"/>
                <c:dLbls>
                  <c:dLbl>
                    <c:idx val="0"/>
                    <c:tx>
                      <c:rich>
                        <a:bodyPr/>
                        <a:lstStyle/>
                        <a:p>
                          <a:fld id="{02CB0186-C76C-4EE4-9480-35018467ABC2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6586BD8A-FB73-4DCC-BC25-363FF82741FC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in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C-23A7-4C66-8E2A-F0BEEF04415F}"/>
                      </c:ext>
                    </c:extLst>
                  </c:dLbl>
                  <c:dLbl>
                    <c:idx val="1"/>
                    <c:tx>
                      <c:rich>
                        <a:bodyPr/>
                        <a:lstStyle/>
                        <a:p>
                          <a:fld id="{0335625C-1469-4086-BA60-FD965ABA45BD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5309CC6D-8097-4814-8CAD-AD620BD190C2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in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D-23A7-4C66-8E2A-F0BEEF04415F}"/>
                      </c:ext>
                    </c:extLst>
                  </c:dLbl>
                  <c:dLbl>
                    <c:idx val="2"/>
                    <c:tx>
                      <c:rich>
                        <a:bodyPr/>
                        <a:lstStyle/>
                        <a:p>
                          <a:fld id="{03BFEE5E-F3AC-4633-920F-B805D2902E88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2F8DD4C1-37D2-4F75-B473-6624CEFA46C5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in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E-23A7-4C66-8E2A-F0BEEF04415F}"/>
                      </c:ext>
                    </c:extLst>
                  </c:dLbl>
                  <c:dLbl>
                    <c:idx val="3"/>
                    <c:tx>
                      <c:rich>
                        <a:bodyPr/>
                        <a:lstStyle/>
                        <a:p>
                          <a:fld id="{72FCD47A-EEA3-4517-8635-8BBBD8C2C213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AC0FA9EE-EBC9-437E-B094-7A6E82E3F43B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in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8-23A7-4C66-8E2A-F0BEEF04415F}"/>
                      </c:ext>
                    </c:extLst>
                  </c:dLbl>
                  <c:dLbl>
                    <c:idx val="4"/>
                    <c:tx>
                      <c:rich>
                        <a:bodyPr/>
                        <a:lstStyle/>
                        <a:p>
                          <a:fld id="{B58B2C82-1FDD-42E1-AE1F-89320179A312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B2536A1D-7E79-4F44-ADD7-18DB995422A0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in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A-23A7-4C66-8E2A-F0BEEF04415F}"/>
                      </c:ext>
                    </c:extLst>
                  </c:dLbl>
                  <c:dLbl>
                    <c:idx val="5"/>
                    <c:tx>
                      <c:rich>
                        <a:bodyPr/>
                        <a:lstStyle/>
                        <a:p>
                          <a:fld id="{9E06769F-DF65-4455-B935-86347068FD89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92037DBA-C807-4300-99FE-93B7FECD8B50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in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10-23A7-4C66-8E2A-F0BEEF04415F}"/>
                      </c:ext>
                    </c:extLst>
                  </c:dLbl>
                  <c:dLbl>
                    <c:idx val="6"/>
                    <c:tx>
                      <c:rich>
                        <a:bodyPr/>
                        <a:lstStyle/>
                        <a:p>
                          <a:fld id="{5A8AC269-D2AB-470C-9941-D6B0181B9AA3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3C0C6AF2-C032-4150-8E10-818FC5260CA1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in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12-23A7-4C66-8E2A-F0BEEF04415F}"/>
                      </c:ext>
                    </c:extLst>
                  </c:dLbl>
                  <c:dLbl>
                    <c:idx val="7"/>
                    <c:tx>
                      <c:rich>
                        <a:bodyPr/>
                        <a:lstStyle/>
                        <a:p>
                          <a:fld id="{083A8C6C-E27D-45D0-BB01-B914CDDBF961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F0D844CA-669C-4636-B5C8-74C3F7893F2C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in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0-A110-48BC-8700-1780898B75F4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in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eparator>
</c:separator>
                  <c:showLeaderLines val="0"/>
                  <c:extLst>
                    <c:ext uri="{CE6537A1-D6FC-4f65-9D91-7224C49458BB}">
                      <c15:showDataLabelsRange val="1"/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2'!$B$179:$B$187</c15:sqref>
                        </c15:fullRef>
                        <c15:formulaRef>
                          <c15:sqref>'Hoja 2'!$B$180:$B$187</c15:sqref>
                        </c15:formulaRef>
                      </c:ext>
                    </c:extLst>
                    <c:strCache>
                      <c:ptCount val="8"/>
                      <c:pt idx="0">
                        <c:v>0 - 1,1</c:v>
                      </c:pt>
                      <c:pt idx="1">
                        <c:v>1,2 - 2</c:v>
                      </c:pt>
                      <c:pt idx="2">
                        <c:v>2,1 - 5</c:v>
                      </c:pt>
                      <c:pt idx="3">
                        <c:v>5,1 - 10</c:v>
                      </c:pt>
                      <c:pt idx="4">
                        <c:v>10,1 - 20</c:v>
                      </c:pt>
                      <c:pt idx="5">
                        <c:v>20,1 - 30</c:v>
                      </c:pt>
                      <c:pt idx="6">
                        <c:v>30,1 - 50</c:v>
                      </c:pt>
                      <c:pt idx="7">
                        <c:v>&gt; 50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2'!$D$179:$D$187</c15:sqref>
                        </c15:fullRef>
                        <c15:formulaRef>
                          <c15:sqref>'Hoja 2'!$D$180:$D$187</c15:sqref>
                        </c15:formulaRef>
                      </c:ext>
                    </c:extLst>
                    <c:numCache>
                      <c:formatCode>0.00%</c:formatCode>
                      <c:ptCount val="8"/>
                      <c:pt idx="0">
                        <c:v>0.12162162162162163</c:v>
                      </c:pt>
                      <c:pt idx="1">
                        <c:v>0.18243243243243243</c:v>
                      </c:pt>
                      <c:pt idx="2">
                        <c:v>0.33108108108108109</c:v>
                      </c:pt>
                      <c:pt idx="3">
                        <c:v>0.1891891891891892</c:v>
                      </c:pt>
                      <c:pt idx="4">
                        <c:v>9.45945945945946E-2</c:v>
                      </c:pt>
                      <c:pt idx="5">
                        <c:v>2.0270270270270271E-2</c:v>
                      </c:pt>
                      <c:pt idx="6">
                        <c:v>0</c:v>
                      </c:pt>
                      <c:pt idx="7">
                        <c:v>6.0810810810810814E-2</c:v>
                      </c:pt>
                    </c:numCache>
                  </c:numRef>
                </c:val>
                <c:extLst>
                  <c:ext uri="{02D57815-91ED-43cb-92C2-25804820EDAC}">
                    <c15:datalabelsRange>
                      <c15:f>'Hoja 2'!$D$180:$D$187</c15:f>
                      <c15:dlblRangeCache>
                        <c:ptCount val="8"/>
                        <c:pt idx="0">
                          <c:v>12,16%</c:v>
                        </c:pt>
                        <c:pt idx="1">
                          <c:v>18,24%</c:v>
                        </c:pt>
                        <c:pt idx="2">
                          <c:v>33,11%</c:v>
                        </c:pt>
                        <c:pt idx="3">
                          <c:v>18,92%</c:v>
                        </c:pt>
                        <c:pt idx="4">
                          <c:v>9,46%</c:v>
                        </c:pt>
                        <c:pt idx="5">
                          <c:v>2,03%</c:v>
                        </c:pt>
                        <c:pt idx="6">
                          <c:v>0,00%</c:v>
                        </c:pt>
                        <c:pt idx="7">
                          <c:v>6,08%</c:v>
                        </c:pt>
                      </c15:dlblRangeCache>
                    </c15:datalabelsRange>
                  </c:ext>
                  <c:ext xmlns:c16="http://schemas.microsoft.com/office/drawing/2014/chart" uri="{C3380CC4-5D6E-409C-BE32-E72D297353CC}">
                    <c16:uniqueId val="{00000001-23A7-4C66-8E2A-F0BEEF04415F}"/>
                  </c:ext>
                </c:extLst>
              </c15:ser>
            </c15:filteredBarSeries>
          </c:ext>
        </c:extLst>
      </c:barChart>
      <c:catAx>
        <c:axId val="418231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es-CO"/>
          </a:p>
        </c:txPr>
        <c:crossAx val="418219264"/>
        <c:crosses val="autoZero"/>
        <c:auto val="1"/>
        <c:lblAlgn val="ctr"/>
        <c:lblOffset val="100"/>
        <c:noMultiLvlLbl val="0"/>
      </c:catAx>
      <c:valAx>
        <c:axId val="418219264"/>
        <c:scaling>
          <c:orientation val="minMax"/>
          <c:max val="300"/>
        </c:scaling>
        <c:delete val="1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14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crossAx val="4182314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r>
              <a:rPr lang="es-CO"/>
              <a:t>INDICE DE ENDEUDAMIENTO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>
              <a:gsLst>
                <a:gs pos="0">
                  <a:schemeClr val="accent2"/>
                </a:gs>
                <a:gs pos="100000">
                  <a:schemeClr val="accent2">
                    <a:lumMod val="84000"/>
                  </a:schemeClr>
                </a:gs>
              </a:gsLst>
              <a:lin ang="5400000" scaled="1"/>
            </a:gra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832F8CFE-4D6F-4809-9B61-3741E86E3A43}" type="CELLRANGE">
                      <a:rPr lang="en-US">
                        <a:solidFill>
                          <a:sysClr val="windowText" lastClr="000000"/>
                        </a:solidFill>
                      </a:rPr>
                      <a:pPr/>
                      <a:t>[CELLRANGE]</a:t>
                    </a:fld>
                    <a:endParaRPr lang="en-US" baseline="0">
                      <a:solidFill>
                        <a:sysClr val="windowText" lastClr="000000"/>
                      </a:solidFill>
                    </a:endParaRPr>
                  </a:p>
                  <a:p>
                    <a:fld id="{BC4A6CF9-F930-4D7A-A81F-D1697F915AC1}" type="VALUE">
                      <a:rPr lang="en-US">
                        <a:solidFill>
                          <a:sysClr val="windowText" lastClr="000000"/>
                        </a:solidFill>
                      </a:rPr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631F-45BE-8FC6-80FE63F0B051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887EDE99-E3E2-4CBB-B187-DD1801F60846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1D71CF54-3F95-40CC-A1C3-4EE5EBEC9542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631F-45BE-8FC6-80FE63F0B051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770BBEAA-E88D-4C36-B275-BD9D4F869B5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61F11656-7195-47C2-9603-BDCC36FB0744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631F-45BE-8FC6-80FE63F0B051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B562EB07-B623-429B-BF77-B107E79661F4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923B11B2-B196-4B9D-AAC3-B3785D38CA5F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631F-45BE-8FC6-80FE63F0B051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BB250E3E-DD2F-4218-9C77-F00D9FDF89D2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75E9423-E15B-420E-BF94-803212F78FD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631F-45BE-8FC6-80FE63F0B051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FB61B9A1-9F0A-433B-872A-B765BEE42937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7564202D-5114-4CF7-B19A-65BB296BE044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631F-45BE-8FC6-80FE63F0B051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9F372116-331B-475E-91A9-4C0AF5E9D72A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5A56ACCB-749E-4FD4-91ED-117463A91E03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9-631F-45BE-8FC6-80FE63F0B05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2'!$B$205:$B$212</c15:sqref>
                  </c15:fullRef>
                </c:ext>
              </c:extLst>
              <c:f>'Hoja 2'!$B$206:$B$212</c:f>
              <c:strCache>
                <c:ptCount val="7"/>
                <c:pt idx="0">
                  <c:v>0 - 15%</c:v>
                </c:pt>
                <c:pt idx="1">
                  <c:v>15,1% - 30%</c:v>
                </c:pt>
                <c:pt idx="2">
                  <c:v>30,1% - 45%</c:v>
                </c:pt>
                <c:pt idx="3">
                  <c:v>45,1% - 60%</c:v>
                </c:pt>
                <c:pt idx="4">
                  <c:v>60,1% - 75%</c:v>
                </c:pt>
                <c:pt idx="5">
                  <c:v>75,1% - 90%</c:v>
                </c:pt>
                <c:pt idx="6">
                  <c:v>&gt; 90%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2'!$C$205:$C$212</c15:sqref>
                  </c15:fullRef>
                </c:ext>
              </c:extLst>
              <c:f>'Hoja 2'!$C$206:$C$212</c:f>
              <c:numCache>
                <c:formatCode>#,##0</c:formatCode>
                <c:ptCount val="7"/>
                <c:pt idx="0">
                  <c:v>37</c:v>
                </c:pt>
                <c:pt idx="1">
                  <c:v>31</c:v>
                </c:pt>
                <c:pt idx="2">
                  <c:v>22</c:v>
                </c:pt>
                <c:pt idx="3">
                  <c:v>35</c:v>
                </c:pt>
                <c:pt idx="4">
                  <c:v>16</c:v>
                </c:pt>
                <c:pt idx="5">
                  <c:v>5</c:v>
                </c:pt>
                <c:pt idx="6">
                  <c:v>2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2'!$D$205:$D$212</c15:f>
                <c15:dlblRangeCache>
                  <c:ptCount val="8"/>
                  <c:pt idx="1">
                    <c:v>25,00%</c:v>
                  </c:pt>
                  <c:pt idx="2">
                    <c:v>20,95%</c:v>
                  </c:pt>
                  <c:pt idx="3">
                    <c:v>14,86%</c:v>
                  </c:pt>
                  <c:pt idx="4">
                    <c:v>23,65%</c:v>
                  </c:pt>
                  <c:pt idx="5">
                    <c:v>10,81%</c:v>
                  </c:pt>
                  <c:pt idx="6">
                    <c:v>3,38%</c:v>
                  </c:pt>
                  <c:pt idx="7">
                    <c:v>1,35%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ECFE-436C-BABB-1572C2D39CD2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412804888"/>
        <c:axId val="593059576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gradFill>
                    <a:gsLst>
                      <a:gs pos="0">
                        <a:schemeClr val="accent4"/>
                      </a:gs>
                      <a:gs pos="100000">
                        <a:schemeClr val="accent4">
                          <a:lumMod val="84000"/>
                        </a:schemeClr>
                      </a:gs>
                    </a:gsLst>
                    <a:lin ang="5400000" scaled="1"/>
                  </a:gradFill>
                  <a:ln>
                    <a:noFill/>
                  </a:ln>
                  <a:effectLst>
                    <a:outerShdw blurRad="76200" dir="18900000" sy="23000" kx="-1200000" algn="bl" rotWithShape="0">
                      <a:prstClr val="black">
                        <a:alpha val="20000"/>
                      </a:prstClr>
                    </a:outerShdw>
                  </a:effectLst>
                </c:spPr>
                <c:invertIfNegative val="0"/>
                <c:dLbls>
                  <c:dLbl>
                    <c:idx val="0"/>
                    <c:tx>
                      <c:rich>
                        <a:bodyPr/>
                        <a:lstStyle/>
                        <a:p>
                          <a:fld id="{51365625-DD7B-4162-8542-00A81F033E29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1410F565-0337-439B-A860-35D198FAAEE7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in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C-ECFE-436C-BABB-1572C2D39CD2}"/>
                      </c:ext>
                    </c:extLst>
                  </c:dLbl>
                  <c:dLbl>
                    <c:idx val="1"/>
                    <c:tx>
                      <c:rich>
                        <a:bodyPr/>
                        <a:lstStyle/>
                        <a:p>
                          <a:fld id="{CE035AF0-59F0-4B97-9AE9-FBE67B2F7503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13CC5D3B-1070-40C2-AC7F-47E2F37F6C68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in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D-ECFE-436C-BABB-1572C2D39CD2}"/>
                      </c:ext>
                    </c:extLst>
                  </c:dLbl>
                  <c:dLbl>
                    <c:idx val="2"/>
                    <c:tx>
                      <c:rich>
                        <a:bodyPr/>
                        <a:lstStyle/>
                        <a:p>
                          <a:fld id="{FCA0DEDD-65DE-44C2-8DC1-E56A90D16F53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9415B5C7-4946-4F63-B722-31B38C8304BB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in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E-ECFE-436C-BABB-1572C2D39CD2}"/>
                      </c:ext>
                    </c:extLst>
                  </c:dLbl>
                  <c:dLbl>
                    <c:idx val="3"/>
                    <c:tx>
                      <c:rich>
                        <a:bodyPr/>
                        <a:lstStyle/>
                        <a:p>
                          <a:fld id="{D234985F-7C5F-4431-9B92-AF6B7B20CD5C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455CCB67-DE12-4168-8E4B-B6003015E509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in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F-ECFE-436C-BABB-1572C2D39CD2}"/>
                      </c:ext>
                    </c:extLst>
                  </c:dLbl>
                  <c:dLbl>
                    <c:idx val="4"/>
                    <c:tx>
                      <c:rich>
                        <a:bodyPr/>
                        <a:lstStyle/>
                        <a:p>
                          <a:fld id="{FD80F7FA-80EA-4B13-A269-FED99789BE9F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734A1C4D-7801-457A-9415-2C05622E9BB8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in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10-ECFE-436C-BABB-1572C2D39CD2}"/>
                      </c:ext>
                    </c:extLst>
                  </c:dLbl>
                  <c:dLbl>
                    <c:idx val="5"/>
                    <c:tx>
                      <c:rich>
                        <a:bodyPr/>
                        <a:lstStyle/>
                        <a:p>
                          <a:fld id="{D238AC6A-935B-4C0B-9B54-852B65EB3E85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F6733E12-3F88-4435-9113-523286147830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in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11-ECFE-436C-BABB-1572C2D39CD2}"/>
                      </c:ext>
                    </c:extLst>
                  </c:dLbl>
                  <c:dLbl>
                    <c:idx val="6"/>
                    <c:tx>
                      <c:rich>
                        <a:bodyPr/>
                        <a:lstStyle/>
                        <a:p>
                          <a:fld id="{11B0BDDC-2068-40F7-B7CD-D61423BEAA62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51EB1C79-E0BF-4517-9D16-0D62AEC71B38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in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12-ECFE-436C-BABB-1572C2D39CD2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in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eparator>
</c:separator>
                  <c:showLeaderLines val="0"/>
                  <c:extLst>
                    <c:ext uri="{CE6537A1-D6FC-4f65-9D91-7224C49458BB}">
                      <c15:showDataLabelsRange val="1"/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2'!$B$205:$B$212</c15:sqref>
                        </c15:fullRef>
                        <c15:formulaRef>
                          <c15:sqref>'Hoja 2'!$B$206:$B$212</c15:sqref>
                        </c15:formulaRef>
                      </c:ext>
                    </c:extLst>
                    <c:strCache>
                      <c:ptCount val="7"/>
                      <c:pt idx="0">
                        <c:v>0 - 15%</c:v>
                      </c:pt>
                      <c:pt idx="1">
                        <c:v>15,1% - 30%</c:v>
                      </c:pt>
                      <c:pt idx="2">
                        <c:v>30,1% - 45%</c:v>
                      </c:pt>
                      <c:pt idx="3">
                        <c:v>45,1% - 60%</c:v>
                      </c:pt>
                      <c:pt idx="4">
                        <c:v>60,1% - 75%</c:v>
                      </c:pt>
                      <c:pt idx="5">
                        <c:v>75,1% - 90%</c:v>
                      </c:pt>
                      <c:pt idx="6">
                        <c:v>&gt; 90%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2'!$D$205:$D$212</c15:sqref>
                        </c15:fullRef>
                        <c15:formulaRef>
                          <c15:sqref>'Hoja 2'!$D$206:$D$212</c15:sqref>
                        </c15:formulaRef>
                      </c:ext>
                    </c:extLst>
                    <c:numCache>
                      <c:formatCode>0.00%</c:formatCode>
                      <c:ptCount val="7"/>
                      <c:pt idx="0">
                        <c:v>0.25</c:v>
                      </c:pt>
                      <c:pt idx="1">
                        <c:v>0.20945945945945946</c:v>
                      </c:pt>
                      <c:pt idx="2">
                        <c:v>0.14864864864864866</c:v>
                      </c:pt>
                      <c:pt idx="3">
                        <c:v>0.23648648648648649</c:v>
                      </c:pt>
                      <c:pt idx="4">
                        <c:v>0.10810810810810811</c:v>
                      </c:pt>
                      <c:pt idx="5">
                        <c:v>3.3783783783783786E-2</c:v>
                      </c:pt>
                      <c:pt idx="6">
                        <c:v>1.3513513513513514E-2</c:v>
                      </c:pt>
                    </c:numCache>
                  </c:numRef>
                </c:val>
                <c:extLst>
                  <c:ext uri="{02D57815-91ED-43cb-92C2-25804820EDAC}">
                    <c15:datalabelsRange>
                      <c15:f>'Hoja 2'!$D$205:$D$212</c15:f>
                      <c15:dlblRangeCache>
                        <c:ptCount val="8"/>
                        <c:pt idx="1">
                          <c:v>25,00%</c:v>
                        </c:pt>
                        <c:pt idx="2">
                          <c:v>20,95%</c:v>
                        </c:pt>
                        <c:pt idx="3">
                          <c:v>14,86%</c:v>
                        </c:pt>
                        <c:pt idx="4">
                          <c:v>23,65%</c:v>
                        </c:pt>
                        <c:pt idx="5">
                          <c:v>10,81%</c:v>
                        </c:pt>
                        <c:pt idx="6">
                          <c:v>3,38%</c:v>
                        </c:pt>
                        <c:pt idx="7">
                          <c:v>1,35%</c:v>
                        </c:pt>
                      </c15:dlblRangeCache>
                    </c15:datalabelsRange>
                  </c:ext>
                  <c:ext xmlns:c16="http://schemas.microsoft.com/office/drawing/2014/chart" uri="{C3380CC4-5D6E-409C-BE32-E72D297353CC}">
                    <c16:uniqueId val="{00000001-ECFE-436C-BABB-1572C2D39CD2}"/>
                  </c:ext>
                </c:extLst>
              </c15:ser>
            </c15:filteredBarSeries>
          </c:ext>
        </c:extLst>
      </c:barChart>
      <c:catAx>
        <c:axId val="4128048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es-CO"/>
          </a:p>
        </c:txPr>
        <c:crossAx val="593059576"/>
        <c:crosses val="autoZero"/>
        <c:auto val="1"/>
        <c:lblAlgn val="ctr"/>
        <c:lblOffset val="100"/>
        <c:noMultiLvlLbl val="0"/>
      </c:catAx>
      <c:valAx>
        <c:axId val="593059576"/>
        <c:scaling>
          <c:orientation val="minMax"/>
          <c:max val="200"/>
        </c:scaling>
        <c:delete val="1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crossAx val="4128048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r>
              <a:rPr lang="es-CO" b="1"/>
              <a:t>PATRIMONIO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8.7185691987819794E-2"/>
          <c:y val="0.21979249003558357"/>
          <c:w val="0.88907001918958484"/>
          <c:h val="0.64273635801161477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>
              <a:gsLst>
                <a:gs pos="0">
                  <a:schemeClr val="accent6"/>
                </a:gs>
                <a:gs pos="100000">
                  <a:schemeClr val="accent6">
                    <a:lumMod val="84000"/>
                  </a:schemeClr>
                </a:gs>
              </a:gsLst>
              <a:lin ang="5400000" scaled="1"/>
            </a:gra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30680C39-CAA6-48F3-9546-32ADF87E327D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3EBDE6E-7EF4-4C2C-9E17-05D4BFA290B1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BDCD-4DA1-ABC9-BA25ABFC7E0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796EA1D9-C801-4067-9474-461F713FCE79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14DE3EE2-518D-4BF8-A559-7061A372F802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BDCD-4DA1-ABC9-BA25ABFC7E06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497ED83-8484-4557-9540-46750340E054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14CDE6CF-1F6E-4748-A3DC-280E82E83C0E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BDCD-4DA1-ABC9-BA25ABFC7E06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8BE21BE7-B649-47C5-AF12-287F7E00DE7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9B712F3D-6328-477A-8348-1E00F86763C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BDCD-4DA1-ABC9-BA25ABFC7E06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D3C52CDB-4D81-4758-B03F-0FB09D874EEB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93B019FE-5C09-442E-8777-5DA7B25E1D1A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BDCD-4DA1-ABC9-BA25ABFC7E0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2'!$B$220:$B$226</c15:sqref>
                  </c15:fullRef>
                </c:ext>
              </c:extLst>
              <c:f>'Hoja 2'!$B$221:$B$225</c:f>
              <c:strCache>
                <c:ptCount val="5"/>
                <c:pt idx="0">
                  <c:v>&lt; 0</c:v>
                </c:pt>
                <c:pt idx="1">
                  <c:v> = 0</c:v>
                </c:pt>
                <c:pt idx="2">
                  <c:v>0 - $10m</c:v>
                </c:pt>
                <c:pt idx="3">
                  <c:v>$10m - $100m</c:v>
                </c:pt>
                <c:pt idx="4">
                  <c:v>&gt; $100m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2'!$C$220:$C$226</c15:sqref>
                  </c15:fullRef>
                </c:ext>
              </c:extLst>
              <c:f>'Hoja 2'!$C$221:$C$225</c:f>
              <c:numCache>
                <c:formatCode>#,##0</c:formatCode>
                <c:ptCount val="5"/>
                <c:pt idx="0">
                  <c:v>2</c:v>
                </c:pt>
                <c:pt idx="1">
                  <c:v>0</c:v>
                </c:pt>
                <c:pt idx="2">
                  <c:v>102</c:v>
                </c:pt>
                <c:pt idx="3">
                  <c:v>43</c:v>
                </c:pt>
                <c:pt idx="4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2'!$D$220:$D$225</c15:f>
                <c15:dlblRangeCache>
                  <c:ptCount val="6"/>
                  <c:pt idx="1">
                    <c:v>1,35%</c:v>
                  </c:pt>
                  <c:pt idx="2">
                    <c:v>0,00%</c:v>
                  </c:pt>
                  <c:pt idx="3">
                    <c:v>68,92%</c:v>
                  </c:pt>
                  <c:pt idx="4">
                    <c:v>29,05%</c:v>
                  </c:pt>
                  <c:pt idx="5">
                    <c:v>0,68%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9673-41DD-AF5F-1B756E890014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415189256"/>
        <c:axId val="415188600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gradFill>
                    <a:gsLst>
                      <a:gs pos="0">
                        <a:schemeClr val="accent5"/>
                      </a:gs>
                      <a:gs pos="100000">
                        <a:schemeClr val="accent5">
                          <a:lumMod val="84000"/>
                        </a:schemeClr>
                      </a:gs>
                    </a:gsLst>
                    <a:lin ang="5400000" scaled="1"/>
                  </a:gradFill>
                  <a:ln>
                    <a:noFill/>
                  </a:ln>
                  <a:effectLst>
                    <a:outerShdw blurRad="76200" dir="18900000" sy="23000" kx="-1200000" algn="bl" rotWithShape="0">
                      <a:prstClr val="black">
                        <a:alpha val="20000"/>
                      </a:prstClr>
                    </a:outerShdw>
                  </a:effectLst>
                </c:spPr>
                <c:invertIfNegative val="0"/>
                <c:dLbls>
                  <c:dLbl>
                    <c:idx val="0"/>
                    <c:tx>
                      <c:rich>
                        <a:bodyPr/>
                        <a:lstStyle/>
                        <a:p>
                          <a:fld id="{7AC646B4-B3F8-4564-ACC8-A82512C329B1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B6594584-038C-4C13-A4DF-3457D801C8C6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in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4-9673-41DD-AF5F-1B756E890014}"/>
                      </c:ext>
                    </c:extLst>
                  </c:dLbl>
                  <c:dLbl>
                    <c:idx val="1"/>
                    <c:tx>
                      <c:rich>
                        <a:bodyPr/>
                        <a:lstStyle/>
                        <a:p>
                          <a:fld id="{1BEE93F4-3FF3-4378-BB15-069AD66D184A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9D5910C9-92A1-4D43-A1C7-958BF38D5B07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in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5-9673-41DD-AF5F-1B756E890014}"/>
                      </c:ext>
                    </c:extLst>
                  </c:dLbl>
                  <c:dLbl>
                    <c:idx val="2"/>
                    <c:tx>
                      <c:rich>
                        <a:bodyPr/>
                        <a:lstStyle/>
                        <a:p>
                          <a:fld id="{6AC896A1-B7F0-4EAE-8E41-71935832C1A5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6CF61E08-9859-4B0B-A8CD-18F2CE359E3B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in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6-9673-41DD-AF5F-1B756E890014}"/>
                      </c:ext>
                    </c:extLst>
                  </c:dLbl>
                  <c:dLbl>
                    <c:idx val="3"/>
                    <c:tx>
                      <c:rich>
                        <a:bodyPr/>
                        <a:lstStyle/>
                        <a:p>
                          <a:fld id="{BB27C575-385D-468A-BFDC-5F3C95803387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CCA0BC64-3449-4789-8416-E797C3C8EC1F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in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7-9673-41DD-AF5F-1B756E890014}"/>
                      </c:ext>
                    </c:extLst>
                  </c:dLbl>
                  <c:dLbl>
                    <c:idx val="4"/>
                    <c:tx>
                      <c:rich>
                        <a:bodyPr/>
                        <a:lstStyle/>
                        <a:p>
                          <a:fld id="{C0B5B9BB-D288-47EA-B8FA-70BCEBC6A265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in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8-9673-41DD-AF5F-1B756E890014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in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eparator>
</c:separator>
                  <c:showLeaderLines val="0"/>
                  <c:extLst>
                    <c:ext uri="{CE6537A1-D6FC-4f65-9D91-7224C49458BB}">
                      <c15:showDataLabelsRange val="1"/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2'!$B$220:$B$226</c15:sqref>
                        </c15:fullRef>
                        <c15:formulaRef>
                          <c15:sqref>'Hoja 2'!$B$221:$B$225</c15:sqref>
                        </c15:formulaRef>
                      </c:ext>
                    </c:extLst>
                    <c:strCache>
                      <c:ptCount val="5"/>
                      <c:pt idx="0">
                        <c:v>&lt; 0</c:v>
                      </c:pt>
                      <c:pt idx="1">
                        <c:v> = 0</c:v>
                      </c:pt>
                      <c:pt idx="2">
                        <c:v>0 - $10m</c:v>
                      </c:pt>
                      <c:pt idx="3">
                        <c:v>$10m - $100m</c:v>
                      </c:pt>
                      <c:pt idx="4">
                        <c:v>&gt; $100m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2'!$D$220:$D$226</c15:sqref>
                        </c15:fullRef>
                        <c15:formulaRef>
                          <c15:sqref>'Hoja 2'!$D$221:$D$225</c15:sqref>
                        </c15:formulaRef>
                      </c:ext>
                    </c:extLst>
                    <c:numCache>
                      <c:formatCode>0.00%</c:formatCode>
                      <c:ptCount val="5"/>
                      <c:pt idx="0">
                        <c:v>1.3513513513513514E-2</c:v>
                      </c:pt>
                      <c:pt idx="1">
                        <c:v>0</c:v>
                      </c:pt>
                      <c:pt idx="2">
                        <c:v>0.68918918918918914</c:v>
                      </c:pt>
                      <c:pt idx="3">
                        <c:v>0.29054054054054052</c:v>
                      </c:pt>
                      <c:pt idx="4">
                        <c:v>6.7567567567567571E-3</c:v>
                      </c:pt>
                    </c:numCache>
                  </c:numRef>
                </c:val>
                <c:extLst>
                  <c:ext uri="{02D57815-91ED-43cb-92C2-25804820EDAC}">
                    <c15:datalabelsRange>
                      <c15:f>'Hoja 2'!$D$221:$D$225</c15:f>
                      <c15:dlblRangeCache>
                        <c:ptCount val="5"/>
                        <c:pt idx="0">
                          <c:v>1,35%</c:v>
                        </c:pt>
                        <c:pt idx="1">
                          <c:v>0,00%</c:v>
                        </c:pt>
                        <c:pt idx="2">
                          <c:v>68,92%</c:v>
                        </c:pt>
                        <c:pt idx="3">
                          <c:v>29,05%</c:v>
                        </c:pt>
                        <c:pt idx="4">
                          <c:v>0,68%</c:v>
                        </c:pt>
                      </c15:dlblRangeCache>
                    </c15:datalabelsRange>
                  </c:ext>
                  <c:ext xmlns:c16="http://schemas.microsoft.com/office/drawing/2014/chart" uri="{C3380CC4-5D6E-409C-BE32-E72D297353CC}">
                    <c16:uniqueId val="{00000001-9673-41DD-AF5F-1B756E890014}"/>
                  </c:ext>
                </c:extLst>
              </c15:ser>
            </c15:filteredBarSeries>
          </c:ext>
        </c:extLst>
      </c:barChart>
      <c:catAx>
        <c:axId val="4151892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es-CO"/>
          </a:p>
        </c:txPr>
        <c:crossAx val="415188600"/>
        <c:crosses val="autoZero"/>
        <c:auto val="1"/>
        <c:lblAlgn val="ctr"/>
        <c:lblOffset val="100"/>
        <c:noMultiLvlLbl val="0"/>
      </c:catAx>
      <c:valAx>
        <c:axId val="415188600"/>
        <c:scaling>
          <c:orientation val="minMax"/>
          <c:max val="250"/>
        </c:scaling>
        <c:delete val="1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crossAx val="4151892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r>
              <a:rPr lang="es-CO" b="1"/>
              <a:t>CAPITAL DE TRABAJO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>
              <a:gsLst>
                <a:gs pos="0">
                  <a:schemeClr val="accent1"/>
                </a:gs>
                <a:gs pos="100000">
                  <a:schemeClr val="accent1">
                    <a:lumMod val="84000"/>
                  </a:schemeClr>
                </a:gs>
              </a:gsLst>
              <a:lin ang="5400000" scaled="1"/>
            </a:gra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281FA0B4-0E91-4A49-9391-78B8917BAA06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464171A1-3113-4F22-B401-E55BC09BA3A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2C4F-4D1C-BD03-0B5AC645AD61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808179B5-D4DD-499D-B8EB-608AF7E46B3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00C1B498-7CB3-47AC-AC3E-4D486A75C89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2C4F-4D1C-BD03-0B5AC645AD61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18600481-85DE-435E-A524-A8055AE6125C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83B3A256-02C8-4820-8ECA-5CFA4BDCE39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2C4F-4D1C-BD03-0B5AC645AD6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2'!$B$194:$B$197</c15:sqref>
                  </c15:fullRef>
                </c:ext>
              </c:extLst>
              <c:f>'Hoja 2'!$B$195:$B$197</c:f>
              <c:strCache>
                <c:ptCount val="3"/>
                <c:pt idx="0">
                  <c:v>&lt; 0</c:v>
                </c:pt>
                <c:pt idx="1">
                  <c:v> = 0</c:v>
                </c:pt>
                <c:pt idx="2">
                  <c:v>&gt; 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2'!$C$194:$C$197</c15:sqref>
                  </c15:fullRef>
                </c:ext>
              </c:extLst>
              <c:f>'Hoja 2'!$C$195:$C$197</c:f>
              <c:numCache>
                <c:formatCode>#,##0</c:formatCode>
                <c:ptCount val="3"/>
                <c:pt idx="0">
                  <c:v>9</c:v>
                </c:pt>
                <c:pt idx="1">
                  <c:v>0</c:v>
                </c:pt>
                <c:pt idx="2">
                  <c:v>139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2'!$D$194:$D$197</c15:f>
                <c15:dlblRangeCache>
                  <c:ptCount val="4"/>
                  <c:pt idx="1">
                    <c:v>6,08%</c:v>
                  </c:pt>
                  <c:pt idx="2">
                    <c:v>0,00%</c:v>
                  </c:pt>
                  <c:pt idx="3">
                    <c:v>93,92%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2C4F-4D1C-BD03-0B5AC645AD61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412022392"/>
        <c:axId val="412015176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gradFill>
                    <a:gsLst>
                      <a:gs pos="0">
                        <a:schemeClr val="accent2"/>
                      </a:gs>
                      <a:gs pos="100000">
                        <a:schemeClr val="accent2">
                          <a:lumMod val="84000"/>
                        </a:schemeClr>
                      </a:gs>
                    </a:gsLst>
                    <a:lin ang="5400000" scaled="1"/>
                  </a:gradFill>
                  <a:ln>
                    <a:noFill/>
                  </a:ln>
                  <a:effectLst>
                    <a:outerShdw blurRad="76200" dir="18900000" sy="23000" kx="-1200000" algn="bl" rotWithShape="0">
                      <a:prstClr val="black">
                        <a:alpha val="20000"/>
                      </a:prstClr>
                    </a:outerShdw>
                  </a:effectLst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in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2'!$B$194:$B$197</c15:sqref>
                        </c15:fullRef>
                        <c15:formulaRef>
                          <c15:sqref>'Hoja 2'!$B$195:$B$197</c15:sqref>
                        </c15:formulaRef>
                      </c:ext>
                    </c:extLst>
                    <c:strCache>
                      <c:ptCount val="3"/>
                      <c:pt idx="0">
                        <c:v>&lt; 0</c:v>
                      </c:pt>
                      <c:pt idx="1">
                        <c:v> = 0</c:v>
                      </c:pt>
                      <c:pt idx="2">
                        <c:v>&gt; 0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2'!$D$194:$D$197</c15:sqref>
                        </c15:fullRef>
                        <c15:formulaRef>
                          <c15:sqref>'Hoja 2'!$D$195:$D$197</c15:sqref>
                        </c15:formulaRef>
                      </c:ext>
                    </c:extLst>
                    <c:numCache>
                      <c:formatCode>0.00%</c:formatCode>
                      <c:ptCount val="3"/>
                      <c:pt idx="0">
                        <c:v>6.0810810810810814E-2</c:v>
                      </c:pt>
                      <c:pt idx="1">
                        <c:v>0</c:v>
                      </c:pt>
                      <c:pt idx="2">
                        <c:v>0.93918918918918914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2C4F-4D1C-BD03-0B5AC645AD61}"/>
                  </c:ext>
                </c:extLst>
              </c15:ser>
            </c15:filteredBarSeries>
          </c:ext>
        </c:extLst>
      </c:barChart>
      <c:catAx>
        <c:axId val="412022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es-CO"/>
          </a:p>
        </c:txPr>
        <c:crossAx val="412015176"/>
        <c:crosses val="autoZero"/>
        <c:auto val="1"/>
        <c:lblAlgn val="ctr"/>
        <c:lblOffset val="100"/>
        <c:noMultiLvlLbl val="0"/>
      </c:catAx>
      <c:valAx>
        <c:axId val="412015176"/>
        <c:scaling>
          <c:orientation val="minMax"/>
          <c:max val="400"/>
        </c:scaling>
        <c:delete val="1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crossAx val="4120223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r>
              <a:rPr lang="es-CO"/>
              <a:t>COBERTURA DE INTERESES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>
              <a:gsLst>
                <a:gs pos="0">
                  <a:schemeClr val="accent2"/>
                </a:gs>
                <a:gs pos="100000">
                  <a:schemeClr val="accent2">
                    <a:lumMod val="84000"/>
                  </a:schemeClr>
                </a:gs>
              </a:gsLst>
              <a:lin ang="5400000" scaled="1"/>
            </a:gra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0BE4AFD1-26B5-4ECD-AC73-E662CDD245CE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7224DE8D-CFD3-4022-A478-AFE1EB279B21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1CF0-42AA-AB71-ECE75DBCE1AA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71239CAF-AD27-4B9C-A1EB-8887B0F417E0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2D5F0A36-2F8A-4460-BB49-6F8AE7AD753F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1CF0-42AA-AB71-ECE75DBCE1AA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CEC0DEA2-55A2-4202-B552-6CB6613A2C16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10C1829-6769-41C8-A222-872CAF4C6F02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1CF0-42AA-AB71-ECE75DBCE1AA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1FE7B392-A659-4343-BADA-BCC06395085F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CFC92F78-9512-4455-8051-B55847E35322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1CF0-42AA-AB71-ECE75DBCE1AA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C4BEF774-38C8-49E1-8E1D-286C41AFC667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2F62288A-3B35-46C5-9E97-48EA01ECCC77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1CF0-42AA-AB71-ECE75DBCE1AA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E61D4111-F7AC-47C3-A872-C05E8E707C9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038A747C-18AC-4843-BACE-9290225D8E28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9-1CF0-42AA-AB71-ECE75DBCE1A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2'!$B$233:$B$240</c15:sqref>
                  </c15:fullRef>
                </c:ext>
              </c:extLst>
              <c:f>'Hoja 2'!$B$235:$B$240</c:f>
              <c:strCache>
                <c:ptCount val="6"/>
                <c:pt idx="0">
                  <c:v>&lt; 0</c:v>
                </c:pt>
                <c:pt idx="1">
                  <c:v>0 - 1</c:v>
                </c:pt>
                <c:pt idx="2">
                  <c:v>1,1 - 2</c:v>
                </c:pt>
                <c:pt idx="3">
                  <c:v>2,1 - 4</c:v>
                </c:pt>
                <c:pt idx="4">
                  <c:v>4,1 - 6</c:v>
                </c:pt>
                <c:pt idx="5">
                  <c:v>&gt; 6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2'!$C$233:$C$240</c15:sqref>
                  </c15:fullRef>
                </c:ext>
              </c:extLst>
              <c:f>'Hoja 2'!$C$235:$C$240</c:f>
              <c:numCache>
                <c:formatCode>#,##0</c:formatCode>
                <c:ptCount val="6"/>
                <c:pt idx="0">
                  <c:v>8</c:v>
                </c:pt>
                <c:pt idx="1">
                  <c:v>5</c:v>
                </c:pt>
                <c:pt idx="2">
                  <c:v>11</c:v>
                </c:pt>
                <c:pt idx="3">
                  <c:v>8</c:v>
                </c:pt>
                <c:pt idx="4">
                  <c:v>11</c:v>
                </c:pt>
                <c:pt idx="5">
                  <c:v>105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2'!$D$233:$D$240</c15:f>
                <c15:dlblRangeCache>
                  <c:ptCount val="8"/>
                  <c:pt idx="1">
                    <c:v>0,00%</c:v>
                  </c:pt>
                  <c:pt idx="2">
                    <c:v>5,41%</c:v>
                  </c:pt>
                  <c:pt idx="3">
                    <c:v>3,38%</c:v>
                  </c:pt>
                  <c:pt idx="4">
                    <c:v>7,43%</c:v>
                  </c:pt>
                  <c:pt idx="5">
                    <c:v>5,41%</c:v>
                  </c:pt>
                  <c:pt idx="6">
                    <c:v>7,43%</c:v>
                  </c:pt>
                  <c:pt idx="7">
                    <c:v>70,95%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1CF0-42AA-AB71-ECE75DBCE1AA}"/>
            </c:ext>
          </c:extLst>
        </c:ser>
        <c:ser>
          <c:idx val="1"/>
          <c:order val="1"/>
          <c:spPr>
            <a:gradFill>
              <a:gsLst>
                <a:gs pos="0">
                  <a:schemeClr val="accent4"/>
                </a:gs>
                <a:gs pos="100000">
                  <a:schemeClr val="accent4">
                    <a:lumMod val="84000"/>
                  </a:schemeClr>
                </a:gs>
              </a:gsLst>
              <a:lin ang="5400000" scaled="1"/>
            </a:gra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B1489D0E-B5DA-44EE-AA57-79A6C0BD3937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6A313FB5-8B67-4EE7-BD19-49CBD4BAD8BD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 xmlns:c15="http://schemas.microsoft.com/office/drawing/2012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C-1CF0-42AA-AB71-ECE75DBCE1AA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D3213A3F-21F4-453A-BF76-9F2A701BA52D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6D342DED-B6BF-4888-BCE5-66114F47F161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 xmlns:c15="http://schemas.microsoft.com/office/drawing/2012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D-1CF0-42AA-AB71-ECE75DBCE1AA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57B99DCF-5A09-4501-A98F-2293D317A84D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A85D30B2-333B-40EF-A201-8F0B0F1F1DD7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 xmlns:c15="http://schemas.microsoft.com/office/drawing/2012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E-1CF0-42AA-AB71-ECE75DBCE1AA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50BDB722-EDED-4662-8273-1D3895F78438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982A1DD6-4B37-4760-8B92-53EB36FCEFF9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 xmlns:c15="http://schemas.microsoft.com/office/drawing/2012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F-1CF0-42AA-AB71-ECE75DBCE1AA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6113D7B5-7824-4C51-89E3-7698730BD430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961E1118-55EE-488A-9F9E-26FD37A4A940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 xmlns:c15="http://schemas.microsoft.com/office/drawing/2012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0-1CF0-42AA-AB71-ECE75DBCE1AA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456B2BB1-6095-4A49-981D-84FE09E9F1C2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563C0E69-5A4D-489A-9C93-D4869D9A0949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 xmlns:c15="http://schemas.microsoft.com/office/drawing/2012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1-1CF0-42AA-AB71-ECE75DBCE1A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600" b="1" i="0" u="none" strike="noStrike" kern="1200" baseline="0">
                    <a:solidFill>
                      <a:srgbClr val="0070C0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 xmlns:c15="http://schemas.microsoft.com/office/drawing/2012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2'!$B$233:$B$240</c15:sqref>
                  </c15:fullRef>
                </c:ext>
              </c:extLst>
              <c:f>'Hoja 2'!$B$235:$B$240</c:f>
              <c:strCache>
                <c:ptCount val="6"/>
                <c:pt idx="0">
                  <c:v>&lt; 0</c:v>
                </c:pt>
                <c:pt idx="1">
                  <c:v>0 - 1</c:v>
                </c:pt>
                <c:pt idx="2">
                  <c:v>1,1 - 2</c:v>
                </c:pt>
                <c:pt idx="3">
                  <c:v>2,1 - 4</c:v>
                </c:pt>
                <c:pt idx="4">
                  <c:v>4,1 - 6</c:v>
                </c:pt>
                <c:pt idx="5">
                  <c:v>&gt; 6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2'!$D$233:$D$240</c15:sqref>
                  </c15:fullRef>
                </c:ext>
              </c:extLst>
              <c:f>'Hoja 2'!$D$235:$D$240</c:f>
              <c:numCache>
                <c:formatCode>0.00%</c:formatCode>
                <c:ptCount val="6"/>
                <c:pt idx="0">
                  <c:v>5.4054054054054057E-2</c:v>
                </c:pt>
                <c:pt idx="1">
                  <c:v>3.3783783783783786E-2</c:v>
                </c:pt>
                <c:pt idx="2">
                  <c:v>7.4324324324324328E-2</c:v>
                </c:pt>
                <c:pt idx="3">
                  <c:v>5.4054054054054057E-2</c:v>
                </c:pt>
                <c:pt idx="4">
                  <c:v>7.4324324324324328E-2</c:v>
                </c:pt>
                <c:pt idx="5">
                  <c:v>0.70945945945945943</c:v>
                </c:pt>
              </c:numCache>
            </c:numRef>
          </c:val>
          <c:extLst xmlns:c15="http://schemas.microsoft.com/office/drawing/2012/chart">
            <c:ext xmlns:c15="http://schemas.microsoft.com/office/drawing/2012/chart" uri="{02D57815-91ED-43cb-92C2-25804820EDAC}">
              <c15:datalabelsRange>
                <c15:f>'Hoja 2'!$D$233:$D$240</c15:f>
                <c15:dlblRangeCache>
                  <c:ptCount val="8"/>
                  <c:pt idx="1">
                    <c:v>0,00%</c:v>
                  </c:pt>
                  <c:pt idx="2">
                    <c:v>5,41%</c:v>
                  </c:pt>
                  <c:pt idx="3">
                    <c:v>3,38%</c:v>
                  </c:pt>
                  <c:pt idx="4">
                    <c:v>7,43%</c:v>
                  </c:pt>
                  <c:pt idx="5">
                    <c:v>5,41%</c:v>
                  </c:pt>
                  <c:pt idx="6">
                    <c:v>7,43%</c:v>
                  </c:pt>
                  <c:pt idx="7">
                    <c:v>70,95%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1-1CF0-42AA-AB71-ECE75DBCE1AA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572577680"/>
        <c:axId val="572578008"/>
        <c:extLst/>
      </c:barChart>
      <c:catAx>
        <c:axId val="572577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es-CO"/>
          </a:p>
        </c:txPr>
        <c:crossAx val="572578008"/>
        <c:crosses val="autoZero"/>
        <c:auto val="1"/>
        <c:lblAlgn val="ctr"/>
        <c:lblOffset val="100"/>
        <c:noMultiLvlLbl val="0"/>
      </c:catAx>
      <c:valAx>
        <c:axId val="572578008"/>
        <c:scaling>
          <c:orientation val="minMax"/>
          <c:max val="350"/>
        </c:scaling>
        <c:delete val="1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crossAx val="5725776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r>
              <a:rPr lang="es-CO"/>
              <a:t>RENTABILIDAD SOBRE ACTIVOS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10426451410554813"/>
          <c:y val="0.16648508430609602"/>
          <c:w val="0.87267468924874958"/>
          <c:h val="0.68722040095182657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>
              <a:gsLst>
                <a:gs pos="0">
                  <a:schemeClr val="accent1"/>
                </a:gs>
                <a:gs pos="100000">
                  <a:schemeClr val="accent1">
                    <a:lumMod val="84000"/>
                  </a:schemeClr>
                </a:gs>
              </a:gsLst>
              <a:lin ang="5400000" scaled="1"/>
            </a:gra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CACD8CE1-A9BA-41E1-AB24-5276FF5CA36D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FC4CBB2B-1330-421A-8A83-05FFF74B9674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ACC5-47A8-BD50-65DFF1850539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E5E6B1B0-BA07-41B4-884F-3A1383AD8833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786A9222-84A4-4ACC-826F-385B75AE2D70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ACC5-47A8-BD50-65DFF1850539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C0AA167-D38F-4A80-B389-A2D13D1536F5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A90EBCC5-41C2-4725-872C-E8923A8F1A7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ACC5-47A8-BD50-65DFF1850539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98ACAE4A-5608-4A77-AEEF-29D780DC4F27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5560BDC-8336-432A-ACAD-8B3B82504E19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ACC5-47A8-BD50-65DFF1850539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13CD4EE4-CBAD-4DA4-9A0A-1556FB9EFDC2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81FC2921-3FE2-4E7E-90EE-435FC2B3B6D1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ACC5-47A8-BD50-65DFF1850539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CEF326BC-D108-48B8-9254-43524C7BAD83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B1836E51-C8CE-453E-A49A-B7D5FDE15DCA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ACC5-47A8-BD50-65DFF1850539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A6E0AEFD-5EA4-4CE5-9E1E-1EA669ACED79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F3FA302D-7552-4A21-B13C-B485FC64DEB7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9-ACC5-47A8-BD50-65DFF185053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2'!$B$247:$B$254</c15:sqref>
                  </c15:fullRef>
                </c:ext>
              </c:extLst>
              <c:f>'Hoja 2'!$B$248:$B$254</c:f>
              <c:strCache>
                <c:ptCount val="7"/>
                <c:pt idx="0">
                  <c:v>&lt; 0</c:v>
                </c:pt>
                <c:pt idx="1">
                  <c:v> = 0</c:v>
                </c:pt>
                <c:pt idx="2">
                  <c:v>0 - 1</c:v>
                </c:pt>
                <c:pt idx="3">
                  <c:v>1,1 - 2</c:v>
                </c:pt>
                <c:pt idx="4">
                  <c:v>2,1 - 3</c:v>
                </c:pt>
                <c:pt idx="5">
                  <c:v>3,1 - 4</c:v>
                </c:pt>
                <c:pt idx="6">
                  <c:v>&gt; 4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2'!$C$247:$C$254</c15:sqref>
                  </c15:fullRef>
                </c:ext>
              </c:extLst>
              <c:f>'Hoja 2'!$C$248:$C$254</c:f>
              <c:numCache>
                <c:formatCode>#,##0</c:formatCode>
                <c:ptCount val="7"/>
                <c:pt idx="0">
                  <c:v>15</c:v>
                </c:pt>
                <c:pt idx="1">
                  <c:v>9</c:v>
                </c:pt>
                <c:pt idx="2">
                  <c:v>8</c:v>
                </c:pt>
                <c:pt idx="3">
                  <c:v>3</c:v>
                </c:pt>
                <c:pt idx="4">
                  <c:v>8</c:v>
                </c:pt>
                <c:pt idx="5">
                  <c:v>11</c:v>
                </c:pt>
                <c:pt idx="6">
                  <c:v>94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2'!$D$247:$D$254</c15:f>
                <c15:dlblRangeCache>
                  <c:ptCount val="8"/>
                  <c:pt idx="1">
                    <c:v>10,14%</c:v>
                  </c:pt>
                  <c:pt idx="2">
                    <c:v>6,08%</c:v>
                  </c:pt>
                  <c:pt idx="3">
                    <c:v>5,41%</c:v>
                  </c:pt>
                  <c:pt idx="4">
                    <c:v>2,03%</c:v>
                  </c:pt>
                  <c:pt idx="5">
                    <c:v>5,41%</c:v>
                  </c:pt>
                  <c:pt idx="6">
                    <c:v>7,43%</c:v>
                  </c:pt>
                  <c:pt idx="7">
                    <c:v>63,51%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ACC5-47A8-BD50-65DFF1850539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571986944"/>
        <c:axId val="571988584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gradFill>
                    <a:gsLst>
                      <a:gs pos="0">
                        <a:schemeClr val="accent2"/>
                      </a:gs>
                      <a:gs pos="100000">
                        <a:schemeClr val="accent2">
                          <a:lumMod val="84000"/>
                        </a:schemeClr>
                      </a:gs>
                    </a:gsLst>
                    <a:lin ang="5400000" scaled="1"/>
                  </a:gradFill>
                  <a:ln>
                    <a:noFill/>
                  </a:ln>
                  <a:effectLst>
                    <a:outerShdw blurRad="76200" dir="18900000" sy="23000" kx="-1200000" algn="bl" rotWithShape="0">
                      <a:prstClr val="black">
                        <a:alpha val="20000"/>
                      </a:prstClr>
                    </a:outerShdw>
                  </a:effectLst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in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2'!$B$247:$B$254</c15:sqref>
                        </c15:fullRef>
                        <c15:formulaRef>
                          <c15:sqref>'Hoja 2'!$B$248:$B$254</c15:sqref>
                        </c15:formulaRef>
                      </c:ext>
                    </c:extLst>
                    <c:strCache>
                      <c:ptCount val="7"/>
                      <c:pt idx="0">
                        <c:v>&lt; 0</c:v>
                      </c:pt>
                      <c:pt idx="1">
                        <c:v> = 0</c:v>
                      </c:pt>
                      <c:pt idx="2">
                        <c:v>0 - 1</c:v>
                      </c:pt>
                      <c:pt idx="3">
                        <c:v>1,1 - 2</c:v>
                      </c:pt>
                      <c:pt idx="4">
                        <c:v>2,1 - 3</c:v>
                      </c:pt>
                      <c:pt idx="5">
                        <c:v>3,1 - 4</c:v>
                      </c:pt>
                      <c:pt idx="6">
                        <c:v>&gt; 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2'!$D$247:$D$254</c15:sqref>
                        </c15:fullRef>
                        <c15:formulaRef>
                          <c15:sqref>'Hoja 2'!$D$248:$D$254</c15:sqref>
                        </c15:formulaRef>
                      </c:ext>
                    </c:extLst>
                    <c:numCache>
                      <c:formatCode>0.00%</c:formatCode>
                      <c:ptCount val="7"/>
                      <c:pt idx="0">
                        <c:v>0.10135135135135136</c:v>
                      </c:pt>
                      <c:pt idx="1">
                        <c:v>6.0810810810810814E-2</c:v>
                      </c:pt>
                      <c:pt idx="2">
                        <c:v>5.4054054054054057E-2</c:v>
                      </c:pt>
                      <c:pt idx="3">
                        <c:v>2.0270270270270271E-2</c:v>
                      </c:pt>
                      <c:pt idx="4">
                        <c:v>5.4054054054054057E-2</c:v>
                      </c:pt>
                      <c:pt idx="5">
                        <c:v>7.4324324324324328E-2</c:v>
                      </c:pt>
                      <c:pt idx="6">
                        <c:v>0.63513513513513509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ACC5-47A8-BD50-65DFF1850539}"/>
                  </c:ext>
                </c:extLst>
              </c15:ser>
            </c15:filteredBarSeries>
          </c:ext>
        </c:extLst>
      </c:barChart>
      <c:catAx>
        <c:axId val="5719869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es-CO"/>
          </a:p>
        </c:txPr>
        <c:crossAx val="571988584"/>
        <c:crosses val="autoZero"/>
        <c:auto val="1"/>
        <c:lblAlgn val="ctr"/>
        <c:lblOffset val="100"/>
        <c:noMultiLvlLbl val="0"/>
      </c:catAx>
      <c:valAx>
        <c:axId val="571988584"/>
        <c:scaling>
          <c:orientation val="minMax"/>
          <c:max val="250"/>
        </c:scaling>
        <c:delete val="1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crossAx val="5719869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r>
              <a:rPr lang="es-CO"/>
              <a:t>RENTABILIDAD SOBRE PATRIMONIO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5.8484921138906673E-2"/>
          <c:y val="0.20277796797139488"/>
          <c:w val="0.9247961683416569"/>
          <c:h val="0.74408193541024759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>
              <a:gsLst>
                <a:gs pos="0">
                  <a:schemeClr val="accent6"/>
                </a:gs>
                <a:gs pos="100000">
                  <a:schemeClr val="accent6">
                    <a:lumMod val="84000"/>
                  </a:schemeClr>
                </a:gs>
              </a:gsLst>
              <a:lin ang="5400000" scaled="1"/>
            </a:gra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1B0A2CB1-447B-499F-A87C-4151858A6B7C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4022974C-4B06-461B-AC25-296F0DF6C4AB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1CC6-471F-ADF9-7D4D3F47368A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0341F0D3-9FCC-449B-BA6D-CF288F42B492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1553EF4-327C-4D5D-BC49-2F651F13F448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1CC6-471F-ADF9-7D4D3F47368A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9AB6B4E-DF19-41D1-8FAC-F39EDADAB14C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4393C9E1-A8AF-42FB-842B-0EEBD7DF00B8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1CC6-471F-ADF9-7D4D3F47368A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3E2A3AAC-E9EB-4CE9-9B77-B15961A096F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CFE494B4-F675-4B8B-B6BC-C95AA5C74EAE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1CC6-471F-ADF9-7D4D3F47368A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BD7479C8-B1C9-4F4B-B6C5-1E3EA0BB64F3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86F807E4-576B-43E8-BADC-9A74F95EAAEA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1CC6-471F-ADF9-7D4D3F47368A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F23B79A9-55F5-4939-80B3-5D105DD8B46C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BA8669BC-BD66-4FD8-B6A6-E1CA80BE4390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1CC6-471F-ADF9-7D4D3F47368A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8BFB8E65-DBB4-4505-9DF5-A75DE3D6A24A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2631DF87-0773-432F-815A-5EA5FA3E5824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9-1CC6-471F-ADF9-7D4D3F47368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2'!$B$261:$B$268</c15:sqref>
                  </c15:fullRef>
                </c:ext>
              </c:extLst>
              <c:f>'Hoja 2'!$B$262:$B$268</c:f>
              <c:strCache>
                <c:ptCount val="7"/>
                <c:pt idx="0">
                  <c:v>&lt; 0</c:v>
                </c:pt>
                <c:pt idx="1">
                  <c:v> = 0</c:v>
                </c:pt>
                <c:pt idx="2">
                  <c:v>0 - 2</c:v>
                </c:pt>
                <c:pt idx="3">
                  <c:v>2,1 - 4</c:v>
                </c:pt>
                <c:pt idx="4">
                  <c:v>4,1 - 6</c:v>
                </c:pt>
                <c:pt idx="5">
                  <c:v>6,1 - 8</c:v>
                </c:pt>
                <c:pt idx="6">
                  <c:v>&gt; 8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2'!$C$261:$C$268</c15:sqref>
                  </c15:fullRef>
                </c:ext>
              </c:extLst>
              <c:f>'Hoja 2'!$C$262:$C$268</c:f>
              <c:numCache>
                <c:formatCode>#,##0</c:formatCode>
                <c:ptCount val="7"/>
                <c:pt idx="0">
                  <c:v>13</c:v>
                </c:pt>
                <c:pt idx="1">
                  <c:v>9</c:v>
                </c:pt>
                <c:pt idx="2">
                  <c:v>7</c:v>
                </c:pt>
                <c:pt idx="3">
                  <c:v>11</c:v>
                </c:pt>
                <c:pt idx="4">
                  <c:v>9</c:v>
                </c:pt>
                <c:pt idx="5">
                  <c:v>5</c:v>
                </c:pt>
                <c:pt idx="6">
                  <c:v>94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2'!$D$261:$D$268</c15:f>
                <c15:dlblRangeCache>
                  <c:ptCount val="8"/>
                  <c:pt idx="1">
                    <c:v>8,78%</c:v>
                  </c:pt>
                  <c:pt idx="2">
                    <c:v>6,08%</c:v>
                  </c:pt>
                  <c:pt idx="3">
                    <c:v>4,73%</c:v>
                  </c:pt>
                  <c:pt idx="4">
                    <c:v>7,43%</c:v>
                  </c:pt>
                  <c:pt idx="5">
                    <c:v>6,08%</c:v>
                  </c:pt>
                  <c:pt idx="6">
                    <c:v>3,38%</c:v>
                  </c:pt>
                  <c:pt idx="7">
                    <c:v>63,51%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1CC6-471F-ADF9-7D4D3F47368A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572297608"/>
        <c:axId val="572296952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gradFill>
                    <a:gsLst>
                      <a:gs pos="0">
                        <a:schemeClr val="accent5"/>
                      </a:gs>
                      <a:gs pos="100000">
                        <a:schemeClr val="accent5">
                          <a:lumMod val="84000"/>
                        </a:schemeClr>
                      </a:gs>
                    </a:gsLst>
                    <a:lin ang="5400000" scaled="1"/>
                  </a:gradFill>
                  <a:ln>
                    <a:noFill/>
                  </a:ln>
                  <a:effectLst>
                    <a:outerShdw blurRad="76200" dir="18900000" sy="23000" kx="-1200000" algn="bl" rotWithShape="0">
                      <a:prstClr val="black">
                        <a:alpha val="20000"/>
                      </a:prstClr>
                    </a:outerShdw>
                  </a:effectLst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in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2'!$B$261:$B$268</c15:sqref>
                        </c15:fullRef>
                        <c15:formulaRef>
                          <c15:sqref>'Hoja 2'!$B$262:$B$268</c15:sqref>
                        </c15:formulaRef>
                      </c:ext>
                    </c:extLst>
                    <c:strCache>
                      <c:ptCount val="7"/>
                      <c:pt idx="0">
                        <c:v>&lt; 0</c:v>
                      </c:pt>
                      <c:pt idx="1">
                        <c:v> = 0</c:v>
                      </c:pt>
                      <c:pt idx="2">
                        <c:v>0 - 2</c:v>
                      </c:pt>
                      <c:pt idx="3">
                        <c:v>2,1 - 4</c:v>
                      </c:pt>
                      <c:pt idx="4">
                        <c:v>4,1 - 6</c:v>
                      </c:pt>
                      <c:pt idx="5">
                        <c:v>6,1 - 8</c:v>
                      </c:pt>
                      <c:pt idx="6">
                        <c:v>&gt; 8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2'!$D$261:$D$268</c15:sqref>
                        </c15:fullRef>
                        <c15:formulaRef>
                          <c15:sqref>'Hoja 2'!$D$262:$D$268</c15:sqref>
                        </c15:formulaRef>
                      </c:ext>
                    </c:extLst>
                    <c:numCache>
                      <c:formatCode>0.00%</c:formatCode>
                      <c:ptCount val="7"/>
                      <c:pt idx="0">
                        <c:v>8.7837837837837843E-2</c:v>
                      </c:pt>
                      <c:pt idx="1">
                        <c:v>6.0810810810810814E-2</c:v>
                      </c:pt>
                      <c:pt idx="2">
                        <c:v>4.72972972972973E-2</c:v>
                      </c:pt>
                      <c:pt idx="3">
                        <c:v>7.4324324324324328E-2</c:v>
                      </c:pt>
                      <c:pt idx="4">
                        <c:v>6.0810810810810814E-2</c:v>
                      </c:pt>
                      <c:pt idx="5">
                        <c:v>3.3783783783783786E-2</c:v>
                      </c:pt>
                      <c:pt idx="6">
                        <c:v>0.63513513513513509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1CC6-471F-ADF9-7D4D3F47368A}"/>
                  </c:ext>
                </c:extLst>
              </c15:ser>
            </c15:filteredBarSeries>
          </c:ext>
        </c:extLst>
      </c:barChart>
      <c:catAx>
        <c:axId val="572297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es-CO"/>
          </a:p>
        </c:txPr>
        <c:crossAx val="572296952"/>
        <c:crosses val="autoZero"/>
        <c:auto val="1"/>
        <c:lblAlgn val="ctr"/>
        <c:lblOffset val="100"/>
        <c:noMultiLvlLbl val="0"/>
      </c:catAx>
      <c:valAx>
        <c:axId val="572296952"/>
        <c:scaling>
          <c:orientation val="minMax"/>
          <c:max val="220"/>
        </c:scaling>
        <c:delete val="1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crossAx val="5722976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0</xdr:row>
      <xdr:rowOff>66675</xdr:rowOff>
    </xdr:from>
    <xdr:to>
      <xdr:col>2</xdr:col>
      <xdr:colOff>409575</xdr:colOff>
      <xdr:row>6</xdr:row>
      <xdr:rowOff>85725</xdr:rowOff>
    </xdr:to>
    <xdr:pic>
      <xdr:nvPicPr>
        <xdr:cNvPr id="2" name="Imagen 1" descr="Descripción: Marca Aerocivil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5750" y="66675"/>
          <a:ext cx="3505200" cy="93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190498</xdr:colOff>
      <xdr:row>176</xdr:row>
      <xdr:rowOff>38099</xdr:rowOff>
    </xdr:from>
    <xdr:to>
      <xdr:col>15</xdr:col>
      <xdr:colOff>514350</xdr:colOff>
      <xdr:row>189</xdr:row>
      <xdr:rowOff>28574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28576</xdr:colOff>
      <xdr:row>202</xdr:row>
      <xdr:rowOff>28575</xdr:rowOff>
    </xdr:from>
    <xdr:to>
      <xdr:col>15</xdr:col>
      <xdr:colOff>390526</xdr:colOff>
      <xdr:row>216</xdr:row>
      <xdr:rowOff>104775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19049</xdr:colOff>
      <xdr:row>217</xdr:row>
      <xdr:rowOff>47624</xdr:rowOff>
    </xdr:from>
    <xdr:to>
      <xdr:col>15</xdr:col>
      <xdr:colOff>381000</xdr:colOff>
      <xdr:row>229</xdr:row>
      <xdr:rowOff>57150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10</xdr:col>
      <xdr:colOff>47625</xdr:colOff>
      <xdr:row>191</xdr:row>
      <xdr:rowOff>19050</xdr:rowOff>
    </xdr:from>
    <xdr:to>
      <xdr:col>15</xdr:col>
      <xdr:colOff>400051</xdr:colOff>
      <xdr:row>201</xdr:row>
      <xdr:rowOff>19050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38100</xdr:colOff>
      <xdr:row>230</xdr:row>
      <xdr:rowOff>28575</xdr:rowOff>
    </xdr:from>
    <xdr:to>
      <xdr:col>15</xdr:col>
      <xdr:colOff>390526</xdr:colOff>
      <xdr:row>243</xdr:row>
      <xdr:rowOff>28575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28575</xdr:colOff>
      <xdr:row>243</xdr:row>
      <xdr:rowOff>123825</xdr:rowOff>
    </xdr:from>
    <xdr:to>
      <xdr:col>15</xdr:col>
      <xdr:colOff>371475</xdr:colOff>
      <xdr:row>257</xdr:row>
      <xdr:rowOff>133350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38099</xdr:colOff>
      <xdr:row>258</xdr:row>
      <xdr:rowOff>38100</xdr:rowOff>
    </xdr:from>
    <xdr:to>
      <xdr:col>15</xdr:col>
      <xdr:colOff>400050</xdr:colOff>
      <xdr:row>271</xdr:row>
      <xdr:rowOff>123825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M303"/>
  <sheetViews>
    <sheetView tabSelected="1" workbookViewId="0">
      <selection activeCell="C17" sqref="C17"/>
    </sheetView>
  </sheetViews>
  <sheetFormatPr baseColWidth="10" defaultColWidth="11.42578125" defaultRowHeight="12" x14ac:dyDescent="0.2"/>
  <cols>
    <col min="1" max="1" width="27.42578125" style="73" customWidth="1"/>
    <col min="2" max="2" width="23.28515625" style="11" customWidth="1"/>
    <col min="3" max="3" width="57.85546875" style="11" customWidth="1"/>
    <col min="4" max="4" width="15.7109375" style="11" customWidth="1"/>
    <col min="5" max="5" width="17.7109375" style="11" customWidth="1"/>
    <col min="6" max="6" width="19" style="11" customWidth="1"/>
    <col min="7" max="7" width="27.42578125" style="11" hidden="1" customWidth="1"/>
    <col min="8" max="8" width="20.85546875" style="11" customWidth="1"/>
    <col min="9" max="9" width="15.85546875" style="11" customWidth="1"/>
    <col min="10" max="10" width="16.140625" style="11" customWidth="1"/>
    <col min="11" max="16" width="17.140625" style="11" customWidth="1"/>
    <col min="17" max="16384" width="11.42578125" style="11"/>
  </cols>
  <sheetData>
    <row r="3" spans="1:11" x14ac:dyDescent="0.2">
      <c r="F3" s="76" t="s">
        <v>0</v>
      </c>
      <c r="G3" s="76"/>
      <c r="H3" s="76"/>
      <c r="I3" s="76"/>
      <c r="J3" s="76"/>
    </row>
    <row r="4" spans="1:11" x14ac:dyDescent="0.2">
      <c r="F4" s="76" t="s">
        <v>1</v>
      </c>
      <c r="G4" s="76"/>
      <c r="H4" s="76"/>
      <c r="I4" s="76"/>
      <c r="J4" s="76"/>
    </row>
    <row r="5" spans="1:11" x14ac:dyDescent="0.2">
      <c r="F5" s="76" t="s">
        <v>2</v>
      </c>
      <c r="G5" s="76"/>
      <c r="H5" s="76"/>
      <c r="I5" s="76"/>
      <c r="J5" s="76"/>
    </row>
    <row r="7" spans="1:11" ht="12.75" thickBot="1" x14ac:dyDescent="0.25"/>
    <row r="8" spans="1:11" ht="47.25" customHeight="1" thickTop="1" thickBot="1" x14ac:dyDescent="0.25">
      <c r="A8" s="13" t="s">
        <v>3</v>
      </c>
      <c r="B8" s="79" t="s">
        <v>290</v>
      </c>
      <c r="C8" s="80"/>
      <c r="D8" s="80"/>
      <c r="E8" s="80"/>
      <c r="F8" s="81"/>
      <c r="G8" s="13" t="s">
        <v>4</v>
      </c>
      <c r="H8" s="82"/>
      <c r="I8" s="83"/>
      <c r="J8" s="84"/>
    </row>
    <row r="9" spans="1:11" ht="13.5" customHeight="1" thickTop="1" thickBot="1" x14ac:dyDescent="0.25">
      <c r="A9" s="16"/>
      <c r="B9" s="15"/>
      <c r="C9" s="15"/>
      <c r="D9" s="15"/>
      <c r="E9" s="15"/>
      <c r="F9" s="15"/>
      <c r="G9" s="16"/>
      <c r="H9" s="15"/>
      <c r="I9" s="15"/>
      <c r="J9" s="15"/>
    </row>
    <row r="10" spans="1:11" ht="18" customHeight="1" thickTop="1" thickBot="1" x14ac:dyDescent="0.25">
      <c r="A10" s="86" t="s">
        <v>5</v>
      </c>
      <c r="B10" s="87"/>
      <c r="C10" s="87"/>
      <c r="D10" s="87"/>
      <c r="E10" s="87"/>
      <c r="F10" s="87"/>
      <c r="G10" s="87"/>
      <c r="H10" s="87"/>
      <c r="I10" s="32"/>
    </row>
    <row r="11" spans="1:11" ht="39" customHeight="1" thickTop="1" thickBot="1" x14ac:dyDescent="0.3">
      <c r="A11" s="14" t="s">
        <v>6</v>
      </c>
      <c r="B11" s="41">
        <v>1256068800</v>
      </c>
      <c r="C11" s="14" t="s">
        <v>7</v>
      </c>
      <c r="D11" s="17">
        <v>7</v>
      </c>
      <c r="E11" s="14" t="s">
        <v>168</v>
      </c>
      <c r="F11" s="41">
        <f>ROUND(((B11-0)*25%),-3)</f>
        <v>314017000</v>
      </c>
      <c r="G11" s="14" t="s">
        <v>8</v>
      </c>
      <c r="H11" s="41"/>
      <c r="J11" s="57"/>
      <c r="K11" s="58"/>
    </row>
    <row r="12" spans="1:11" ht="13.5" thickTop="1" thickBot="1" x14ac:dyDescent="0.25"/>
    <row r="13" spans="1:11" ht="13.5" thickTop="1" thickBot="1" x14ac:dyDescent="0.25">
      <c r="A13" s="88" t="s">
        <v>9</v>
      </c>
      <c r="B13" s="89"/>
      <c r="C13" s="89"/>
      <c r="D13" s="89"/>
      <c r="E13" s="89"/>
      <c r="F13" s="89"/>
      <c r="G13" s="89"/>
      <c r="H13" s="89"/>
      <c r="I13" s="89"/>
      <c r="J13" s="90"/>
    </row>
    <row r="14" spans="1:11" ht="12.75" thickTop="1" x14ac:dyDescent="0.2"/>
    <row r="15" spans="1:11" ht="14.25" x14ac:dyDescent="0.2">
      <c r="A15" s="65" t="s">
        <v>10</v>
      </c>
      <c r="J15" s="64"/>
    </row>
    <row r="16" spans="1:11" x14ac:dyDescent="0.2">
      <c r="A16" s="65" t="s">
        <v>11</v>
      </c>
    </row>
    <row r="17" spans="1:13" x14ac:dyDescent="0.2">
      <c r="A17" s="65" t="s">
        <v>12</v>
      </c>
    </row>
    <row r="18" spans="1:13" ht="21" customHeight="1" x14ac:dyDescent="0.2"/>
    <row r="19" spans="1:13" ht="85.5" customHeight="1" x14ac:dyDescent="0.2">
      <c r="A19" s="54" t="s">
        <v>13</v>
      </c>
      <c r="B19" s="54" t="s">
        <v>14</v>
      </c>
      <c r="C19" s="54" t="s">
        <v>15</v>
      </c>
      <c r="D19" s="55" t="s">
        <v>16</v>
      </c>
      <c r="E19" s="55" t="s">
        <v>17</v>
      </c>
      <c r="F19" s="55" t="s">
        <v>18</v>
      </c>
      <c r="G19" s="55" t="s">
        <v>19</v>
      </c>
      <c r="H19" s="55" t="s">
        <v>20</v>
      </c>
      <c r="I19" s="55" t="s">
        <v>21</v>
      </c>
      <c r="J19" s="55" t="s">
        <v>22</v>
      </c>
    </row>
    <row r="20" spans="1:13" ht="15" customHeight="1" x14ac:dyDescent="0.25">
      <c r="A20" s="74">
        <v>800061409</v>
      </c>
      <c r="B20" s="67" t="s">
        <v>85</v>
      </c>
      <c r="C20" s="67" t="s">
        <v>179</v>
      </c>
      <c r="D20" s="68">
        <v>7.4368709289511612</v>
      </c>
      <c r="E20" s="69">
        <v>8837547</v>
      </c>
      <c r="F20" s="70">
        <v>0.25352938193045033</v>
      </c>
      <c r="G20" s="71">
        <v>8359820</v>
      </c>
      <c r="H20" s="70">
        <v>6.1324328108402729E-2</v>
      </c>
      <c r="I20" s="70">
        <v>8.2152366916991029E-2</v>
      </c>
      <c r="J20" s="72">
        <v>3.9361022913538357</v>
      </c>
    </row>
    <row r="21" spans="1:13" ht="15" customHeight="1" x14ac:dyDescent="0.25">
      <c r="A21" s="74">
        <v>800064761</v>
      </c>
      <c r="B21" s="67" t="s">
        <v>180</v>
      </c>
      <c r="C21" s="67" t="s">
        <v>179</v>
      </c>
      <c r="D21" s="68">
        <v>6.2055339891719727</v>
      </c>
      <c r="E21" s="69">
        <v>2412385</v>
      </c>
      <c r="F21" s="70">
        <v>0.15282747372862202</v>
      </c>
      <c r="G21" s="71">
        <v>3287015</v>
      </c>
      <c r="H21" s="70">
        <v>0.11566725936685805</v>
      </c>
      <c r="I21" s="70">
        <v>0.13653329844859241</v>
      </c>
      <c r="J21" s="72">
        <v>10</v>
      </c>
    </row>
    <row r="22" spans="1:13" ht="15" customHeight="1" x14ac:dyDescent="0.25">
      <c r="A22" s="74">
        <v>800068234</v>
      </c>
      <c r="B22" s="67" t="s">
        <v>181</v>
      </c>
      <c r="C22" s="67" t="s">
        <v>179</v>
      </c>
      <c r="D22" s="68">
        <v>2.1960889544946101</v>
      </c>
      <c r="E22" s="69">
        <v>10316583</v>
      </c>
      <c r="F22" s="70">
        <v>0.58234708748668707</v>
      </c>
      <c r="G22" s="71">
        <v>11924879</v>
      </c>
      <c r="H22" s="70">
        <v>0.18183808162523232</v>
      </c>
      <c r="I22" s="70">
        <v>0.43538085375960628</v>
      </c>
      <c r="J22" s="72">
        <v>5.5660948190650172</v>
      </c>
      <c r="K22" s="11" t="s">
        <v>166</v>
      </c>
      <c r="L22" s="11" t="s">
        <v>167</v>
      </c>
      <c r="M22" s="11">
        <v>0</v>
      </c>
    </row>
    <row r="23" spans="1:13" ht="15" customHeight="1" x14ac:dyDescent="0.25">
      <c r="A23" s="74">
        <v>800072172</v>
      </c>
      <c r="B23" s="67" t="s">
        <v>182</v>
      </c>
      <c r="C23" s="67" t="s">
        <v>179</v>
      </c>
      <c r="D23" s="68">
        <v>2.0917703741318872</v>
      </c>
      <c r="E23" s="69">
        <v>19136978</v>
      </c>
      <c r="F23" s="70">
        <v>0.47739269981855503</v>
      </c>
      <c r="G23" s="71">
        <v>19188532</v>
      </c>
      <c r="H23" s="70">
        <v>0.15309158667789238</v>
      </c>
      <c r="I23" s="70">
        <v>0.29293809448268371</v>
      </c>
      <c r="J23" s="72">
        <v>10.596861126035687</v>
      </c>
      <c r="K23" s="12"/>
      <c r="M23" s="59">
        <v>0.25</v>
      </c>
    </row>
    <row r="24" spans="1:13" ht="15" customHeight="1" x14ac:dyDescent="0.25">
      <c r="A24" s="74">
        <v>800083312</v>
      </c>
      <c r="B24" s="67" t="s">
        <v>183</v>
      </c>
      <c r="C24" s="67" t="s">
        <v>184</v>
      </c>
      <c r="D24" s="68">
        <v>1.7633933094448937</v>
      </c>
      <c r="E24" s="69">
        <v>1476821</v>
      </c>
      <c r="F24" s="70">
        <v>0.51177689487333444</v>
      </c>
      <c r="G24" s="71">
        <v>1910832</v>
      </c>
      <c r="H24" s="70">
        <v>0.21951658852536504</v>
      </c>
      <c r="I24" s="70">
        <v>0.44962351478308926</v>
      </c>
      <c r="J24" s="72">
        <v>10.219641009171038</v>
      </c>
    </row>
    <row r="25" spans="1:13" ht="15" customHeight="1" x14ac:dyDescent="0.25">
      <c r="A25" s="74">
        <v>800122811</v>
      </c>
      <c r="B25" s="67" t="s">
        <v>185</v>
      </c>
      <c r="C25" s="67" t="s">
        <v>179</v>
      </c>
      <c r="D25" s="68">
        <v>1.2215067534041963</v>
      </c>
      <c r="E25" s="69">
        <v>9313321</v>
      </c>
      <c r="F25" s="70">
        <v>0.52974205535875074</v>
      </c>
      <c r="G25" s="71">
        <v>52541638</v>
      </c>
      <c r="H25" s="70">
        <v>0.24343043102352649</v>
      </c>
      <c r="I25" s="70">
        <v>0.51765298980591357</v>
      </c>
      <c r="J25" s="72">
        <v>1.8420215472816939</v>
      </c>
      <c r="L25" s="12"/>
    </row>
    <row r="26" spans="1:13" ht="15" customHeight="1" x14ac:dyDescent="0.25">
      <c r="A26" s="74">
        <v>800129789</v>
      </c>
      <c r="B26" s="67" t="s">
        <v>186</v>
      </c>
      <c r="C26" s="67" t="s">
        <v>179</v>
      </c>
      <c r="D26" s="68">
        <v>8.4659768549224186</v>
      </c>
      <c r="E26" s="69">
        <v>5020526</v>
      </c>
      <c r="F26" s="70">
        <v>0.53298531288261153</v>
      </c>
      <c r="G26" s="71">
        <v>2712015</v>
      </c>
      <c r="H26" s="70">
        <v>0.11757942391508371</v>
      </c>
      <c r="I26" s="70">
        <v>0.25176815024990645</v>
      </c>
      <c r="J26" s="72">
        <v>15.413417910110837</v>
      </c>
    </row>
    <row r="27" spans="1:13" ht="15" customHeight="1" x14ac:dyDescent="0.25">
      <c r="A27" s="74">
        <v>800166199</v>
      </c>
      <c r="B27" s="67" t="s">
        <v>187</v>
      </c>
      <c r="C27" s="67" t="s">
        <v>179</v>
      </c>
      <c r="D27" s="68">
        <v>3.55975740278922</v>
      </c>
      <c r="E27" s="69">
        <v>140775192</v>
      </c>
      <c r="F27" s="70">
        <v>0.70581059850973105</v>
      </c>
      <c r="G27" s="71">
        <v>75460016</v>
      </c>
      <c r="H27" s="70">
        <v>9.096801419198065E-3</v>
      </c>
      <c r="I27" s="70">
        <v>3.092158103968597E-2</v>
      </c>
      <c r="J27" s="72">
        <v>8.1738267282256027E-2</v>
      </c>
    </row>
    <row r="28" spans="1:13" ht="15" customHeight="1" x14ac:dyDescent="0.25">
      <c r="A28" s="74">
        <v>800173565</v>
      </c>
      <c r="B28" s="67" t="s">
        <v>188</v>
      </c>
      <c r="C28" s="67" t="s">
        <v>184</v>
      </c>
      <c r="D28" s="68">
        <v>1.176248637305533</v>
      </c>
      <c r="E28" s="69">
        <v>482432</v>
      </c>
      <c r="F28" s="70">
        <v>0.23323748484971135</v>
      </c>
      <c r="G28" s="71">
        <v>10665514</v>
      </c>
      <c r="H28" s="70">
        <v>0.1217011659620436</v>
      </c>
      <c r="I28" s="70">
        <v>0.15872080801731636</v>
      </c>
      <c r="J28" s="72">
        <v>5.250073656886066</v>
      </c>
    </row>
    <row r="29" spans="1:13" ht="15" customHeight="1" x14ac:dyDescent="0.25">
      <c r="A29" s="74">
        <v>800215658</v>
      </c>
      <c r="B29" s="67" t="s">
        <v>189</v>
      </c>
      <c r="C29" s="67" t="s">
        <v>179</v>
      </c>
      <c r="D29" s="68">
        <v>4.6237299272095411</v>
      </c>
      <c r="E29" s="69">
        <v>3662040</v>
      </c>
      <c r="F29" s="70">
        <v>0.14757473350091838</v>
      </c>
      <c r="G29" s="71">
        <v>5837294</v>
      </c>
      <c r="H29" s="70">
        <v>6.6364616363696366E-2</v>
      </c>
      <c r="I29" s="70">
        <v>7.7853882295460877E-2</v>
      </c>
      <c r="J29" s="72">
        <v>5.3531538959891627</v>
      </c>
    </row>
    <row r="30" spans="1:13" ht="15" customHeight="1" x14ac:dyDescent="0.25">
      <c r="A30" s="74">
        <v>800237475</v>
      </c>
      <c r="B30" s="67" t="s">
        <v>190</v>
      </c>
      <c r="C30" s="67" t="s">
        <v>179</v>
      </c>
      <c r="D30" s="68">
        <v>3.7428512000693024</v>
      </c>
      <c r="E30" s="69">
        <v>30395893</v>
      </c>
      <c r="F30" s="70">
        <v>0.4045561967766691</v>
      </c>
      <c r="G30" s="71">
        <v>88767401</v>
      </c>
      <c r="H30" s="70">
        <v>6.2881229853041613E-3</v>
      </c>
      <c r="I30" s="70">
        <v>1.0560397053868908E-2</v>
      </c>
      <c r="J30" s="72">
        <v>3.1806025854171613</v>
      </c>
    </row>
    <row r="31" spans="1:13" ht="15" customHeight="1" x14ac:dyDescent="0.25">
      <c r="A31" s="74">
        <v>800252997</v>
      </c>
      <c r="B31" s="67" t="s">
        <v>191</v>
      </c>
      <c r="C31" s="67" t="s">
        <v>179</v>
      </c>
      <c r="D31" s="68">
        <v>2.965372719539999</v>
      </c>
      <c r="E31" s="69">
        <v>13533020</v>
      </c>
      <c r="F31" s="70">
        <v>0.48218866494962304</v>
      </c>
      <c r="G31" s="71">
        <v>13135447</v>
      </c>
      <c r="H31" s="70">
        <v>7.1716853761612659E-2</v>
      </c>
      <c r="I31" s="70">
        <v>0.13849996882481427</v>
      </c>
      <c r="J31" s="72">
        <v>8.2175511660576284</v>
      </c>
    </row>
    <row r="32" spans="1:13" ht="15" customHeight="1" x14ac:dyDescent="0.25">
      <c r="A32" s="74">
        <v>802009465</v>
      </c>
      <c r="B32" s="67" t="s">
        <v>192</v>
      </c>
      <c r="C32" s="67" t="s">
        <v>179</v>
      </c>
      <c r="D32" s="68">
        <v>170.1596567731045</v>
      </c>
      <c r="E32" s="69">
        <v>1202556</v>
      </c>
      <c r="F32" s="70">
        <v>3.5834579234796391E-3</v>
      </c>
      <c r="G32" s="71">
        <v>1976729</v>
      </c>
      <c r="H32" s="70">
        <v>3.9960420155274776E-2</v>
      </c>
      <c r="I32" s="70">
        <v>4.0104131623505297E-2</v>
      </c>
      <c r="J32" s="72">
        <v>10</v>
      </c>
    </row>
    <row r="33" spans="1:10" ht="15" customHeight="1" x14ac:dyDescent="0.25">
      <c r="A33" s="74">
        <v>804001735</v>
      </c>
      <c r="B33" s="67" t="s">
        <v>193</v>
      </c>
      <c r="C33" s="67" t="s">
        <v>179</v>
      </c>
      <c r="D33" s="68">
        <v>1.9381372393426739</v>
      </c>
      <c r="E33" s="69">
        <v>4941773</v>
      </c>
      <c r="F33" s="70">
        <v>0.28923497314240715</v>
      </c>
      <c r="G33" s="71">
        <v>13536709</v>
      </c>
      <c r="H33" s="70">
        <v>6.7887106433693292E-2</v>
      </c>
      <c r="I33" s="70">
        <v>9.5512727650420792E-2</v>
      </c>
      <c r="J33" s="72">
        <v>5.1096804789851209</v>
      </c>
    </row>
    <row r="34" spans="1:10" ht="15" customHeight="1" x14ac:dyDescent="0.25">
      <c r="A34" s="74">
        <v>804010786</v>
      </c>
      <c r="B34" s="67" t="s">
        <v>194</v>
      </c>
      <c r="C34" s="67" t="s">
        <v>179</v>
      </c>
      <c r="D34" s="68">
        <v>3.8444328411075692</v>
      </c>
      <c r="E34" s="69">
        <v>7452232</v>
      </c>
      <c r="F34" s="70">
        <v>0.56194762497388973</v>
      </c>
      <c r="G34" s="71">
        <v>8734530</v>
      </c>
      <c r="H34" s="70">
        <v>8.7009405718759258E-2</v>
      </c>
      <c r="I34" s="70">
        <v>0.19862785977035971</v>
      </c>
      <c r="J34" s="72">
        <v>3.3656939659186142</v>
      </c>
    </row>
    <row r="35" spans="1:10" ht="15" customHeight="1" x14ac:dyDescent="0.25">
      <c r="A35" s="74">
        <v>804011804</v>
      </c>
      <c r="B35" s="67" t="s">
        <v>195</v>
      </c>
      <c r="C35" s="67" t="s">
        <v>179</v>
      </c>
      <c r="D35" s="68">
        <v>2.1201795683219733</v>
      </c>
      <c r="E35" s="69">
        <v>13805093</v>
      </c>
      <c r="F35" s="70">
        <v>0.61841654397520773</v>
      </c>
      <c r="G35" s="71">
        <v>23912310</v>
      </c>
      <c r="H35" s="70">
        <v>0.1520484719601472</v>
      </c>
      <c r="I35" s="70">
        <v>0.39846714934692634</v>
      </c>
      <c r="J35" s="72">
        <v>2.9882552477236684</v>
      </c>
    </row>
    <row r="36" spans="1:10" ht="15" customHeight="1" x14ac:dyDescent="0.25">
      <c r="A36" s="74">
        <v>810002747</v>
      </c>
      <c r="B36" s="67" t="s">
        <v>196</v>
      </c>
      <c r="C36" s="67" t="s">
        <v>179</v>
      </c>
      <c r="D36" s="68">
        <v>1.5748033413968172</v>
      </c>
      <c r="E36" s="69">
        <v>2100286</v>
      </c>
      <c r="F36" s="70">
        <v>0.52359914659059736</v>
      </c>
      <c r="G36" s="71">
        <v>5708932</v>
      </c>
      <c r="H36" s="70">
        <v>1.642914072501413E-2</v>
      </c>
      <c r="I36" s="70">
        <v>3.4485959895826403E-2</v>
      </c>
      <c r="J36" s="72">
        <v>10</v>
      </c>
    </row>
    <row r="37" spans="1:10" ht="15" customHeight="1" x14ac:dyDescent="0.25">
      <c r="A37" s="74">
        <v>811041313</v>
      </c>
      <c r="B37" s="67" t="s">
        <v>197</v>
      </c>
      <c r="C37" s="67" t="s">
        <v>179</v>
      </c>
      <c r="D37" s="68">
        <v>2.2596904392075889</v>
      </c>
      <c r="E37" s="69">
        <v>2437826</v>
      </c>
      <c r="F37" s="70">
        <v>0.44122471915474404</v>
      </c>
      <c r="G37" s="71">
        <v>3746852</v>
      </c>
      <c r="H37" s="70">
        <v>3.0471083914749029E-2</v>
      </c>
      <c r="I37" s="70">
        <v>5.4531911054933581E-2</v>
      </c>
      <c r="J37" s="72">
        <v>0.66813270898460497</v>
      </c>
    </row>
    <row r="38" spans="1:10" ht="15" customHeight="1" x14ac:dyDescent="0.25">
      <c r="A38" s="74">
        <v>813001917</v>
      </c>
      <c r="B38" s="67" t="s">
        <v>198</v>
      </c>
      <c r="C38" s="67" t="s">
        <v>184</v>
      </c>
      <c r="D38" s="68">
        <v>2.3273496126845798</v>
      </c>
      <c r="E38" s="69">
        <v>175465</v>
      </c>
      <c r="F38" s="70">
        <v>0.28621075451611921</v>
      </c>
      <c r="G38" s="71">
        <v>26845338</v>
      </c>
      <c r="H38" s="70">
        <v>2.2435247540695313E-2</v>
      </c>
      <c r="I38" s="70">
        <v>3.1431193006398357E-2</v>
      </c>
      <c r="J38" s="72">
        <v>0.62254385498931664</v>
      </c>
    </row>
    <row r="39" spans="1:10" ht="15" customHeight="1" x14ac:dyDescent="0.25">
      <c r="A39" s="74">
        <v>813008777</v>
      </c>
      <c r="B39" s="67" t="s">
        <v>199</v>
      </c>
      <c r="C39" s="67" t="s">
        <v>179</v>
      </c>
      <c r="D39" s="68">
        <v>1.4315208708291722</v>
      </c>
      <c r="E39" s="69">
        <v>6919246</v>
      </c>
      <c r="F39" s="70">
        <v>0.65942158925955763</v>
      </c>
      <c r="G39" s="71">
        <v>11467976</v>
      </c>
      <c r="H39" s="70">
        <v>0.185837764950393</v>
      </c>
      <c r="I39" s="70">
        <v>0.54565339167085802</v>
      </c>
      <c r="J39" s="72">
        <v>3.6108261194210711</v>
      </c>
    </row>
    <row r="40" spans="1:10" ht="15" customHeight="1" x14ac:dyDescent="0.25">
      <c r="A40" s="74">
        <v>816001576</v>
      </c>
      <c r="B40" s="67" t="s">
        <v>200</v>
      </c>
      <c r="C40" s="67" t="s">
        <v>179</v>
      </c>
      <c r="D40" s="68">
        <v>1.9562685936796573</v>
      </c>
      <c r="E40" s="69">
        <v>824162</v>
      </c>
      <c r="F40" s="70">
        <v>0.40020282901903753</v>
      </c>
      <c r="G40" s="71">
        <v>1291686</v>
      </c>
      <c r="H40" s="70">
        <v>2.0392024658956565E-2</v>
      </c>
      <c r="I40" s="70">
        <v>3.3998200801123493E-2</v>
      </c>
      <c r="J40" s="72">
        <v>10</v>
      </c>
    </row>
    <row r="41" spans="1:10" ht="15" customHeight="1" x14ac:dyDescent="0.25">
      <c r="A41" s="74">
        <v>820000836</v>
      </c>
      <c r="B41" s="67" t="s">
        <v>201</v>
      </c>
      <c r="C41" s="67" t="s">
        <v>179</v>
      </c>
      <c r="D41" s="68">
        <v>7.2841278889522263</v>
      </c>
      <c r="E41" s="69">
        <v>9425532</v>
      </c>
      <c r="F41" s="70">
        <v>0.33207571744316927</v>
      </c>
      <c r="G41" s="71">
        <v>8635921</v>
      </c>
      <c r="H41" s="70">
        <v>0.15950279867939116</v>
      </c>
      <c r="I41" s="70">
        <v>0.23880371300293274</v>
      </c>
      <c r="J41" s="72">
        <v>14.314003123373244</v>
      </c>
    </row>
    <row r="42" spans="1:10" ht="15" customHeight="1" x14ac:dyDescent="0.25">
      <c r="A42" s="74">
        <v>822007239</v>
      </c>
      <c r="B42" s="67" t="s">
        <v>202</v>
      </c>
      <c r="C42" s="67" t="s">
        <v>179</v>
      </c>
      <c r="D42" s="68">
        <v>9.8517112529526525</v>
      </c>
      <c r="E42" s="69">
        <v>9814326</v>
      </c>
      <c r="F42" s="70">
        <v>0.66792460991609803</v>
      </c>
      <c r="G42" s="71">
        <v>3853885</v>
      </c>
      <c r="H42" s="70">
        <v>0.11047032032875582</v>
      </c>
      <c r="I42" s="70">
        <v>0.3326663872948985</v>
      </c>
      <c r="J42" s="72">
        <v>10</v>
      </c>
    </row>
    <row r="43" spans="1:10" ht="15" customHeight="1" x14ac:dyDescent="0.25">
      <c r="A43" s="74">
        <v>830010893</v>
      </c>
      <c r="B43" s="67" t="s">
        <v>203</v>
      </c>
      <c r="C43" s="67" t="s">
        <v>179</v>
      </c>
      <c r="D43" s="68">
        <v>3.0671557176668602</v>
      </c>
      <c r="E43" s="69">
        <v>5629911</v>
      </c>
      <c r="F43" s="70">
        <v>0.49158246370790082</v>
      </c>
      <c r="G43" s="71">
        <v>5588522</v>
      </c>
      <c r="H43" s="70">
        <v>4.867179227643249E-3</v>
      </c>
      <c r="I43" s="70">
        <v>9.57319305533735E-3</v>
      </c>
      <c r="J43" s="72">
        <v>10</v>
      </c>
    </row>
    <row r="44" spans="1:10" ht="15" customHeight="1" x14ac:dyDescent="0.25">
      <c r="A44" s="74">
        <v>830011122</v>
      </c>
      <c r="B44" s="67" t="s">
        <v>204</v>
      </c>
      <c r="C44" s="67" t="s">
        <v>179</v>
      </c>
      <c r="D44" s="68">
        <v>5.7281872292685971</v>
      </c>
      <c r="E44" s="69">
        <v>2275842</v>
      </c>
      <c r="F44" s="70">
        <v>0.24681946957605863</v>
      </c>
      <c r="G44" s="71">
        <v>3726201</v>
      </c>
      <c r="H44" s="70">
        <v>4.1040667129142269E-2</v>
      </c>
      <c r="I44" s="70">
        <v>5.4489814156563211E-2</v>
      </c>
      <c r="J44" s="72">
        <v>10</v>
      </c>
    </row>
    <row r="45" spans="1:10" ht="15" customHeight="1" x14ac:dyDescent="0.25">
      <c r="A45" s="74">
        <v>830013009</v>
      </c>
      <c r="B45" s="67" t="s">
        <v>205</v>
      </c>
      <c r="C45" s="67" t="s">
        <v>179</v>
      </c>
      <c r="D45" s="68">
        <v>3.7427546419792947</v>
      </c>
      <c r="E45" s="69">
        <v>5130723</v>
      </c>
      <c r="F45" s="70">
        <v>0.2707516562242554</v>
      </c>
      <c r="G45" s="71">
        <v>7019606</v>
      </c>
      <c r="H45" s="70">
        <v>0.16836629852448781</v>
      </c>
      <c r="I45" s="70">
        <v>0.23087649078879927</v>
      </c>
      <c r="J45" s="72">
        <v>8.9091908591658466</v>
      </c>
    </row>
    <row r="46" spans="1:10" ht="15" customHeight="1" x14ac:dyDescent="0.25">
      <c r="A46" s="74">
        <v>830013230</v>
      </c>
      <c r="B46" s="67" t="s">
        <v>206</v>
      </c>
      <c r="C46" s="67" t="s">
        <v>179</v>
      </c>
      <c r="D46" s="68">
        <v>2.6014194485616406</v>
      </c>
      <c r="E46" s="69">
        <v>10699607</v>
      </c>
      <c r="F46" s="70">
        <v>0.49912845968400105</v>
      </c>
      <c r="G46" s="71">
        <v>8926480</v>
      </c>
      <c r="H46" s="70">
        <v>0.13907062071682053</v>
      </c>
      <c r="I46" s="70">
        <v>0.27765726243715327</v>
      </c>
      <c r="J46" s="72">
        <v>12.03384135831541</v>
      </c>
    </row>
    <row r="47" spans="1:10" ht="15" customHeight="1" x14ac:dyDescent="0.25">
      <c r="A47" s="74">
        <v>830023758</v>
      </c>
      <c r="B47" s="67" t="s">
        <v>207</v>
      </c>
      <c r="C47" s="67" t="s">
        <v>179</v>
      </c>
      <c r="D47" s="68">
        <v>2.7814760733867421</v>
      </c>
      <c r="E47" s="69">
        <v>6635765</v>
      </c>
      <c r="F47" s="70">
        <v>0.3055395990375615</v>
      </c>
      <c r="G47" s="71">
        <v>8466248</v>
      </c>
      <c r="H47" s="70">
        <v>-0.15717157008664587</v>
      </c>
      <c r="I47" s="70">
        <v>-0.22632186064003795</v>
      </c>
      <c r="J47" s="72">
        <v>-9.384581853801885</v>
      </c>
    </row>
    <row r="48" spans="1:10" ht="15" customHeight="1" x14ac:dyDescent="0.25">
      <c r="A48" s="74">
        <v>830024484</v>
      </c>
      <c r="B48" s="67" t="s">
        <v>208</v>
      </c>
      <c r="C48" s="67" t="s">
        <v>184</v>
      </c>
      <c r="D48" s="68">
        <v>7.32265098501286</v>
      </c>
      <c r="E48" s="69">
        <v>1760049</v>
      </c>
      <c r="F48" s="70">
        <v>8.339665845093984E-2</v>
      </c>
      <c r="G48" s="71">
        <v>16903876</v>
      </c>
      <c r="H48" s="70">
        <v>8.7290895617612663E-2</v>
      </c>
      <c r="I48" s="70">
        <v>9.5233010464582199E-2</v>
      </c>
      <c r="J48" s="72">
        <v>140.00756653331015</v>
      </c>
    </row>
    <row r="49" spans="1:10" ht="15" customHeight="1" x14ac:dyDescent="0.25">
      <c r="A49" s="74">
        <v>830031757</v>
      </c>
      <c r="B49" s="67" t="s">
        <v>209</v>
      </c>
      <c r="C49" s="67" t="s">
        <v>184</v>
      </c>
      <c r="D49" s="68">
        <v>1.7771810444176073</v>
      </c>
      <c r="E49" s="69">
        <v>43624794</v>
      </c>
      <c r="F49" s="70">
        <v>0.54267939074259275</v>
      </c>
      <c r="G49" s="71">
        <v>65211287</v>
      </c>
      <c r="H49" s="70">
        <v>5.9924136489519615E-2</v>
      </c>
      <c r="I49" s="70">
        <v>0.13103309861067455</v>
      </c>
      <c r="J49" s="72">
        <v>1.6129905887896054</v>
      </c>
    </row>
    <row r="50" spans="1:10" ht="15" customHeight="1" x14ac:dyDescent="0.25">
      <c r="A50" s="74">
        <v>830037956</v>
      </c>
      <c r="B50" s="67" t="s">
        <v>210</v>
      </c>
      <c r="C50" s="67" t="s">
        <v>184</v>
      </c>
      <c r="D50" s="68">
        <v>13.783192812173803</v>
      </c>
      <c r="E50" s="69">
        <v>11732082</v>
      </c>
      <c r="F50" s="70">
        <v>5.1237157269925636E-2</v>
      </c>
      <c r="G50" s="71">
        <v>16994500</v>
      </c>
      <c r="H50" s="70">
        <v>-9.2071503595802517E-3</v>
      </c>
      <c r="I50" s="70">
        <v>-9.7043749448350938E-3</v>
      </c>
      <c r="J50" s="72">
        <v>-27.031798065890836</v>
      </c>
    </row>
    <row r="51" spans="1:10" ht="15" customHeight="1" x14ac:dyDescent="0.25">
      <c r="A51" s="74">
        <v>830038192</v>
      </c>
      <c r="B51" s="67" t="s">
        <v>211</v>
      </c>
      <c r="C51" s="67" t="s">
        <v>179</v>
      </c>
      <c r="D51" s="68">
        <v>1.2058385617564458</v>
      </c>
      <c r="E51" s="69">
        <v>2570182</v>
      </c>
      <c r="F51" s="70">
        <v>0.64901406145473362</v>
      </c>
      <c r="G51" s="71">
        <v>7248258</v>
      </c>
      <c r="H51" s="70">
        <v>0.18652926340368217</v>
      </c>
      <c r="I51" s="70">
        <v>0.53144369309149864</v>
      </c>
      <c r="J51" s="72">
        <v>2.9875025690542389</v>
      </c>
    </row>
    <row r="52" spans="1:10" ht="15" customHeight="1" x14ac:dyDescent="0.25">
      <c r="A52" s="74">
        <v>830042394</v>
      </c>
      <c r="B52" s="67" t="s">
        <v>212</v>
      </c>
      <c r="C52" s="67" t="s">
        <v>179</v>
      </c>
      <c r="D52" s="68">
        <v>2.1761036780248095</v>
      </c>
      <c r="E52" s="69">
        <v>3672853</v>
      </c>
      <c r="F52" s="70">
        <v>0.57311136614676128</v>
      </c>
      <c r="G52" s="71">
        <v>7530044</v>
      </c>
      <c r="H52" s="70">
        <v>5.5710455320271184E-2</v>
      </c>
      <c r="I52" s="70">
        <v>0.13050348709781776</v>
      </c>
      <c r="J52" s="72">
        <v>1.5804907626168645</v>
      </c>
    </row>
    <row r="53" spans="1:10" ht="15" customHeight="1" x14ac:dyDescent="0.25">
      <c r="A53" s="74">
        <v>830042398</v>
      </c>
      <c r="B53" s="67" t="s">
        <v>213</v>
      </c>
      <c r="C53" s="67" t="s">
        <v>179</v>
      </c>
      <c r="D53" s="68">
        <v>5.0678528806476768</v>
      </c>
      <c r="E53" s="69">
        <v>3500603</v>
      </c>
      <c r="F53" s="70">
        <v>0.18254467084057652</v>
      </c>
      <c r="G53" s="71">
        <v>3853652</v>
      </c>
      <c r="H53" s="70">
        <v>9.2489401712483862E-2</v>
      </c>
      <c r="I53" s="70">
        <v>0.11314306533127537</v>
      </c>
      <c r="J53" s="72">
        <v>10</v>
      </c>
    </row>
    <row r="54" spans="1:10" ht="15" customHeight="1" x14ac:dyDescent="0.25">
      <c r="A54" s="74">
        <v>830046338</v>
      </c>
      <c r="B54" s="67" t="s">
        <v>214</v>
      </c>
      <c r="C54" s="67" t="s">
        <v>179</v>
      </c>
      <c r="D54" s="68">
        <v>9.7719520171911558</v>
      </c>
      <c r="E54" s="69">
        <v>4465792</v>
      </c>
      <c r="F54" s="70">
        <v>8.9795151651980043E-2</v>
      </c>
      <c r="G54" s="71">
        <v>5160461</v>
      </c>
      <c r="H54" s="70">
        <v>6.5974079117250728E-2</v>
      </c>
      <c r="I54" s="70">
        <v>7.2482671606277041E-2</v>
      </c>
      <c r="J54" s="72">
        <v>10</v>
      </c>
    </row>
    <row r="55" spans="1:10" ht="15" customHeight="1" x14ac:dyDescent="0.25">
      <c r="A55" s="74">
        <v>830058737</v>
      </c>
      <c r="B55" s="67" t="s">
        <v>215</v>
      </c>
      <c r="C55" s="67" t="s">
        <v>179</v>
      </c>
      <c r="D55" s="68">
        <v>1.8643837544405382</v>
      </c>
      <c r="E55" s="69">
        <v>19026791</v>
      </c>
      <c r="F55" s="70">
        <v>0.5001834400153593</v>
      </c>
      <c r="G55" s="71">
        <v>22503187</v>
      </c>
      <c r="H55" s="70">
        <v>0.28470450099029621</v>
      </c>
      <c r="I55" s="70">
        <v>0.56961798344385617</v>
      </c>
      <c r="J55" s="72">
        <v>6.2974313523965986</v>
      </c>
    </row>
    <row r="56" spans="1:10" ht="15" customHeight="1" x14ac:dyDescent="0.25">
      <c r="A56" s="74">
        <v>830061474</v>
      </c>
      <c r="B56" s="67" t="s">
        <v>87</v>
      </c>
      <c r="C56" s="67" t="s">
        <v>184</v>
      </c>
      <c r="D56" s="68">
        <v>2.5681391937396119</v>
      </c>
      <c r="E56" s="69">
        <v>13656493</v>
      </c>
      <c r="F56" s="70">
        <v>0.28513297033712404</v>
      </c>
      <c r="G56" s="71">
        <v>22013408</v>
      </c>
      <c r="H56" s="70">
        <v>0.17835876222774066</v>
      </c>
      <c r="I56" s="70">
        <v>0.24949921429703206</v>
      </c>
      <c r="J56" s="72">
        <v>16.102472690171979</v>
      </c>
    </row>
    <row r="57" spans="1:10" ht="15" customHeight="1" x14ac:dyDescent="0.25">
      <c r="A57" s="74">
        <v>830067768</v>
      </c>
      <c r="B57" s="67" t="s">
        <v>216</v>
      </c>
      <c r="C57" s="67" t="s">
        <v>179</v>
      </c>
      <c r="D57" s="68">
        <v>2.5415908320676799</v>
      </c>
      <c r="E57" s="69">
        <v>5035497</v>
      </c>
      <c r="F57" s="70">
        <v>0.58243848941356058</v>
      </c>
      <c r="G57" s="71">
        <v>4440223</v>
      </c>
      <c r="H57" s="70">
        <v>8.3544219517988946E-2</v>
      </c>
      <c r="I57" s="70">
        <v>0.20007643760234564</v>
      </c>
      <c r="J57" s="72">
        <v>3.530895895517939</v>
      </c>
    </row>
    <row r="58" spans="1:10" ht="15" customHeight="1" x14ac:dyDescent="0.25">
      <c r="A58" s="74">
        <v>830083351</v>
      </c>
      <c r="B58" s="67" t="s">
        <v>217</v>
      </c>
      <c r="C58" s="67" t="s">
        <v>184</v>
      </c>
      <c r="D58" s="68">
        <v>121.08608197626276</v>
      </c>
      <c r="E58" s="69">
        <v>6961150</v>
      </c>
      <c r="F58" s="70">
        <v>7.0230388671193827E-2</v>
      </c>
      <c r="G58" s="71">
        <v>55059717</v>
      </c>
      <c r="H58" s="70">
        <v>3.6015045728739557E-2</v>
      </c>
      <c r="I58" s="70">
        <v>3.8735451546182117E-2</v>
      </c>
      <c r="J58" s="72">
        <v>4.481470119161937</v>
      </c>
    </row>
    <row r="59" spans="1:10" ht="15" customHeight="1" x14ac:dyDescent="0.25">
      <c r="A59" s="74">
        <v>830105897</v>
      </c>
      <c r="B59" s="67" t="s">
        <v>218</v>
      </c>
      <c r="C59" s="67" t="s">
        <v>179</v>
      </c>
      <c r="D59" s="68">
        <v>3.5731255233564112</v>
      </c>
      <c r="E59" s="69">
        <v>1158470</v>
      </c>
      <c r="F59" s="70">
        <v>0.35830189169329046</v>
      </c>
      <c r="G59" s="71">
        <v>1531709</v>
      </c>
      <c r="H59" s="70">
        <v>6.3463934490787868E-2</v>
      </c>
      <c r="I59" s="70">
        <v>9.8899986877402951E-2</v>
      </c>
      <c r="J59" s="72">
        <v>1.0907454476069784</v>
      </c>
    </row>
    <row r="60" spans="1:10" ht="15" customHeight="1" x14ac:dyDescent="0.25">
      <c r="A60" s="74">
        <v>830113706</v>
      </c>
      <c r="B60" s="67" t="s">
        <v>219</v>
      </c>
      <c r="C60" s="67" t="s">
        <v>184</v>
      </c>
      <c r="D60" s="68">
        <v>0.90168788707537906</v>
      </c>
      <c r="E60" s="69">
        <v>-4082206</v>
      </c>
      <c r="F60" s="70">
        <v>0.57925571874993298</v>
      </c>
      <c r="G60" s="71">
        <v>124055317</v>
      </c>
      <c r="H60" s="70">
        <v>5.4446185473685051E-2</v>
      </c>
      <c r="I60" s="70">
        <v>0.12940445752921659</v>
      </c>
      <c r="J60" s="72">
        <v>10</v>
      </c>
    </row>
    <row r="61" spans="1:10" ht="15" customHeight="1" x14ac:dyDescent="0.25">
      <c r="A61" s="74">
        <v>830116500</v>
      </c>
      <c r="B61" s="67" t="s">
        <v>220</v>
      </c>
      <c r="C61" s="67" t="s">
        <v>179</v>
      </c>
      <c r="D61" s="68">
        <v>3.4030446325520702</v>
      </c>
      <c r="E61" s="69">
        <v>14430742</v>
      </c>
      <c r="F61" s="70">
        <v>0.22559800659398516</v>
      </c>
      <c r="G61" s="71">
        <v>21892349</v>
      </c>
      <c r="H61" s="70">
        <v>0.44508140535944701</v>
      </c>
      <c r="I61" s="70">
        <v>0.57474207084858731</v>
      </c>
      <c r="J61" s="72">
        <v>141.64485371097928</v>
      </c>
    </row>
    <row r="62" spans="1:10" ht="15" customHeight="1" x14ac:dyDescent="0.25">
      <c r="A62" s="74">
        <v>830133444</v>
      </c>
      <c r="B62" s="67" t="s">
        <v>221</v>
      </c>
      <c r="C62" s="67" t="s">
        <v>184</v>
      </c>
      <c r="D62" s="68">
        <v>161.03779429987608</v>
      </c>
      <c r="E62" s="69">
        <v>516602</v>
      </c>
      <c r="F62" s="70">
        <v>0.10997165481515149</v>
      </c>
      <c r="G62" s="71">
        <v>7828870</v>
      </c>
      <c r="H62" s="70">
        <v>0.27315001711533943</v>
      </c>
      <c r="I62" s="70">
        <v>0.30690035726739617</v>
      </c>
      <c r="J62" s="72">
        <v>10</v>
      </c>
    </row>
    <row r="63" spans="1:10" ht="15" customHeight="1" x14ac:dyDescent="0.25">
      <c r="A63" s="74">
        <v>830135983</v>
      </c>
      <c r="B63" s="67" t="s">
        <v>222</v>
      </c>
      <c r="C63" s="67" t="s">
        <v>184</v>
      </c>
      <c r="D63" s="68">
        <v>3.7386492488876031</v>
      </c>
      <c r="E63" s="69">
        <v>1400841</v>
      </c>
      <c r="F63" s="70">
        <v>0.15672134770909568</v>
      </c>
      <c r="G63" s="71">
        <v>14940717</v>
      </c>
      <c r="H63" s="70">
        <v>8.7888051834201092E-2</v>
      </c>
      <c r="I63" s="70">
        <v>0.10422183888497454</v>
      </c>
      <c r="J63" s="72">
        <v>109.727926150377</v>
      </c>
    </row>
    <row r="64" spans="1:10" ht="15" customHeight="1" x14ac:dyDescent="0.25">
      <c r="A64" s="74">
        <v>830139248</v>
      </c>
      <c r="B64" s="67" t="s">
        <v>223</v>
      </c>
      <c r="C64" s="67" t="s">
        <v>184</v>
      </c>
      <c r="D64" s="68">
        <v>4.9797769196739824E-2</v>
      </c>
      <c r="E64" s="69">
        <v>-12513789</v>
      </c>
      <c r="F64" s="70">
        <v>0.51938962364986352</v>
      </c>
      <c r="G64" s="71">
        <v>14071784</v>
      </c>
      <c r="H64" s="70">
        <v>-2.9306958557477315E-2</v>
      </c>
      <c r="I64" s="70">
        <v>-6.0978622184649792E-2</v>
      </c>
      <c r="J64" s="72">
        <v>-1.6376565699748267</v>
      </c>
    </row>
    <row r="65" spans="1:10" ht="15" customHeight="1" x14ac:dyDescent="0.25">
      <c r="A65" s="74">
        <v>830146184</v>
      </c>
      <c r="B65" s="67" t="s">
        <v>224</v>
      </c>
      <c r="C65" s="67" t="s">
        <v>184</v>
      </c>
      <c r="D65" s="68">
        <v>1.7939154047692416</v>
      </c>
      <c r="E65" s="69">
        <v>4390168</v>
      </c>
      <c r="F65" s="70">
        <v>0.5048078588635504</v>
      </c>
      <c r="G65" s="71">
        <v>10191545</v>
      </c>
      <c r="H65" s="70">
        <v>2.3476566313060436E-2</v>
      </c>
      <c r="I65" s="70">
        <v>4.7409004228505101E-2</v>
      </c>
      <c r="J65" s="72">
        <v>10</v>
      </c>
    </row>
    <row r="66" spans="1:10" ht="15" customHeight="1" x14ac:dyDescent="0.25">
      <c r="A66" s="74">
        <v>830503751</v>
      </c>
      <c r="B66" s="67" t="s">
        <v>225</v>
      </c>
      <c r="C66" s="67" t="s">
        <v>179</v>
      </c>
      <c r="D66" s="68">
        <v>21.408248976203268</v>
      </c>
      <c r="E66" s="69">
        <v>2925298</v>
      </c>
      <c r="F66" s="70">
        <v>0.66771753849299809</v>
      </c>
      <c r="G66" s="71">
        <v>2235934</v>
      </c>
      <c r="H66" s="70">
        <v>3.0261185290687376E-2</v>
      </c>
      <c r="I66" s="70">
        <v>9.1070666665474032E-2</v>
      </c>
      <c r="J66" s="72">
        <v>10</v>
      </c>
    </row>
    <row r="67" spans="1:10" ht="15" customHeight="1" x14ac:dyDescent="0.25">
      <c r="A67" s="74">
        <v>830515117</v>
      </c>
      <c r="B67" s="67" t="s">
        <v>226</v>
      </c>
      <c r="C67" s="67" t="s">
        <v>179</v>
      </c>
      <c r="D67" s="68">
        <v>19.585027180171654</v>
      </c>
      <c r="E67" s="69">
        <v>13395084</v>
      </c>
      <c r="F67" s="70">
        <v>0.28196440336752049</v>
      </c>
      <c r="G67" s="71">
        <v>16327657</v>
      </c>
      <c r="H67" s="70">
        <v>3.9844864464415902E-2</v>
      </c>
      <c r="I67" s="70">
        <v>5.5491489072804503E-2</v>
      </c>
      <c r="J67" s="72">
        <v>1.1276171274603144</v>
      </c>
    </row>
    <row r="68" spans="1:10" ht="15" customHeight="1" x14ac:dyDescent="0.25">
      <c r="A68" s="74">
        <v>860003342</v>
      </c>
      <c r="B68" s="67" t="s">
        <v>227</v>
      </c>
      <c r="C68" s="67" t="s">
        <v>179</v>
      </c>
      <c r="D68" s="68">
        <v>1.980362096869219</v>
      </c>
      <c r="E68" s="69">
        <v>2354568</v>
      </c>
      <c r="F68" s="70">
        <v>0.74657688494349816</v>
      </c>
      <c r="G68" s="71">
        <v>1830889</v>
      </c>
      <c r="H68" s="70">
        <v>0.16489197444354614</v>
      </c>
      <c r="I68" s="70">
        <v>0.65065877833118224</v>
      </c>
      <c r="J68" s="72">
        <v>7.655820828379551</v>
      </c>
    </row>
    <row r="69" spans="1:10" ht="15" customHeight="1" x14ac:dyDescent="0.25">
      <c r="A69" s="74">
        <v>860009250</v>
      </c>
      <c r="B69" s="67" t="s">
        <v>228</v>
      </c>
      <c r="C69" s="67" t="s">
        <v>179</v>
      </c>
      <c r="D69" s="68">
        <v>2.3663030068169579</v>
      </c>
      <c r="E69" s="69">
        <v>8927223</v>
      </c>
      <c r="F69" s="70">
        <v>0.33358295606995514</v>
      </c>
      <c r="G69" s="71">
        <v>13053038</v>
      </c>
      <c r="H69" s="70">
        <v>6.427732711638616E-2</v>
      </c>
      <c r="I69" s="70">
        <v>9.6452105632420584E-2</v>
      </c>
      <c r="J69" s="72">
        <v>28.966339959506719</v>
      </c>
    </row>
    <row r="70" spans="1:10" ht="15" customHeight="1" x14ac:dyDescent="0.25">
      <c r="A70" s="74">
        <v>860014285</v>
      </c>
      <c r="B70" s="67" t="s">
        <v>229</v>
      </c>
      <c r="C70" s="67" t="s">
        <v>179</v>
      </c>
      <c r="D70" s="68">
        <v>15.410912244128276</v>
      </c>
      <c r="E70" s="69">
        <v>4852745</v>
      </c>
      <c r="F70" s="70">
        <v>0.25989282162719607</v>
      </c>
      <c r="G70" s="71">
        <v>5224609</v>
      </c>
      <c r="H70" s="70">
        <v>0.33884472310128821</v>
      </c>
      <c r="I70" s="70">
        <v>0.45783196407616339</v>
      </c>
      <c r="J70" s="72">
        <v>6.5584545910687408</v>
      </c>
    </row>
    <row r="71" spans="1:10" ht="15" customHeight="1" x14ac:dyDescent="0.25">
      <c r="A71" s="74">
        <v>860027091</v>
      </c>
      <c r="B71" s="67" t="s">
        <v>230</v>
      </c>
      <c r="C71" s="67" t="s">
        <v>179</v>
      </c>
      <c r="D71" s="68">
        <v>2.4355862438815388</v>
      </c>
      <c r="E71" s="69">
        <v>9026583</v>
      </c>
      <c r="F71" s="70">
        <v>0.54698823174434408</v>
      </c>
      <c r="G71" s="71">
        <v>9584794</v>
      </c>
      <c r="H71" s="70">
        <v>0.16223690250315531</v>
      </c>
      <c r="I71" s="70">
        <v>0.3581295539580715</v>
      </c>
      <c r="J71" s="72">
        <v>803.51076779026221</v>
      </c>
    </row>
    <row r="72" spans="1:10" ht="15" customHeight="1" x14ac:dyDescent="0.25">
      <c r="A72" s="74">
        <v>860032057</v>
      </c>
      <c r="B72" s="67" t="s">
        <v>231</v>
      </c>
      <c r="C72" s="67" t="s">
        <v>179</v>
      </c>
      <c r="D72" s="68">
        <v>1.3344012751900074</v>
      </c>
      <c r="E72" s="69">
        <v>11455746</v>
      </c>
      <c r="F72" s="70">
        <v>0.52379389769342655</v>
      </c>
      <c r="G72" s="71">
        <v>31965387</v>
      </c>
      <c r="H72" s="70">
        <v>0.1504376827091978</v>
      </c>
      <c r="I72" s="70">
        <v>0.31590876719246352</v>
      </c>
      <c r="J72" s="72">
        <v>21.065101026747161</v>
      </c>
    </row>
    <row r="73" spans="1:10" ht="15" customHeight="1" x14ac:dyDescent="0.25">
      <c r="A73" s="74">
        <v>860046645</v>
      </c>
      <c r="B73" s="67" t="s">
        <v>232</v>
      </c>
      <c r="C73" s="67" t="s">
        <v>184</v>
      </c>
      <c r="D73" s="68">
        <v>2.2070930634884345</v>
      </c>
      <c r="E73" s="69">
        <v>32172818</v>
      </c>
      <c r="F73" s="70">
        <v>0.59379705575123354</v>
      </c>
      <c r="G73" s="71">
        <v>29048755</v>
      </c>
      <c r="H73" s="70">
        <v>3.8921363444427537E-2</v>
      </c>
      <c r="I73" s="70">
        <v>9.5817531594727556E-2</v>
      </c>
      <c r="J73" s="72">
        <v>7.274623315865818</v>
      </c>
    </row>
    <row r="74" spans="1:10" ht="15" customHeight="1" x14ac:dyDescent="0.25">
      <c r="A74" s="74">
        <v>860055558</v>
      </c>
      <c r="B74" s="67" t="s">
        <v>233</v>
      </c>
      <c r="C74" s="67" t="s">
        <v>179</v>
      </c>
      <c r="D74" s="68">
        <v>53.495967419947299</v>
      </c>
      <c r="E74" s="69">
        <v>1972221</v>
      </c>
      <c r="F74" s="70">
        <v>0.55354102693668128</v>
      </c>
      <c r="G74" s="71">
        <v>1378326</v>
      </c>
      <c r="H74" s="70">
        <v>-6.3717106541765463E-3</v>
      </c>
      <c r="I74" s="70">
        <v>-1.4271659970137688E-2</v>
      </c>
      <c r="J74" s="72">
        <v>-18.805927342256215</v>
      </c>
    </row>
    <row r="75" spans="1:10" ht="15" customHeight="1" x14ac:dyDescent="0.25">
      <c r="A75" s="74">
        <v>860062439</v>
      </c>
      <c r="B75" s="67" t="s">
        <v>234</v>
      </c>
      <c r="C75" s="67" t="s">
        <v>179</v>
      </c>
      <c r="D75" s="68">
        <v>1.9214378055130021</v>
      </c>
      <c r="E75" s="69">
        <v>2697089</v>
      </c>
      <c r="F75" s="70">
        <v>0.36798523756440432</v>
      </c>
      <c r="G75" s="71">
        <v>5027199</v>
      </c>
      <c r="H75" s="70">
        <v>0.26835652368176333</v>
      </c>
      <c r="I75" s="70">
        <v>0.4246048346206307</v>
      </c>
      <c r="J75" s="72">
        <v>10</v>
      </c>
    </row>
    <row r="76" spans="1:10" ht="15" customHeight="1" x14ac:dyDescent="0.25">
      <c r="A76" s="74">
        <v>860067745</v>
      </c>
      <c r="B76" s="67" t="s">
        <v>235</v>
      </c>
      <c r="C76" s="67" t="s">
        <v>179</v>
      </c>
      <c r="D76" s="68">
        <v>5.043768976461811</v>
      </c>
      <c r="E76" s="69">
        <v>2878100</v>
      </c>
      <c r="F76" s="70">
        <v>0.15685584403649303</v>
      </c>
      <c r="G76" s="71">
        <v>3825786</v>
      </c>
      <c r="H76" s="70">
        <v>5.0571644485328231E-3</v>
      </c>
      <c r="I76" s="70">
        <v>5.9979831595389811E-3</v>
      </c>
      <c r="J76" s="72">
        <v>1.4008302301446798</v>
      </c>
    </row>
    <row r="77" spans="1:10" ht="15" customHeight="1" x14ac:dyDescent="0.25">
      <c r="A77" s="74">
        <v>860077758</v>
      </c>
      <c r="B77" s="67" t="s">
        <v>236</v>
      </c>
      <c r="C77" s="67" t="s">
        <v>184</v>
      </c>
      <c r="D77" s="68">
        <v>21.550308036607003</v>
      </c>
      <c r="E77" s="69">
        <v>19320331</v>
      </c>
      <c r="F77" s="70">
        <v>7.4390212167713368E-2</v>
      </c>
      <c r="G77" s="71">
        <v>51896089</v>
      </c>
      <c r="H77" s="70">
        <v>7.8400580563379979E-2</v>
      </c>
      <c r="I77" s="70">
        <v>8.4701546584753235E-2</v>
      </c>
      <c r="J77" s="72">
        <v>14.045677347614362</v>
      </c>
    </row>
    <row r="78" spans="1:10" ht="15" customHeight="1" x14ac:dyDescent="0.25">
      <c r="A78" s="74">
        <v>860353659</v>
      </c>
      <c r="B78" s="67" t="s">
        <v>237</v>
      </c>
      <c r="C78" s="67" t="s">
        <v>179</v>
      </c>
      <c r="D78" s="68">
        <v>11.491414721723519</v>
      </c>
      <c r="E78" s="69">
        <v>2921859</v>
      </c>
      <c r="F78" s="70">
        <v>9.7895374669915686E-2</v>
      </c>
      <c r="G78" s="71">
        <v>11706259</v>
      </c>
      <c r="H78" s="70">
        <v>-5.3189627582984123E-2</v>
      </c>
      <c r="I78" s="70">
        <v>-5.8961705870338249E-2</v>
      </c>
      <c r="J78" s="72">
        <v>-14.562546152710087</v>
      </c>
    </row>
    <row r="79" spans="1:10" ht="15" customHeight="1" x14ac:dyDescent="0.25">
      <c r="A79" s="74">
        <v>860353765</v>
      </c>
      <c r="B79" s="67" t="s">
        <v>238</v>
      </c>
      <c r="C79" s="67" t="s">
        <v>184</v>
      </c>
      <c r="D79" s="68">
        <v>1.6924672125185074</v>
      </c>
      <c r="E79" s="69">
        <v>7339523</v>
      </c>
      <c r="F79" s="70">
        <v>0.57184182710768505</v>
      </c>
      <c r="G79" s="71">
        <v>8295890</v>
      </c>
      <c r="H79" s="70">
        <v>0.39098223759997025</v>
      </c>
      <c r="I79" s="70">
        <v>0.91317242634605811</v>
      </c>
      <c r="J79" s="72">
        <v>4.065968321680236</v>
      </c>
    </row>
    <row r="80" spans="1:10" ht="15" customHeight="1" x14ac:dyDescent="0.25">
      <c r="A80" s="74">
        <v>860450644</v>
      </c>
      <c r="B80" s="67" t="s">
        <v>88</v>
      </c>
      <c r="C80" s="67" t="s">
        <v>179</v>
      </c>
      <c r="D80" s="68">
        <v>3.2353344913171793</v>
      </c>
      <c r="E80" s="69">
        <v>2172307</v>
      </c>
      <c r="F80" s="70">
        <v>0.39691072692481882</v>
      </c>
      <c r="G80" s="71">
        <v>1982776</v>
      </c>
      <c r="H80" s="70">
        <v>6.4413439308160514E-2</v>
      </c>
      <c r="I80" s="70">
        <v>0.10680581164992919</v>
      </c>
      <c r="J80" s="72">
        <v>1.624317359023133</v>
      </c>
    </row>
    <row r="81" spans="1:10" ht="15" customHeight="1" x14ac:dyDescent="0.25">
      <c r="A81" s="74">
        <v>860519715</v>
      </c>
      <c r="B81" s="67" t="s">
        <v>239</v>
      </c>
      <c r="C81" s="67" t="s">
        <v>184</v>
      </c>
      <c r="D81" s="68">
        <v>0.67251026378543155</v>
      </c>
      <c r="E81" s="69">
        <v>-399639</v>
      </c>
      <c r="F81" s="70">
        <v>0.10537978206690801</v>
      </c>
      <c r="G81" s="71">
        <v>24589084</v>
      </c>
      <c r="H81" s="70">
        <v>2.0257845045569482E-2</v>
      </c>
      <c r="I81" s="70">
        <v>2.2644072467278571E-2</v>
      </c>
      <c r="J81" s="72">
        <v>10</v>
      </c>
    </row>
    <row r="82" spans="1:10" ht="15" customHeight="1" x14ac:dyDescent="0.25">
      <c r="A82" s="74">
        <v>860520741</v>
      </c>
      <c r="B82" s="67" t="s">
        <v>240</v>
      </c>
      <c r="C82" s="67" t="s">
        <v>184</v>
      </c>
      <c r="D82" s="68">
        <v>2.7622351707545634</v>
      </c>
      <c r="E82" s="69">
        <v>2734307</v>
      </c>
      <c r="F82" s="70">
        <v>6.8351802033993353E-2</v>
      </c>
      <c r="G82" s="71">
        <v>21797158</v>
      </c>
      <c r="H82" s="70">
        <v>-2.5493517362117323E-2</v>
      </c>
      <c r="I82" s="70">
        <v>-2.7363888448209625E-2</v>
      </c>
      <c r="J82" s="72">
        <v>-5790.825242718447</v>
      </c>
    </row>
    <row r="83" spans="1:10" ht="15" customHeight="1" x14ac:dyDescent="0.25">
      <c r="A83" s="74">
        <v>890116722</v>
      </c>
      <c r="B83" s="67" t="s">
        <v>241</v>
      </c>
      <c r="C83" s="67" t="s">
        <v>179</v>
      </c>
      <c r="D83" s="68">
        <v>6.4530228860881893</v>
      </c>
      <c r="E83" s="69">
        <v>18000434</v>
      </c>
      <c r="F83" s="70">
        <v>0.20006642981872011</v>
      </c>
      <c r="G83" s="71">
        <v>19871353</v>
      </c>
      <c r="H83" s="70">
        <v>5.5760671341309902E-2</v>
      </c>
      <c r="I83" s="70">
        <v>6.9706627424916665E-2</v>
      </c>
      <c r="J83" s="72">
        <v>10</v>
      </c>
    </row>
    <row r="84" spans="1:10" ht="15" customHeight="1" x14ac:dyDescent="0.25">
      <c r="A84" s="74">
        <v>890303126</v>
      </c>
      <c r="B84" s="67" t="s">
        <v>242</v>
      </c>
      <c r="C84" s="67" t="s">
        <v>179</v>
      </c>
      <c r="D84" s="68">
        <v>2.1408750817445483</v>
      </c>
      <c r="E84" s="69">
        <v>2356919</v>
      </c>
      <c r="F84" s="70">
        <v>0.40593047832348711</v>
      </c>
      <c r="G84" s="71">
        <v>3731798</v>
      </c>
      <c r="H84" s="70">
        <v>7.4116731428313085E-2</v>
      </c>
      <c r="I84" s="70">
        <v>0.12476104012060674</v>
      </c>
      <c r="J84" s="72">
        <v>4.8861637596289063</v>
      </c>
    </row>
    <row r="85" spans="1:10" ht="15" customHeight="1" x14ac:dyDescent="0.25">
      <c r="A85" s="74">
        <v>890403012</v>
      </c>
      <c r="B85" s="67" t="s">
        <v>243</v>
      </c>
      <c r="C85" s="67" t="s">
        <v>179</v>
      </c>
      <c r="D85" s="68">
        <v>4.4663645594860775</v>
      </c>
      <c r="E85" s="69">
        <v>17676012</v>
      </c>
      <c r="F85" s="70">
        <v>0.27438248973533008</v>
      </c>
      <c r="G85" s="71">
        <v>20554581</v>
      </c>
      <c r="H85" s="70">
        <v>0.20939358285458839</v>
      </c>
      <c r="I85" s="70">
        <v>0.28857294634222902</v>
      </c>
      <c r="J85" s="72">
        <v>10.040602555052805</v>
      </c>
    </row>
    <row r="86" spans="1:10" ht="15" customHeight="1" x14ac:dyDescent="0.25">
      <c r="A86" s="74">
        <v>890929122</v>
      </c>
      <c r="B86" s="67" t="s">
        <v>244</v>
      </c>
      <c r="C86" s="67" t="s">
        <v>179</v>
      </c>
      <c r="D86" s="68">
        <v>2.0363622491602613</v>
      </c>
      <c r="E86" s="69">
        <v>8082128</v>
      </c>
      <c r="F86" s="70">
        <v>0.37990203672496131</v>
      </c>
      <c r="G86" s="71">
        <v>13649295</v>
      </c>
      <c r="H86" s="70">
        <v>0.10577922990667521</v>
      </c>
      <c r="I86" s="70">
        <v>0.17058470785487456</v>
      </c>
      <c r="J86" s="72">
        <v>19.703486502496403</v>
      </c>
    </row>
    <row r="87" spans="1:10" ht="15" customHeight="1" x14ac:dyDescent="0.25">
      <c r="A87" s="74">
        <v>900033933</v>
      </c>
      <c r="B87" s="67" t="s">
        <v>245</v>
      </c>
      <c r="C87" s="67" t="s">
        <v>179</v>
      </c>
      <c r="D87" s="68">
        <v>2.9212378636227068</v>
      </c>
      <c r="E87" s="69">
        <v>3587368</v>
      </c>
      <c r="F87" s="70">
        <v>0.62204438733282919</v>
      </c>
      <c r="G87" s="71">
        <v>4693079</v>
      </c>
      <c r="H87" s="70">
        <v>0.15571662133503789</v>
      </c>
      <c r="I87" s="70">
        <v>0.41199711319583582</v>
      </c>
      <c r="J87" s="72">
        <v>8.0698118956097851</v>
      </c>
    </row>
    <row r="88" spans="1:10" ht="15" customHeight="1" x14ac:dyDescent="0.25">
      <c r="A88" s="74">
        <v>900039806</v>
      </c>
      <c r="B88" s="67" t="s">
        <v>246</v>
      </c>
      <c r="C88" s="67" t="s">
        <v>184</v>
      </c>
      <c r="D88" s="68">
        <v>4.361775497858928</v>
      </c>
      <c r="E88" s="69">
        <v>5068401</v>
      </c>
      <c r="F88" s="70">
        <v>0.21240736404588031</v>
      </c>
      <c r="G88" s="71">
        <v>5590290</v>
      </c>
      <c r="H88" s="70">
        <v>0.2886611140744097</v>
      </c>
      <c r="I88" s="70">
        <v>0.36651068191453395</v>
      </c>
      <c r="J88" s="72">
        <v>10.863219676685629</v>
      </c>
    </row>
    <row r="89" spans="1:10" ht="15" customHeight="1" x14ac:dyDescent="0.25">
      <c r="A89" s="74">
        <v>900059812</v>
      </c>
      <c r="B89" s="67" t="s">
        <v>247</v>
      </c>
      <c r="C89" s="67" t="s">
        <v>184</v>
      </c>
      <c r="D89" s="68">
        <v>6.4491296429899476</v>
      </c>
      <c r="E89" s="69">
        <v>8572598</v>
      </c>
      <c r="F89" s="70">
        <v>0.55436442202905145</v>
      </c>
      <c r="G89" s="71">
        <v>7918737</v>
      </c>
      <c r="H89" s="70">
        <v>0.1203155850729915</v>
      </c>
      <c r="I89" s="70">
        <v>0.26998648900702221</v>
      </c>
      <c r="J89" s="72">
        <v>10</v>
      </c>
    </row>
    <row r="90" spans="1:10" ht="15" customHeight="1" x14ac:dyDescent="0.25">
      <c r="A90" s="74">
        <v>900071212</v>
      </c>
      <c r="B90" s="67" t="s">
        <v>248</v>
      </c>
      <c r="C90" s="67" t="s">
        <v>179</v>
      </c>
      <c r="D90" s="68">
        <v>6.2860274018181235</v>
      </c>
      <c r="E90" s="69">
        <v>10167790</v>
      </c>
      <c r="F90" s="70">
        <v>0.72611963915015454</v>
      </c>
      <c r="G90" s="71">
        <v>6385267</v>
      </c>
      <c r="H90" s="70">
        <v>2.8076560106998029E-2</v>
      </c>
      <c r="I90" s="70">
        <v>0.10251395908738037</v>
      </c>
      <c r="J90" s="72">
        <v>1.1398413991975929</v>
      </c>
    </row>
    <row r="91" spans="1:10" ht="15" customHeight="1" x14ac:dyDescent="0.25">
      <c r="A91" s="74">
        <v>900077164</v>
      </c>
      <c r="B91" s="67" t="s">
        <v>249</v>
      </c>
      <c r="C91" s="67" t="s">
        <v>184</v>
      </c>
      <c r="D91" s="68">
        <v>0.69713214272583868</v>
      </c>
      <c r="E91" s="69">
        <v>-518988</v>
      </c>
      <c r="F91" s="70">
        <v>0.23109244501987955</v>
      </c>
      <c r="G91" s="71">
        <v>12448814</v>
      </c>
      <c r="H91" s="70">
        <v>-2.9772836892499755E-3</v>
      </c>
      <c r="I91" s="70">
        <v>-3.8720957675164877E-3</v>
      </c>
      <c r="J91" s="72">
        <v>10</v>
      </c>
    </row>
    <row r="92" spans="1:10" ht="15" customHeight="1" x14ac:dyDescent="0.25">
      <c r="A92" s="74">
        <v>900108455</v>
      </c>
      <c r="B92" s="67" t="s">
        <v>250</v>
      </c>
      <c r="C92" s="67" t="s">
        <v>179</v>
      </c>
      <c r="D92" s="68">
        <v>2.6250338585753354</v>
      </c>
      <c r="E92" s="69">
        <v>2495727</v>
      </c>
      <c r="F92" s="70">
        <v>0.29458146721996642</v>
      </c>
      <c r="G92" s="71">
        <v>4357881</v>
      </c>
      <c r="H92" s="70">
        <v>0.3469831284142833</v>
      </c>
      <c r="I92" s="70">
        <v>0.4918826374561398</v>
      </c>
      <c r="J92" s="72">
        <v>10</v>
      </c>
    </row>
    <row r="93" spans="1:10" ht="15" customHeight="1" x14ac:dyDescent="0.25">
      <c r="A93" s="74">
        <v>900139110</v>
      </c>
      <c r="B93" s="67" t="s">
        <v>251</v>
      </c>
      <c r="C93" s="67" t="s">
        <v>179</v>
      </c>
      <c r="D93" s="68">
        <v>4.1316398871105209</v>
      </c>
      <c r="E93" s="69">
        <v>28093622</v>
      </c>
      <c r="F93" s="70">
        <v>0.49593597386367999</v>
      </c>
      <c r="G93" s="71">
        <v>22814828</v>
      </c>
      <c r="H93" s="70">
        <v>7.8529856744873811E-2</v>
      </c>
      <c r="I93" s="70">
        <v>0.15579341645705153</v>
      </c>
      <c r="J93" s="72">
        <v>10</v>
      </c>
    </row>
    <row r="94" spans="1:10" ht="15" customHeight="1" x14ac:dyDescent="0.25">
      <c r="A94" s="74">
        <v>900150121</v>
      </c>
      <c r="B94" s="67" t="s">
        <v>252</v>
      </c>
      <c r="C94" s="67" t="s">
        <v>184</v>
      </c>
      <c r="D94" s="68">
        <v>3.8652242223391684</v>
      </c>
      <c r="E94" s="69">
        <v>6005318</v>
      </c>
      <c r="F94" s="70">
        <v>0.25765458970514077</v>
      </c>
      <c r="G94" s="71">
        <v>6038729</v>
      </c>
      <c r="H94" s="70">
        <v>0.10702313138517618</v>
      </c>
      <c r="I94" s="70">
        <v>0.14416891369028151</v>
      </c>
      <c r="J94" s="72">
        <v>10</v>
      </c>
    </row>
    <row r="95" spans="1:10" ht="15" customHeight="1" x14ac:dyDescent="0.25">
      <c r="A95" s="74">
        <v>900172188</v>
      </c>
      <c r="B95" s="67" t="s">
        <v>253</v>
      </c>
      <c r="C95" s="67" t="s">
        <v>184</v>
      </c>
      <c r="D95" s="68">
        <v>1.8923678810193225</v>
      </c>
      <c r="E95" s="69">
        <v>627489</v>
      </c>
      <c r="F95" s="70">
        <v>0.14089063173070268</v>
      </c>
      <c r="G95" s="71">
        <v>11272240</v>
      </c>
      <c r="H95" s="70">
        <v>4.0241313744756056E-4</v>
      </c>
      <c r="I95" s="70">
        <v>4.6840734405938835E-4</v>
      </c>
      <c r="J95" s="72">
        <v>2.5139385513429098E-2</v>
      </c>
    </row>
    <row r="96" spans="1:10" ht="15" customHeight="1" x14ac:dyDescent="0.25">
      <c r="A96" s="74">
        <v>900188602</v>
      </c>
      <c r="B96" s="67" t="s">
        <v>254</v>
      </c>
      <c r="C96" s="67" t="s">
        <v>184</v>
      </c>
      <c r="D96" s="68">
        <v>94.094020255116902</v>
      </c>
      <c r="E96" s="69">
        <v>23660590</v>
      </c>
      <c r="F96" s="70">
        <v>7.6689567505575547E-3</v>
      </c>
      <c r="G96" s="71">
        <v>32886986</v>
      </c>
      <c r="H96" s="70">
        <v>0.21194343804184912</v>
      </c>
      <c r="I96" s="70">
        <v>0.21358138444185795</v>
      </c>
      <c r="J96" s="72">
        <v>10</v>
      </c>
    </row>
    <row r="97" spans="1:10" ht="15" customHeight="1" x14ac:dyDescent="0.25">
      <c r="A97" s="74">
        <v>900204764</v>
      </c>
      <c r="B97" s="67" t="s">
        <v>255</v>
      </c>
      <c r="C97" s="67" t="s">
        <v>179</v>
      </c>
      <c r="D97" s="68">
        <v>8.2000503160199152</v>
      </c>
      <c r="E97" s="69">
        <v>4893903</v>
      </c>
      <c r="F97" s="70">
        <v>0.46513795023929538</v>
      </c>
      <c r="G97" s="71">
        <v>5897566</v>
      </c>
      <c r="H97" s="70">
        <v>5.2006419905225049E-3</v>
      </c>
      <c r="I97" s="70">
        <v>9.7233333208988255E-3</v>
      </c>
      <c r="J97" s="72">
        <v>10</v>
      </c>
    </row>
    <row r="98" spans="1:10" ht="15" customHeight="1" x14ac:dyDescent="0.25">
      <c r="A98" s="74">
        <v>900205090</v>
      </c>
      <c r="B98" s="67" t="s">
        <v>256</v>
      </c>
      <c r="C98" s="67" t="s">
        <v>184</v>
      </c>
      <c r="D98" s="68">
        <v>1.5990463085684057</v>
      </c>
      <c r="E98" s="69">
        <v>1467573</v>
      </c>
      <c r="F98" s="70">
        <v>0.38019881361381924</v>
      </c>
      <c r="G98" s="71">
        <v>4015276</v>
      </c>
      <c r="H98" s="70">
        <v>6.8478306674452621E-2</v>
      </c>
      <c r="I98" s="70">
        <v>0.1104843104185117</v>
      </c>
      <c r="J98" s="72">
        <v>8.1683851960964837</v>
      </c>
    </row>
    <row r="99" spans="1:10" ht="15" customHeight="1" x14ac:dyDescent="0.25">
      <c r="A99" s="74">
        <v>900218054</v>
      </c>
      <c r="B99" s="67" t="s">
        <v>257</v>
      </c>
      <c r="C99" s="67" t="s">
        <v>179</v>
      </c>
      <c r="D99" s="68">
        <v>13.156825606450267</v>
      </c>
      <c r="E99" s="69">
        <v>3498005</v>
      </c>
      <c r="F99" s="70">
        <v>0.38892809052262356</v>
      </c>
      <c r="G99" s="71">
        <v>2322600</v>
      </c>
      <c r="H99" s="70">
        <v>-0.60885662252404849</v>
      </c>
      <c r="I99" s="70">
        <v>-0.99637475243261864</v>
      </c>
      <c r="J99" s="72">
        <v>-83.577593990393297</v>
      </c>
    </row>
    <row r="100" spans="1:10" ht="15" customHeight="1" x14ac:dyDescent="0.25">
      <c r="A100" s="74">
        <v>900223787</v>
      </c>
      <c r="B100" s="67" t="s">
        <v>258</v>
      </c>
      <c r="C100" s="67" t="s">
        <v>179</v>
      </c>
      <c r="D100" s="68">
        <v>6.9828646005006547</v>
      </c>
      <c r="E100" s="69">
        <v>1343189</v>
      </c>
      <c r="F100" s="70">
        <v>0.44164810380353065</v>
      </c>
      <c r="G100" s="71">
        <v>1203159</v>
      </c>
      <c r="H100" s="70">
        <v>8.62008316162685E-2</v>
      </c>
      <c r="I100" s="70">
        <v>0.15438441635727282</v>
      </c>
      <c r="J100" s="72">
        <v>10</v>
      </c>
    </row>
    <row r="101" spans="1:10" ht="15" customHeight="1" x14ac:dyDescent="0.25">
      <c r="A101" s="74">
        <v>900241492</v>
      </c>
      <c r="B101" s="67" t="s">
        <v>259</v>
      </c>
      <c r="C101" s="67" t="s">
        <v>179</v>
      </c>
      <c r="D101" s="68">
        <v>8.9653448603564314</v>
      </c>
      <c r="E101" s="69">
        <v>5699491</v>
      </c>
      <c r="F101" s="70">
        <v>0.35964566263917608</v>
      </c>
      <c r="G101" s="71">
        <v>4112004</v>
      </c>
      <c r="H101" s="70">
        <v>5.880181909042053E-2</v>
      </c>
      <c r="I101" s="70">
        <v>9.1827002113811174E-2</v>
      </c>
      <c r="J101" s="72">
        <v>7.3233708301008535</v>
      </c>
    </row>
    <row r="102" spans="1:10" ht="15" customHeight="1" x14ac:dyDescent="0.25">
      <c r="A102" s="74">
        <v>900249549</v>
      </c>
      <c r="B102" s="67" t="s">
        <v>260</v>
      </c>
      <c r="C102" s="67" t="s">
        <v>179</v>
      </c>
      <c r="D102" s="68">
        <v>2.9646028526418182</v>
      </c>
      <c r="E102" s="69">
        <v>3885898</v>
      </c>
      <c r="F102" s="70">
        <v>0.33305740703820852</v>
      </c>
      <c r="G102" s="71">
        <v>3960828</v>
      </c>
      <c r="H102" s="70">
        <v>0.17124482048850403</v>
      </c>
      <c r="I102" s="70">
        <v>0.25676096008208382</v>
      </c>
      <c r="J102" s="72">
        <v>10</v>
      </c>
    </row>
    <row r="103" spans="1:10" ht="15" customHeight="1" x14ac:dyDescent="0.25">
      <c r="A103" s="74">
        <v>900269791</v>
      </c>
      <c r="B103" s="67" t="s">
        <v>261</v>
      </c>
      <c r="C103" s="67" t="s">
        <v>179</v>
      </c>
      <c r="D103" s="68">
        <v>3.199866719901554</v>
      </c>
      <c r="E103" s="69">
        <v>11405363</v>
      </c>
      <c r="F103" s="70">
        <v>0.89845040832198786</v>
      </c>
      <c r="G103" s="71">
        <v>3103649</v>
      </c>
      <c r="H103" s="70">
        <v>2.3934876577444083E-2</v>
      </c>
      <c r="I103" s="70">
        <v>0.23569643345623167</v>
      </c>
      <c r="J103" s="72">
        <v>1.3416655662176835</v>
      </c>
    </row>
    <row r="104" spans="1:10" ht="15" customHeight="1" x14ac:dyDescent="0.25">
      <c r="A104" s="74">
        <v>900280445</v>
      </c>
      <c r="B104" s="67" t="s">
        <v>262</v>
      </c>
      <c r="C104" s="67" t="s">
        <v>179</v>
      </c>
      <c r="D104" s="68">
        <v>4.2175198067917412</v>
      </c>
      <c r="E104" s="69">
        <v>2184889</v>
      </c>
      <c r="F104" s="70">
        <v>0.57835737994857828</v>
      </c>
      <c r="G104" s="71">
        <v>4429478</v>
      </c>
      <c r="H104" s="70">
        <v>1.094715138753904E-2</v>
      </c>
      <c r="I104" s="70">
        <v>2.5963104456100696E-2</v>
      </c>
      <c r="J104" s="72">
        <v>10</v>
      </c>
    </row>
    <row r="105" spans="1:10" ht="15" customHeight="1" x14ac:dyDescent="0.25">
      <c r="A105" s="74">
        <v>900309161</v>
      </c>
      <c r="B105" s="67" t="s">
        <v>263</v>
      </c>
      <c r="C105" s="67" t="s">
        <v>179</v>
      </c>
      <c r="D105" s="68">
        <v>6.1018299252314749</v>
      </c>
      <c r="E105" s="69">
        <v>1889427</v>
      </c>
      <c r="F105" s="70">
        <v>0.71873864316790281</v>
      </c>
      <c r="G105" s="71">
        <v>650103</v>
      </c>
      <c r="H105" s="70">
        <v>0.2235764373206702</v>
      </c>
      <c r="I105" s="70">
        <v>0.79490634560984952</v>
      </c>
      <c r="J105" s="72">
        <v>232.8846327174403</v>
      </c>
    </row>
    <row r="106" spans="1:10" ht="15" customHeight="1" x14ac:dyDescent="0.25">
      <c r="A106" s="74">
        <v>900319755</v>
      </c>
      <c r="B106" s="67" t="s">
        <v>264</v>
      </c>
      <c r="C106" s="67" t="s">
        <v>184</v>
      </c>
      <c r="D106" s="68">
        <v>6.7124041337094722</v>
      </c>
      <c r="E106" s="69">
        <v>27561316</v>
      </c>
      <c r="F106" s="70">
        <v>0.12725338604218134</v>
      </c>
      <c r="G106" s="71">
        <v>35683770</v>
      </c>
      <c r="H106" s="70">
        <v>3.3431419721407528E-2</v>
      </c>
      <c r="I106" s="70">
        <v>3.8305986166820377E-2</v>
      </c>
      <c r="J106" s="72">
        <v>1278.6735266604303</v>
      </c>
    </row>
    <row r="107" spans="1:10" ht="15" customHeight="1" x14ac:dyDescent="0.25">
      <c r="A107" s="74">
        <v>900320098</v>
      </c>
      <c r="B107" s="67" t="s">
        <v>265</v>
      </c>
      <c r="C107" s="67" t="s">
        <v>184</v>
      </c>
      <c r="D107" s="68">
        <v>1.2505026494187375</v>
      </c>
      <c r="E107" s="69">
        <v>522909</v>
      </c>
      <c r="F107" s="70">
        <v>0.52671022642649445</v>
      </c>
      <c r="G107" s="71">
        <v>3022074</v>
      </c>
      <c r="H107" s="70">
        <v>0.29378735463962186</v>
      </c>
      <c r="I107" s="70">
        <v>0.62073463455891553</v>
      </c>
      <c r="J107" s="72">
        <v>2.0767368356959799</v>
      </c>
    </row>
    <row r="108" spans="1:10" ht="15" customHeight="1" x14ac:dyDescent="0.25">
      <c r="A108" s="74">
        <v>900320206</v>
      </c>
      <c r="B108" s="67" t="s">
        <v>266</v>
      </c>
      <c r="C108" s="67" t="s">
        <v>179</v>
      </c>
      <c r="D108" s="68">
        <v>1.9779488755201533</v>
      </c>
      <c r="E108" s="69">
        <v>2638509</v>
      </c>
      <c r="F108" s="70">
        <v>0.64123378811924381</v>
      </c>
      <c r="G108" s="71">
        <v>2075723</v>
      </c>
      <c r="H108" s="70">
        <v>3.6377802889386746E-2</v>
      </c>
      <c r="I108" s="70">
        <v>0.10139695903547824</v>
      </c>
      <c r="J108" s="72">
        <v>10</v>
      </c>
    </row>
    <row r="109" spans="1:10" ht="15" customHeight="1" x14ac:dyDescent="0.25">
      <c r="A109" s="74">
        <v>900327528</v>
      </c>
      <c r="B109" s="67" t="s">
        <v>267</v>
      </c>
      <c r="C109" s="67" t="s">
        <v>179</v>
      </c>
      <c r="D109" s="68">
        <v>6.1111265071566301</v>
      </c>
      <c r="E109" s="69">
        <v>35669039</v>
      </c>
      <c r="F109" s="70">
        <v>0.59259112405968972</v>
      </c>
      <c r="G109" s="71">
        <v>18659452</v>
      </c>
      <c r="H109" s="70">
        <v>3.0006632269809191E-2</v>
      </c>
      <c r="I109" s="70">
        <v>7.3652377358134638E-2</v>
      </c>
      <c r="J109" s="72">
        <v>11.195120560443142</v>
      </c>
    </row>
    <row r="110" spans="1:10" ht="15" customHeight="1" x14ac:dyDescent="0.25">
      <c r="A110" s="74">
        <v>900341322</v>
      </c>
      <c r="B110" s="67" t="s">
        <v>268</v>
      </c>
      <c r="C110" s="67" t="s">
        <v>184</v>
      </c>
      <c r="D110" s="68">
        <v>2.8273148048971199</v>
      </c>
      <c r="E110" s="69">
        <v>2729599</v>
      </c>
      <c r="F110" s="70">
        <v>0.27068398236180624</v>
      </c>
      <c r="G110" s="71">
        <v>19599274</v>
      </c>
      <c r="H110" s="70">
        <v>0.19614758033006494</v>
      </c>
      <c r="I110" s="70">
        <v>0.26894730896664848</v>
      </c>
      <c r="J110" s="72">
        <v>10</v>
      </c>
    </row>
    <row r="111" spans="1:10" ht="15" customHeight="1" x14ac:dyDescent="0.25">
      <c r="A111" s="74">
        <v>900345143</v>
      </c>
      <c r="B111" s="67" t="s">
        <v>269</v>
      </c>
      <c r="C111" s="67" t="s">
        <v>179</v>
      </c>
      <c r="D111" s="68">
        <v>1.671001449657894</v>
      </c>
      <c r="E111" s="69">
        <v>6383424</v>
      </c>
      <c r="F111" s="70">
        <v>0.50562968287868926</v>
      </c>
      <c r="G111" s="71">
        <v>9557823</v>
      </c>
      <c r="H111" s="70">
        <v>0.34594045815290869</v>
      </c>
      <c r="I111" s="70">
        <v>0.69975976747006097</v>
      </c>
      <c r="J111" s="72">
        <v>24.523620950118069</v>
      </c>
    </row>
    <row r="112" spans="1:10" ht="15" customHeight="1" x14ac:dyDescent="0.25">
      <c r="A112" s="74">
        <v>900346221</v>
      </c>
      <c r="B112" s="67" t="s">
        <v>270</v>
      </c>
      <c r="C112" s="67" t="s">
        <v>179</v>
      </c>
      <c r="D112" s="68">
        <v>0.26635076259606238</v>
      </c>
      <c r="E112" s="69">
        <v>-2206106</v>
      </c>
      <c r="F112" s="70">
        <v>1.0100186786648699</v>
      </c>
      <c r="G112" s="71">
        <v>-149245</v>
      </c>
      <c r="H112" s="70">
        <v>-4.6019799720407407E-2</v>
      </c>
      <c r="I112" s="70">
        <v>4.5934001139066636</v>
      </c>
      <c r="J112" s="72">
        <v>10</v>
      </c>
    </row>
    <row r="113" spans="1:10" ht="15" customHeight="1" x14ac:dyDescent="0.25">
      <c r="A113" s="74">
        <v>900350044</v>
      </c>
      <c r="B113" s="67" t="s">
        <v>271</v>
      </c>
      <c r="C113" s="67" t="s">
        <v>179</v>
      </c>
      <c r="D113" s="68">
        <v>17.275224479632044</v>
      </c>
      <c r="E113" s="69">
        <v>11110933</v>
      </c>
      <c r="F113" s="70">
        <v>0.17820711529531075</v>
      </c>
      <c r="G113" s="71">
        <v>15882524</v>
      </c>
      <c r="H113" s="70">
        <v>3.224682983493022E-2</v>
      </c>
      <c r="I113" s="70">
        <v>3.9239607004529005E-2</v>
      </c>
      <c r="J113" s="72">
        <v>4.6171923039880278</v>
      </c>
    </row>
    <row r="114" spans="1:10" ht="15" customHeight="1" x14ac:dyDescent="0.25">
      <c r="A114" s="74">
        <v>900361734</v>
      </c>
      <c r="B114" s="67" t="s">
        <v>272</v>
      </c>
      <c r="C114" s="67" t="s">
        <v>179</v>
      </c>
      <c r="D114" s="68">
        <v>8.8368669978462506</v>
      </c>
      <c r="E114" s="69">
        <v>724103</v>
      </c>
      <c r="F114" s="70">
        <v>0.17661508228936379</v>
      </c>
      <c r="G114" s="71">
        <v>945264</v>
      </c>
      <c r="H114" s="70">
        <v>-3.2372201926443918E-2</v>
      </c>
      <c r="I114" s="70">
        <v>-3.9316000609353578E-2</v>
      </c>
      <c r="J114" s="72">
        <v>10</v>
      </c>
    </row>
    <row r="115" spans="1:10" ht="15" customHeight="1" x14ac:dyDescent="0.25">
      <c r="A115" s="74">
        <v>900361866</v>
      </c>
      <c r="B115" s="67" t="s">
        <v>273</v>
      </c>
      <c r="C115" s="67" t="s">
        <v>184</v>
      </c>
      <c r="D115" s="68">
        <v>0.20686725788150837</v>
      </c>
      <c r="E115" s="69">
        <v>-1218378</v>
      </c>
      <c r="F115" s="70">
        <v>7.6337819269562235E-2</v>
      </c>
      <c r="G115" s="71">
        <v>23977329</v>
      </c>
      <c r="H115" s="70">
        <v>4.0159742788054738E-2</v>
      </c>
      <c r="I115" s="70">
        <v>4.3478821181458537E-2</v>
      </c>
      <c r="J115" s="72">
        <v>10</v>
      </c>
    </row>
    <row r="116" spans="1:10" ht="15" customHeight="1" x14ac:dyDescent="0.25">
      <c r="A116" s="74">
        <v>900365677</v>
      </c>
      <c r="B116" s="67" t="s">
        <v>274</v>
      </c>
      <c r="C116" s="67" t="s">
        <v>179</v>
      </c>
      <c r="D116" s="68">
        <v>11.259274130083547</v>
      </c>
      <c r="E116" s="69">
        <v>3193948</v>
      </c>
      <c r="F116" s="70">
        <v>0.88012736171780437</v>
      </c>
      <c r="G116" s="71">
        <v>683310</v>
      </c>
      <c r="H116" s="70">
        <v>-0.23289686507727664</v>
      </c>
      <c r="I116" s="70">
        <v>-1.9428692687067364</v>
      </c>
      <c r="J116" s="72">
        <v>10</v>
      </c>
    </row>
    <row r="117" spans="1:10" ht="15" customHeight="1" x14ac:dyDescent="0.25">
      <c r="A117" s="74">
        <v>900375840</v>
      </c>
      <c r="B117" s="67" t="s">
        <v>275</v>
      </c>
      <c r="C117" s="67" t="s">
        <v>179</v>
      </c>
      <c r="D117" s="68">
        <v>2.3528141474452986</v>
      </c>
      <c r="E117" s="69">
        <v>2643618</v>
      </c>
      <c r="F117" s="70">
        <v>0.64209806325710383</v>
      </c>
      <c r="G117" s="71">
        <v>1919825</v>
      </c>
      <c r="H117" s="70">
        <v>6.9884672365904565E-2</v>
      </c>
      <c r="I117" s="70">
        <v>0.19526206815725392</v>
      </c>
      <c r="J117" s="72">
        <v>0.80196689607369553</v>
      </c>
    </row>
    <row r="118" spans="1:10" ht="15" customHeight="1" x14ac:dyDescent="0.25">
      <c r="A118" s="74">
        <v>900409971</v>
      </c>
      <c r="B118" s="67" t="s">
        <v>276</v>
      </c>
      <c r="C118" s="67" t="s">
        <v>179</v>
      </c>
      <c r="D118" s="68">
        <v>2.9044683011751053</v>
      </c>
      <c r="E118" s="69">
        <v>866415</v>
      </c>
      <c r="F118" s="70">
        <v>0.29047452216902175</v>
      </c>
      <c r="G118" s="71">
        <v>1385252</v>
      </c>
      <c r="H118" s="70">
        <v>0.38234314912588019</v>
      </c>
      <c r="I118" s="70">
        <v>0.53887162768940233</v>
      </c>
      <c r="J118" s="72">
        <v>9.561095883392678</v>
      </c>
    </row>
    <row r="119" spans="1:10" ht="15" customHeight="1" x14ac:dyDescent="0.25">
      <c r="A119" s="74">
        <v>900413231</v>
      </c>
      <c r="B119" s="67" t="s">
        <v>277</v>
      </c>
      <c r="C119" s="67" t="s">
        <v>179</v>
      </c>
      <c r="D119" s="68">
        <v>0.5406555293337133</v>
      </c>
      <c r="E119" s="69">
        <v>-7325288</v>
      </c>
      <c r="F119" s="70">
        <v>0.84493041263086155</v>
      </c>
      <c r="G119" s="71">
        <v>5387273</v>
      </c>
      <c r="H119" s="70">
        <v>5.1488150759493043E-3</v>
      </c>
      <c r="I119" s="70">
        <v>3.320325515339579E-2</v>
      </c>
      <c r="J119" s="72">
        <v>1.6557287520595367</v>
      </c>
    </row>
    <row r="120" spans="1:10" ht="15" customHeight="1" x14ac:dyDescent="0.25">
      <c r="A120" s="74">
        <v>900413588</v>
      </c>
      <c r="B120" s="67" t="s">
        <v>278</v>
      </c>
      <c r="C120" s="67" t="s">
        <v>179</v>
      </c>
      <c r="D120" s="68">
        <v>1.8345875622306282</v>
      </c>
      <c r="E120" s="69">
        <v>13213555</v>
      </c>
      <c r="F120" s="70">
        <v>0.43276054783201801</v>
      </c>
      <c r="G120" s="71">
        <v>21144432</v>
      </c>
      <c r="H120" s="70">
        <v>0.2735275555802959</v>
      </c>
      <c r="I120" s="70">
        <v>0.48220827118931359</v>
      </c>
      <c r="J120" s="72">
        <v>5.9383452340737808</v>
      </c>
    </row>
    <row r="121" spans="1:10" ht="15" customHeight="1" x14ac:dyDescent="0.25">
      <c r="A121" s="74">
        <v>900425518</v>
      </c>
      <c r="B121" s="67" t="s">
        <v>279</v>
      </c>
      <c r="C121" s="67" t="s">
        <v>179</v>
      </c>
      <c r="D121" s="68">
        <v>17.063600208014453</v>
      </c>
      <c r="E121" s="69">
        <v>7629680</v>
      </c>
      <c r="F121" s="70">
        <v>1.0061615017186383</v>
      </c>
      <c r="G121" s="71">
        <v>-58206</v>
      </c>
      <c r="H121" s="70">
        <v>-1.6768777913780261E-3</v>
      </c>
      <c r="I121" s="70">
        <v>0.27215407346321685</v>
      </c>
      <c r="J121" s="72">
        <v>-75.075829383886258</v>
      </c>
    </row>
    <row r="122" spans="1:10" ht="15" customHeight="1" x14ac:dyDescent="0.25">
      <c r="A122" s="74">
        <v>900433826</v>
      </c>
      <c r="B122" s="67" t="s">
        <v>280</v>
      </c>
      <c r="C122" s="67" t="s">
        <v>184</v>
      </c>
      <c r="D122" s="68">
        <v>5.7604479740309609</v>
      </c>
      <c r="E122" s="69">
        <v>9397329</v>
      </c>
      <c r="F122" s="70">
        <v>0.16253407665941288</v>
      </c>
      <c r="G122" s="71">
        <v>10171367</v>
      </c>
      <c r="H122" s="70">
        <v>-4.9877525748410305E-2</v>
      </c>
      <c r="I122" s="70">
        <v>-5.9557677940438092E-2</v>
      </c>
      <c r="J122" s="72">
        <v>10</v>
      </c>
    </row>
    <row r="123" spans="1:10" ht="15" customHeight="1" x14ac:dyDescent="0.25">
      <c r="A123" s="74">
        <v>900447264</v>
      </c>
      <c r="B123" s="67" t="s">
        <v>281</v>
      </c>
      <c r="C123" s="67" t="s">
        <v>184</v>
      </c>
      <c r="D123" s="68">
        <v>0.49814313432947349</v>
      </c>
      <c r="E123" s="69">
        <v>-201487</v>
      </c>
      <c r="F123" s="70">
        <v>0.16593746331303297</v>
      </c>
      <c r="G123" s="71">
        <v>8795438</v>
      </c>
      <c r="H123" s="70">
        <v>1.3232911957537853E-2</v>
      </c>
      <c r="I123" s="70">
        <v>1.5865611240736391E-2</v>
      </c>
      <c r="J123" s="72">
        <v>40.400984365952517</v>
      </c>
    </row>
    <row r="124" spans="1:10" ht="15" customHeight="1" x14ac:dyDescent="0.25">
      <c r="A124" s="74">
        <v>900451680</v>
      </c>
      <c r="B124" s="67" t="s">
        <v>282</v>
      </c>
      <c r="C124" s="67" t="s">
        <v>179</v>
      </c>
      <c r="D124" s="68">
        <v>0.40724218696239839</v>
      </c>
      <c r="E124" s="69">
        <v>-697737</v>
      </c>
      <c r="F124" s="70">
        <v>0.86917349726775961</v>
      </c>
      <c r="G124" s="71">
        <v>287295</v>
      </c>
      <c r="H124" s="70">
        <v>0.19475774134790527</v>
      </c>
      <c r="I124" s="70">
        <v>1.4886719225882803</v>
      </c>
      <c r="J124" s="72">
        <v>8.9395928263868569</v>
      </c>
    </row>
    <row r="125" spans="1:10" ht="15" customHeight="1" x14ac:dyDescent="0.25">
      <c r="A125" s="74">
        <v>900484177</v>
      </c>
      <c r="B125" s="67" t="s">
        <v>283</v>
      </c>
      <c r="C125" s="67" t="s">
        <v>184</v>
      </c>
      <c r="D125" s="68">
        <v>16.621370614907327</v>
      </c>
      <c r="E125" s="69">
        <v>785505</v>
      </c>
      <c r="F125" s="70">
        <v>0.16196099227750893</v>
      </c>
      <c r="G125" s="71">
        <v>4592318</v>
      </c>
      <c r="H125" s="70">
        <v>4.6014133994472101E-2</v>
      </c>
      <c r="I125" s="70">
        <v>5.4906911934234519E-2</v>
      </c>
      <c r="J125" s="72">
        <v>10</v>
      </c>
    </row>
    <row r="126" spans="1:10" ht="15" customHeight="1" x14ac:dyDescent="0.25">
      <c r="A126" s="74">
        <v>900494141</v>
      </c>
      <c r="B126" s="67" t="s">
        <v>284</v>
      </c>
      <c r="C126" s="67" t="s">
        <v>179</v>
      </c>
      <c r="D126" s="68">
        <v>1.2602071400906938</v>
      </c>
      <c r="E126" s="69">
        <v>7579745</v>
      </c>
      <c r="F126" s="70">
        <v>0.79056286457100189</v>
      </c>
      <c r="G126" s="71">
        <v>7717074</v>
      </c>
      <c r="H126" s="70">
        <v>6.333818152448363E-2</v>
      </c>
      <c r="I126" s="70">
        <v>0.30242096939850516</v>
      </c>
      <c r="J126" s="72">
        <v>167.59820466786354</v>
      </c>
    </row>
    <row r="127" spans="1:10" ht="15" customHeight="1" x14ac:dyDescent="0.25">
      <c r="A127" s="74">
        <v>900494484</v>
      </c>
      <c r="B127" s="67" t="s">
        <v>285</v>
      </c>
      <c r="C127" s="67" t="s">
        <v>179</v>
      </c>
      <c r="D127" s="68">
        <v>5.6240972538867728</v>
      </c>
      <c r="E127" s="69">
        <v>1257514</v>
      </c>
      <c r="F127" s="70">
        <v>0.65602258834487981</v>
      </c>
      <c r="G127" s="71">
        <v>791739</v>
      </c>
      <c r="H127" s="70">
        <v>0.59714309050891556</v>
      </c>
      <c r="I127" s="70">
        <v>1.7359950690821091</v>
      </c>
      <c r="J127" s="72">
        <v>31.238323598263598</v>
      </c>
    </row>
    <row r="128" spans="1:10" ht="15" customHeight="1" x14ac:dyDescent="0.25">
      <c r="A128" s="74">
        <v>900498289</v>
      </c>
      <c r="B128" s="67" t="s">
        <v>286</v>
      </c>
      <c r="C128" s="67" t="s">
        <v>179</v>
      </c>
      <c r="D128" s="68">
        <v>2.4063467240547998</v>
      </c>
      <c r="E128" s="69">
        <v>994612</v>
      </c>
      <c r="F128" s="70">
        <v>0.25882214735381326</v>
      </c>
      <c r="G128" s="71">
        <v>2025267</v>
      </c>
      <c r="H128" s="70">
        <v>6.5820359246374568E-2</v>
      </c>
      <c r="I128" s="70">
        <v>8.880508100907189E-2</v>
      </c>
      <c r="J128" s="72">
        <v>16.353336970358246</v>
      </c>
    </row>
    <row r="129" spans="1:10" ht="15" customHeight="1" x14ac:dyDescent="0.25">
      <c r="A129" s="74">
        <v>900536270</v>
      </c>
      <c r="B129" s="67" t="s">
        <v>287</v>
      </c>
      <c r="C129" s="67" t="s">
        <v>179</v>
      </c>
      <c r="D129" s="68">
        <v>1.6640633950685093</v>
      </c>
      <c r="E129" s="69">
        <v>5065878</v>
      </c>
      <c r="F129" s="70">
        <v>0.65068177069315791</v>
      </c>
      <c r="G129" s="71">
        <v>4921715</v>
      </c>
      <c r="H129" s="70">
        <v>0.16029617257915973</v>
      </c>
      <c r="I129" s="70">
        <v>0.45888293003556685</v>
      </c>
      <c r="J129" s="72">
        <v>5.7704803685354902</v>
      </c>
    </row>
    <row r="130" spans="1:10" ht="15" customHeight="1" x14ac:dyDescent="0.25">
      <c r="A130" s="56" t="s">
        <v>89</v>
      </c>
      <c r="B130" s="46" t="s">
        <v>90</v>
      </c>
      <c r="C130" s="48" t="s">
        <v>25</v>
      </c>
      <c r="D130" s="49">
        <v>19.698224924458362</v>
      </c>
      <c r="E130" s="50">
        <v>1528449</v>
      </c>
      <c r="F130" s="51">
        <v>5.0765995607977184E-2</v>
      </c>
      <c r="G130" s="52">
        <v>1528450</v>
      </c>
      <c r="H130" s="51">
        <v>0.22793741367489095</v>
      </c>
      <c r="I130" s="51">
        <v>0.24012758022833589</v>
      </c>
      <c r="J130" s="53">
        <v>61170.5</v>
      </c>
    </row>
    <row r="131" spans="1:10" ht="15" customHeight="1" x14ac:dyDescent="0.25">
      <c r="A131" s="56" t="s">
        <v>91</v>
      </c>
      <c r="B131" s="46" t="s">
        <v>92</v>
      </c>
      <c r="C131" s="48" t="s">
        <v>25</v>
      </c>
      <c r="D131" s="49">
        <v>3.7696674469002667</v>
      </c>
      <c r="E131" s="50">
        <v>3063471</v>
      </c>
      <c r="F131" s="51">
        <v>0.26464955579854571</v>
      </c>
      <c r="G131" s="52">
        <v>3073332</v>
      </c>
      <c r="H131" s="51">
        <v>0.13570551824300559</v>
      </c>
      <c r="I131" s="51">
        <v>0.18454530782876696</v>
      </c>
      <c r="J131" s="53">
        <v>7089.6125000000002</v>
      </c>
    </row>
    <row r="132" spans="1:10" ht="15" customHeight="1" x14ac:dyDescent="0.25">
      <c r="A132" s="56" t="s">
        <v>93</v>
      </c>
      <c r="B132" s="46" t="s">
        <v>94</v>
      </c>
      <c r="C132" s="48" t="s">
        <v>25</v>
      </c>
      <c r="D132" s="49">
        <v>8.6474735446155506</v>
      </c>
      <c r="E132" s="50">
        <v>565133</v>
      </c>
      <c r="F132" s="51">
        <v>0.50919030820385636</v>
      </c>
      <c r="G132" s="52">
        <v>314850</v>
      </c>
      <c r="H132" s="51">
        <v>0.65836933020104726</v>
      </c>
      <c r="I132" s="51">
        <v>1.3413943147530569</v>
      </c>
      <c r="J132" s="53">
        <v>12066.8</v>
      </c>
    </row>
    <row r="133" spans="1:10" ht="15" customHeight="1" x14ac:dyDescent="0.25">
      <c r="A133" s="56" t="s">
        <v>95</v>
      </c>
      <c r="B133" s="46" t="s">
        <v>96</v>
      </c>
      <c r="C133" s="48" t="s">
        <v>25</v>
      </c>
      <c r="D133" s="49">
        <v>2.3643739768328711</v>
      </c>
      <c r="E133" s="50">
        <v>571730</v>
      </c>
      <c r="F133" s="51">
        <v>0.72358323130361157</v>
      </c>
      <c r="G133" s="52">
        <v>526258</v>
      </c>
      <c r="H133" s="51">
        <v>5.8761766246099363E-2</v>
      </c>
      <c r="I133" s="51">
        <v>0.21258394171680051</v>
      </c>
      <c r="J133" s="53">
        <v>9322.8333333333339</v>
      </c>
    </row>
    <row r="134" spans="1:10" ht="15" customHeight="1" x14ac:dyDescent="0.25">
      <c r="A134" s="56" t="s">
        <v>97</v>
      </c>
      <c r="B134" s="46" t="s">
        <v>98</v>
      </c>
      <c r="C134" s="48" t="s">
        <v>25</v>
      </c>
      <c r="D134" s="49">
        <v>1.7451658877222798</v>
      </c>
      <c r="E134" s="50">
        <v>2336104</v>
      </c>
      <c r="F134" s="51">
        <v>0.56753868976593502</v>
      </c>
      <c r="G134" s="52">
        <v>2589558</v>
      </c>
      <c r="H134" s="51">
        <v>0.18857997048407027</v>
      </c>
      <c r="I134" s="51">
        <v>0.43606206155645094</v>
      </c>
      <c r="J134" s="53">
        <v>28.159098276850951</v>
      </c>
    </row>
    <row r="135" spans="1:10" ht="15" customHeight="1" x14ac:dyDescent="0.25">
      <c r="A135" s="56" t="s">
        <v>99</v>
      </c>
      <c r="B135" s="46" t="s">
        <v>100</v>
      </c>
      <c r="C135" s="48" t="s">
        <v>25</v>
      </c>
      <c r="D135" s="49">
        <v>5.2352247079786185</v>
      </c>
      <c r="E135" s="50">
        <v>534803</v>
      </c>
      <c r="F135" s="51">
        <v>0.37393754661071277</v>
      </c>
      <c r="G135" s="52">
        <v>693413</v>
      </c>
      <c r="H135" s="51">
        <v>0.29142597631950073</v>
      </c>
      <c r="I135" s="51">
        <v>0.46549026337839067</v>
      </c>
      <c r="J135" s="53" t="s">
        <v>26</v>
      </c>
    </row>
    <row r="136" spans="1:10" ht="15" customHeight="1" x14ac:dyDescent="0.25">
      <c r="A136" s="56" t="s">
        <v>101</v>
      </c>
      <c r="B136" s="46" t="s">
        <v>102</v>
      </c>
      <c r="C136" s="48" t="s">
        <v>25</v>
      </c>
      <c r="D136" s="49">
        <v>2.4984384759525295</v>
      </c>
      <c r="E136" s="50">
        <v>11995</v>
      </c>
      <c r="F136" s="51">
        <v>0.40024999999999999</v>
      </c>
      <c r="G136" s="52">
        <v>11995</v>
      </c>
      <c r="H136" s="51">
        <v>-1.26E-2</v>
      </c>
      <c r="I136" s="51">
        <v>-2.1008753647353065E-2</v>
      </c>
      <c r="J136" s="53" t="s">
        <v>26</v>
      </c>
    </row>
    <row r="137" spans="1:10" ht="15" customHeight="1" x14ac:dyDescent="0.25">
      <c r="A137" s="56" t="s">
        <v>103</v>
      </c>
      <c r="B137" s="46" t="s">
        <v>104</v>
      </c>
      <c r="C137" s="48" t="s">
        <v>25</v>
      </c>
      <c r="D137" s="49">
        <v>2.5741332677649371</v>
      </c>
      <c r="E137" s="50">
        <v>416130</v>
      </c>
      <c r="F137" s="51">
        <v>0.38848027509790811</v>
      </c>
      <c r="G137" s="52">
        <v>416131</v>
      </c>
      <c r="H137" s="51">
        <v>0.12032741353593393</v>
      </c>
      <c r="I137" s="51">
        <v>0.19676736412331694</v>
      </c>
      <c r="J137" s="53">
        <v>14.600748930099858</v>
      </c>
    </row>
    <row r="138" spans="1:10" ht="15" customHeight="1" x14ac:dyDescent="0.25">
      <c r="A138" s="56" t="s">
        <v>105</v>
      </c>
      <c r="B138" s="46" t="s">
        <v>106</v>
      </c>
      <c r="C138" s="48" t="s">
        <v>25</v>
      </c>
      <c r="D138" s="49">
        <v>1.7036999062131524</v>
      </c>
      <c r="E138" s="50">
        <v>466698</v>
      </c>
      <c r="F138" s="51">
        <v>0.58695783004573843</v>
      </c>
      <c r="G138" s="52">
        <v>466698</v>
      </c>
      <c r="H138" s="51">
        <v>0.19286859768617512</v>
      </c>
      <c r="I138" s="51">
        <v>0.46694650502037721</v>
      </c>
      <c r="J138" s="53">
        <v>16.628996566196108</v>
      </c>
    </row>
    <row r="139" spans="1:10" ht="15" customHeight="1" x14ac:dyDescent="0.25">
      <c r="A139" s="56" t="s">
        <v>107</v>
      </c>
      <c r="B139" s="46" t="s">
        <v>108</v>
      </c>
      <c r="C139" s="48" t="s">
        <v>25</v>
      </c>
      <c r="D139" s="49">
        <v>3.5546074223680888</v>
      </c>
      <c r="E139" s="50">
        <v>50594</v>
      </c>
      <c r="F139" s="51">
        <v>0.28132501882129007</v>
      </c>
      <c r="G139" s="52">
        <v>50594</v>
      </c>
      <c r="H139" s="51">
        <v>0.14110995894828052</v>
      </c>
      <c r="I139" s="51">
        <v>0.19634739297149859</v>
      </c>
      <c r="J139" s="53">
        <v>1.1079634173544501</v>
      </c>
    </row>
    <row r="140" spans="1:10" ht="15" customHeight="1" x14ac:dyDescent="0.25">
      <c r="A140" s="56" t="s">
        <v>109</v>
      </c>
      <c r="B140" s="46" t="s">
        <v>110</v>
      </c>
      <c r="C140" s="48" t="s">
        <v>25</v>
      </c>
      <c r="D140" s="49">
        <v>1.0618667413736751</v>
      </c>
      <c r="E140" s="50">
        <v>3975</v>
      </c>
      <c r="F140" s="51">
        <v>0.54914445906907572</v>
      </c>
      <c r="G140" s="52">
        <v>52751</v>
      </c>
      <c r="H140" s="51">
        <v>0.36068614211722877</v>
      </c>
      <c r="I140" s="51">
        <v>0.80000379139731947</v>
      </c>
      <c r="J140" s="53">
        <v>2813.4</v>
      </c>
    </row>
    <row r="141" spans="1:10" ht="15" customHeight="1" x14ac:dyDescent="0.25">
      <c r="A141" s="56" t="s">
        <v>111</v>
      </c>
      <c r="B141" s="46" t="s">
        <v>112</v>
      </c>
      <c r="C141" s="48" t="s">
        <v>25</v>
      </c>
      <c r="D141" s="49">
        <v>5.6658853446019224</v>
      </c>
      <c r="E141" s="50">
        <v>3119261</v>
      </c>
      <c r="F141" s="51">
        <v>0.1764949234196441</v>
      </c>
      <c r="G141" s="52">
        <v>3119261</v>
      </c>
      <c r="H141" s="51">
        <v>3.9852040215577124E-2</v>
      </c>
      <c r="I141" s="51">
        <v>4.8393193131321809E-2</v>
      </c>
      <c r="J141" s="53">
        <v>150951</v>
      </c>
    </row>
    <row r="142" spans="1:10" ht="15" customHeight="1" x14ac:dyDescent="0.25">
      <c r="A142" s="56" t="s">
        <v>113</v>
      </c>
      <c r="B142" s="46" t="s">
        <v>114</v>
      </c>
      <c r="C142" s="48" t="s">
        <v>25</v>
      </c>
      <c r="D142" s="49">
        <v>15.642049979143756</v>
      </c>
      <c r="E142" s="50">
        <v>1544502</v>
      </c>
      <c r="F142" s="51">
        <v>0.52679572354338777</v>
      </c>
      <c r="G142" s="52">
        <v>997031</v>
      </c>
      <c r="H142" s="51">
        <v>0.10271773127199239</v>
      </c>
      <c r="I142" s="51">
        <v>0.21706847630615297</v>
      </c>
      <c r="J142" s="53">
        <v>152.41126760563381</v>
      </c>
    </row>
    <row r="143" spans="1:10" ht="15" customHeight="1" x14ac:dyDescent="0.25">
      <c r="A143" s="56" t="s">
        <v>115</v>
      </c>
      <c r="B143" s="46" t="s">
        <v>116</v>
      </c>
      <c r="C143" s="48" t="s">
        <v>25</v>
      </c>
      <c r="D143" s="49">
        <v>56.65968766934332</v>
      </c>
      <c r="E143" s="50">
        <v>1129836</v>
      </c>
      <c r="F143" s="51">
        <v>1.7649232481404358E-2</v>
      </c>
      <c r="G143" s="52">
        <v>1129837</v>
      </c>
      <c r="H143" s="51">
        <v>0.16506670956018207</v>
      </c>
      <c r="I143" s="51">
        <v>0.16803220287528201</v>
      </c>
      <c r="J143" s="53">
        <v>189.84899999999999</v>
      </c>
    </row>
    <row r="144" spans="1:10" ht="15" customHeight="1" x14ac:dyDescent="0.25">
      <c r="A144" s="56" t="s">
        <v>117</v>
      </c>
      <c r="B144" s="46" t="s">
        <v>118</v>
      </c>
      <c r="C144" s="48" t="s">
        <v>25</v>
      </c>
      <c r="D144" s="49">
        <v>2.6643134549584215</v>
      </c>
      <c r="E144" s="50">
        <v>1022922</v>
      </c>
      <c r="F144" s="51">
        <v>0.37353963815419622</v>
      </c>
      <c r="G144" s="52">
        <v>1030776</v>
      </c>
      <c r="H144" s="51">
        <v>9.7599545884670992E-3</v>
      </c>
      <c r="I144" s="51">
        <v>1.5579524552376075E-2</v>
      </c>
      <c r="J144" s="53" t="s">
        <v>26</v>
      </c>
    </row>
    <row r="145" spans="1:10" ht="15" customHeight="1" x14ac:dyDescent="0.25">
      <c r="A145" s="56" t="s">
        <v>119</v>
      </c>
      <c r="B145" s="46" t="s">
        <v>120</v>
      </c>
      <c r="C145" s="48" t="s">
        <v>25</v>
      </c>
      <c r="D145" s="49">
        <v>0</v>
      </c>
      <c r="E145" s="50">
        <v>252932</v>
      </c>
      <c r="F145" s="51">
        <v>0</v>
      </c>
      <c r="G145" s="52">
        <v>252932</v>
      </c>
      <c r="H145" s="51">
        <v>0</v>
      </c>
      <c r="I145" s="51">
        <v>0</v>
      </c>
      <c r="J145" s="53" t="s">
        <v>26</v>
      </c>
    </row>
    <row r="146" spans="1:10" ht="15" customHeight="1" x14ac:dyDescent="0.25">
      <c r="A146" s="56" t="s">
        <v>121</v>
      </c>
      <c r="B146" s="46" t="s">
        <v>122</v>
      </c>
      <c r="C146" s="48" t="s">
        <v>25</v>
      </c>
      <c r="D146" s="49">
        <v>2.070262839370133</v>
      </c>
      <c r="E146" s="50">
        <v>9255206</v>
      </c>
      <c r="F146" s="51">
        <v>0.67319487532730293</v>
      </c>
      <c r="G146" s="52">
        <v>5861696</v>
      </c>
      <c r="H146" s="51">
        <v>2.4705005724404025E-2</v>
      </c>
      <c r="I146" s="51">
        <v>7.559552730131347E-2</v>
      </c>
      <c r="J146" s="53">
        <v>4.5228121746585828</v>
      </c>
    </row>
    <row r="147" spans="1:10" ht="15" customHeight="1" x14ac:dyDescent="0.25">
      <c r="A147" s="56" t="s">
        <v>123</v>
      </c>
      <c r="B147" s="46" t="s">
        <v>124</v>
      </c>
      <c r="C147" s="48" t="s">
        <v>25</v>
      </c>
      <c r="D147" s="49">
        <v>9.7523429098171768</v>
      </c>
      <c r="E147" s="50">
        <v>56969</v>
      </c>
      <c r="F147" s="51">
        <v>0.10253946249094174</v>
      </c>
      <c r="G147" s="52">
        <v>56968</v>
      </c>
      <c r="H147" s="51">
        <v>0.16142600586029807</v>
      </c>
      <c r="I147" s="51">
        <v>0.17987291110799045</v>
      </c>
      <c r="J147" s="53" t="s">
        <v>26</v>
      </c>
    </row>
    <row r="148" spans="1:10" ht="15" customHeight="1" x14ac:dyDescent="0.25">
      <c r="A148" s="56" t="s">
        <v>125</v>
      </c>
      <c r="B148" s="46" t="s">
        <v>126</v>
      </c>
      <c r="C148" s="48" t="s">
        <v>25</v>
      </c>
      <c r="D148" s="49">
        <v>4.3175590993560657</v>
      </c>
      <c r="E148" s="50">
        <v>153530</v>
      </c>
      <c r="F148" s="51">
        <v>9.6451080432172875E-2</v>
      </c>
      <c r="G148" s="52">
        <v>433531</v>
      </c>
      <c r="H148" s="51">
        <v>0.3207137021475257</v>
      </c>
      <c r="I148" s="51">
        <v>0.3549480890639885</v>
      </c>
      <c r="J148" s="53">
        <v>439.66</v>
      </c>
    </row>
    <row r="149" spans="1:10" ht="15" customHeight="1" x14ac:dyDescent="0.25">
      <c r="A149" s="56" t="s">
        <v>127</v>
      </c>
      <c r="B149" s="46" t="s">
        <v>128</v>
      </c>
      <c r="C149" s="48" t="s">
        <v>25</v>
      </c>
      <c r="D149" s="49">
        <v>10.176146594640398</v>
      </c>
      <c r="E149" s="50">
        <v>173264</v>
      </c>
      <c r="F149" s="51">
        <v>9.8269024595880217E-2</v>
      </c>
      <c r="G149" s="52">
        <v>173264</v>
      </c>
      <c r="H149" s="51">
        <v>-0.13914419243700102</v>
      </c>
      <c r="I149" s="51">
        <v>-0.15430787699695261</v>
      </c>
      <c r="J149" s="53" t="s">
        <v>26</v>
      </c>
    </row>
    <row r="150" spans="1:10" ht="15" customHeight="1" x14ac:dyDescent="0.25">
      <c r="A150" s="56" t="s">
        <v>129</v>
      </c>
      <c r="B150" s="46" t="s">
        <v>130</v>
      </c>
      <c r="C150" s="48" t="s">
        <v>25</v>
      </c>
      <c r="D150" s="49">
        <v>1.9867935589526606</v>
      </c>
      <c r="E150" s="50">
        <v>309717</v>
      </c>
      <c r="F150" s="51">
        <v>0.50332355643791726</v>
      </c>
      <c r="G150" s="52">
        <v>309718</v>
      </c>
      <c r="H150" s="51">
        <v>0.11802193467066723</v>
      </c>
      <c r="I150" s="51">
        <v>0.23762261153694653</v>
      </c>
      <c r="J150" s="53" t="s">
        <v>26</v>
      </c>
    </row>
    <row r="151" spans="1:10" ht="15" customHeight="1" x14ac:dyDescent="0.25">
      <c r="A151" s="56" t="s">
        <v>131</v>
      </c>
      <c r="B151" s="46" t="s">
        <v>132</v>
      </c>
      <c r="C151" s="48" t="s">
        <v>25</v>
      </c>
      <c r="D151" s="49">
        <v>8.4804730386774985</v>
      </c>
      <c r="E151" s="50">
        <v>238470</v>
      </c>
      <c r="F151" s="51">
        <v>0.11791795050101905</v>
      </c>
      <c r="G151" s="52">
        <v>238469</v>
      </c>
      <c r="H151" s="51">
        <v>0.20622602635852177</v>
      </c>
      <c r="I151" s="51">
        <v>0.23379558768644981</v>
      </c>
      <c r="J151" s="53" t="s">
        <v>26</v>
      </c>
    </row>
    <row r="152" spans="1:10" ht="15" customHeight="1" x14ac:dyDescent="0.25">
      <c r="A152" s="56" t="s">
        <v>133</v>
      </c>
      <c r="B152" s="46" t="s">
        <v>86</v>
      </c>
      <c r="C152" s="48" t="s">
        <v>25</v>
      </c>
      <c r="D152" s="49">
        <v>2.876189741215208</v>
      </c>
      <c r="E152" s="50">
        <v>72935</v>
      </c>
      <c r="F152" s="51">
        <v>0.34768220805123023</v>
      </c>
      <c r="G152" s="52">
        <v>72935</v>
      </c>
      <c r="H152" s="51">
        <v>0.93163341054834581</v>
      </c>
      <c r="I152" s="51">
        <v>1.4281894837869336</v>
      </c>
      <c r="J152" s="53" t="s">
        <v>26</v>
      </c>
    </row>
    <row r="153" spans="1:10" ht="15" customHeight="1" x14ac:dyDescent="0.25">
      <c r="A153" s="56" t="s">
        <v>134</v>
      </c>
      <c r="B153" s="46" t="s">
        <v>135</v>
      </c>
      <c r="C153" s="48" t="s">
        <v>25</v>
      </c>
      <c r="D153" s="49">
        <v>0</v>
      </c>
      <c r="E153" s="50">
        <v>150000</v>
      </c>
      <c r="F153" s="51">
        <v>0</v>
      </c>
      <c r="G153" s="52">
        <v>150000</v>
      </c>
      <c r="H153" s="51">
        <v>0</v>
      </c>
      <c r="I153" s="51">
        <v>0</v>
      </c>
      <c r="J153" s="53" t="s">
        <v>26</v>
      </c>
    </row>
    <row r="154" spans="1:10" ht="15" customHeight="1" x14ac:dyDescent="0.25">
      <c r="A154" s="56" t="s">
        <v>136</v>
      </c>
      <c r="B154" s="46" t="s">
        <v>137</v>
      </c>
      <c r="C154" s="48" t="s">
        <v>25</v>
      </c>
      <c r="D154" s="49">
        <v>19.14163212805488</v>
      </c>
      <c r="E154" s="50">
        <v>126937</v>
      </c>
      <c r="F154" s="51">
        <v>5.2242149118222406E-2</v>
      </c>
      <c r="G154" s="52">
        <v>126937</v>
      </c>
      <c r="H154" s="51">
        <v>0.2011214478773127</v>
      </c>
      <c r="I154" s="51">
        <v>0.21220763055689043</v>
      </c>
      <c r="J154" s="53" t="s">
        <v>26</v>
      </c>
    </row>
    <row r="155" spans="1:10" ht="15" customHeight="1" x14ac:dyDescent="0.25">
      <c r="A155" s="56" t="s">
        <v>138</v>
      </c>
      <c r="B155" s="46" t="s">
        <v>139</v>
      </c>
      <c r="C155" s="48" t="s">
        <v>25</v>
      </c>
      <c r="D155" s="49">
        <v>12.847074961073627</v>
      </c>
      <c r="E155" s="50">
        <v>639126</v>
      </c>
      <c r="F155" s="51">
        <v>7.7838730063456429E-2</v>
      </c>
      <c r="G155" s="52">
        <v>639125</v>
      </c>
      <c r="H155" s="51">
        <v>8.1702675327598492E-2</v>
      </c>
      <c r="I155" s="51">
        <v>8.8599256796401335E-2</v>
      </c>
      <c r="J155" s="53" t="s">
        <v>26</v>
      </c>
    </row>
    <row r="156" spans="1:10" ht="15" customHeight="1" x14ac:dyDescent="0.25">
      <c r="A156" s="56" t="s">
        <v>140</v>
      </c>
      <c r="B156" s="46" t="s">
        <v>141</v>
      </c>
      <c r="C156" s="48" t="s">
        <v>25</v>
      </c>
      <c r="D156" s="49">
        <v>99.079971691436654</v>
      </c>
      <c r="E156" s="50">
        <v>415761</v>
      </c>
      <c r="F156" s="51">
        <v>1.0092857142857143E-2</v>
      </c>
      <c r="G156" s="52">
        <v>415761</v>
      </c>
      <c r="H156" s="51">
        <v>4.7619047619047616E-2</v>
      </c>
      <c r="I156" s="51">
        <v>4.8104560071772003E-2</v>
      </c>
      <c r="J156" s="53">
        <v>13.333333333333334</v>
      </c>
    </row>
    <row r="157" spans="1:10" ht="15" customHeight="1" x14ac:dyDescent="0.25">
      <c r="A157" s="56" t="s">
        <v>142</v>
      </c>
      <c r="B157" s="46" t="s">
        <v>143</v>
      </c>
      <c r="C157" s="48" t="s">
        <v>25</v>
      </c>
      <c r="D157" s="49">
        <v>64.514886164623462</v>
      </c>
      <c r="E157" s="50">
        <v>507738</v>
      </c>
      <c r="F157" s="51">
        <v>1.5500298604701666E-2</v>
      </c>
      <c r="G157" s="52">
        <v>507738</v>
      </c>
      <c r="H157" s="51">
        <v>2.2277074139281643E-2</v>
      </c>
      <c r="I157" s="51">
        <v>2.2627811981770125E-2</v>
      </c>
      <c r="J157" s="53" t="s">
        <v>26</v>
      </c>
    </row>
    <row r="158" spans="1:10" ht="15" customHeight="1" x14ac:dyDescent="0.25">
      <c r="A158" s="56" t="s">
        <v>144</v>
      </c>
      <c r="B158" s="47" t="s">
        <v>145</v>
      </c>
      <c r="C158" s="48" t="s">
        <v>25</v>
      </c>
      <c r="D158" s="49">
        <v>182.99352750809061</v>
      </c>
      <c r="E158" s="50">
        <v>168708</v>
      </c>
      <c r="F158" s="51">
        <v>5.4646741533292071E-3</v>
      </c>
      <c r="G158" s="52">
        <v>168708</v>
      </c>
      <c r="H158" s="51">
        <v>0.40503433843251685</v>
      </c>
      <c r="I158" s="51">
        <v>0.40725988097778409</v>
      </c>
      <c r="J158" s="53" t="s">
        <v>26</v>
      </c>
    </row>
    <row r="159" spans="1:10" ht="15" customHeight="1" x14ac:dyDescent="0.25">
      <c r="A159" s="56" t="s">
        <v>146</v>
      </c>
      <c r="B159" s="46" t="s">
        <v>147</v>
      </c>
      <c r="C159" s="48" t="s">
        <v>25</v>
      </c>
      <c r="D159" s="49">
        <v>0</v>
      </c>
      <c r="E159" s="50">
        <v>5000</v>
      </c>
      <c r="F159" s="51">
        <v>0</v>
      </c>
      <c r="G159" s="52">
        <v>5000</v>
      </c>
      <c r="H159" s="51">
        <v>0</v>
      </c>
      <c r="I159" s="51">
        <v>0</v>
      </c>
      <c r="J159" s="53" t="s">
        <v>26</v>
      </c>
    </row>
    <row r="160" spans="1:10" ht="15" customHeight="1" x14ac:dyDescent="0.25">
      <c r="A160" s="56" t="s">
        <v>148</v>
      </c>
      <c r="B160" s="46" t="s">
        <v>149</v>
      </c>
      <c r="C160" s="48" t="s">
        <v>25</v>
      </c>
      <c r="D160" s="49">
        <v>0</v>
      </c>
      <c r="E160" s="50">
        <v>400000</v>
      </c>
      <c r="F160" s="51">
        <v>0</v>
      </c>
      <c r="G160" s="52">
        <v>400000</v>
      </c>
      <c r="H160" s="51">
        <v>0</v>
      </c>
      <c r="I160" s="51">
        <v>0</v>
      </c>
      <c r="J160" s="53" t="s">
        <v>26</v>
      </c>
    </row>
    <row r="161" spans="1:12" ht="15" customHeight="1" x14ac:dyDescent="0.25">
      <c r="A161" s="56" t="s">
        <v>150</v>
      </c>
      <c r="B161" s="46" t="s">
        <v>151</v>
      </c>
      <c r="C161" s="48" t="s">
        <v>25</v>
      </c>
      <c r="D161" s="49">
        <v>0</v>
      </c>
      <c r="E161" s="50">
        <v>400000</v>
      </c>
      <c r="F161" s="51">
        <v>0</v>
      </c>
      <c r="G161" s="52">
        <v>400000</v>
      </c>
      <c r="H161" s="51">
        <v>0</v>
      </c>
      <c r="I161" s="51">
        <v>0</v>
      </c>
      <c r="J161" s="53" t="s">
        <v>26</v>
      </c>
    </row>
    <row r="162" spans="1:12" ht="15" customHeight="1" x14ac:dyDescent="0.25">
      <c r="A162" s="56" t="s">
        <v>152</v>
      </c>
      <c r="B162" s="46" t="s">
        <v>153</v>
      </c>
      <c r="C162" s="48" t="s">
        <v>25</v>
      </c>
      <c r="D162" s="49">
        <v>0</v>
      </c>
      <c r="E162" s="50">
        <v>600000</v>
      </c>
      <c r="F162" s="51">
        <v>0</v>
      </c>
      <c r="G162" s="52">
        <v>600000</v>
      </c>
      <c r="H162" s="51">
        <v>0</v>
      </c>
      <c r="I162" s="51">
        <v>0</v>
      </c>
      <c r="J162" s="53" t="s">
        <v>26</v>
      </c>
    </row>
    <row r="163" spans="1:12" ht="15" customHeight="1" x14ac:dyDescent="0.25">
      <c r="A163" s="56" t="s">
        <v>154</v>
      </c>
      <c r="B163" s="46" t="s">
        <v>155</v>
      </c>
      <c r="C163" s="48" t="s">
        <v>25</v>
      </c>
      <c r="D163" s="49">
        <v>0</v>
      </c>
      <c r="E163" s="50">
        <v>500000</v>
      </c>
      <c r="F163" s="51">
        <v>0</v>
      </c>
      <c r="G163" s="52">
        <v>500000</v>
      </c>
      <c r="H163" s="51">
        <v>0</v>
      </c>
      <c r="I163" s="51">
        <v>0</v>
      </c>
      <c r="J163" s="53" t="s">
        <v>26</v>
      </c>
    </row>
    <row r="164" spans="1:12" ht="15" customHeight="1" x14ac:dyDescent="0.25">
      <c r="A164" s="56" t="s">
        <v>156</v>
      </c>
      <c r="B164" s="46" t="s">
        <v>157</v>
      </c>
      <c r="C164" s="48" t="s">
        <v>25</v>
      </c>
      <c r="D164" s="49">
        <v>0</v>
      </c>
      <c r="E164" s="50">
        <v>10000</v>
      </c>
      <c r="F164" s="51">
        <v>0</v>
      </c>
      <c r="G164" s="52">
        <v>10000</v>
      </c>
      <c r="H164" s="51">
        <v>0</v>
      </c>
      <c r="I164" s="51">
        <v>0</v>
      </c>
      <c r="J164" s="53" t="s">
        <v>26</v>
      </c>
    </row>
    <row r="165" spans="1:12" ht="15" customHeight="1" x14ac:dyDescent="0.25">
      <c r="A165" s="56" t="s">
        <v>158</v>
      </c>
      <c r="B165" s="46" t="s">
        <v>159</v>
      </c>
      <c r="C165" s="48" t="s">
        <v>25</v>
      </c>
      <c r="D165" s="49">
        <v>0</v>
      </c>
      <c r="E165" s="50">
        <v>100000</v>
      </c>
      <c r="F165" s="51">
        <v>0</v>
      </c>
      <c r="G165" s="52">
        <v>100000</v>
      </c>
      <c r="H165" s="51">
        <v>0</v>
      </c>
      <c r="I165" s="51">
        <v>0</v>
      </c>
      <c r="J165" s="53" t="s">
        <v>26</v>
      </c>
    </row>
    <row r="166" spans="1:12" ht="15" customHeight="1" x14ac:dyDescent="0.25">
      <c r="A166" s="56" t="s">
        <v>160</v>
      </c>
      <c r="B166" s="46" t="s">
        <v>161</v>
      </c>
      <c r="C166" s="48" t="s">
        <v>25</v>
      </c>
      <c r="D166" s="49">
        <v>20.117134775704645</v>
      </c>
      <c r="E166" s="50">
        <v>1540994</v>
      </c>
      <c r="F166" s="51">
        <v>2.8956259193867344E-2</v>
      </c>
      <c r="G166" s="52">
        <v>2703178</v>
      </c>
      <c r="H166" s="51">
        <v>7.9642644816320232E-2</v>
      </c>
      <c r="I166" s="51">
        <v>8.201753639604939E-2</v>
      </c>
      <c r="J166" s="53">
        <v>68.301910043130007</v>
      </c>
    </row>
    <row r="167" spans="1:12" ht="15" customHeight="1" x14ac:dyDescent="0.25">
      <c r="A167" s="56" t="s">
        <v>162</v>
      </c>
      <c r="B167" s="46" t="s">
        <v>163</v>
      </c>
      <c r="C167" s="48" t="s">
        <v>25</v>
      </c>
      <c r="D167" s="49">
        <v>8.9646142958244877</v>
      </c>
      <c r="E167" s="50">
        <v>337620</v>
      </c>
      <c r="F167" s="51">
        <v>8.240508543768589E-2</v>
      </c>
      <c r="G167" s="52">
        <v>472020</v>
      </c>
      <c r="H167" s="51">
        <v>0.14918255865943508</v>
      </c>
      <c r="I167" s="51">
        <v>0.16257997542477012</v>
      </c>
      <c r="J167" s="53" t="s">
        <v>26</v>
      </c>
    </row>
    <row r="168" spans="1:12" ht="15.75" thickBot="1" x14ac:dyDescent="0.3">
      <c r="D168" s="10"/>
      <c r="E168" s="37"/>
      <c r="F168" s="35"/>
      <c r="G168" s="38"/>
      <c r="H168" s="35"/>
      <c r="I168" s="35"/>
      <c r="J168" s="39"/>
    </row>
    <row r="169" spans="1:12" ht="40.5" customHeight="1" thickTop="1" thickBot="1" x14ac:dyDescent="0.25">
      <c r="A169" s="20" t="s">
        <v>29</v>
      </c>
      <c r="B169" s="18">
        <f>COUNTA(B20:B167)</f>
        <v>148</v>
      </c>
      <c r="D169" s="11">
        <v>4000</v>
      </c>
      <c r="E169" s="11">
        <v>1423500</v>
      </c>
      <c r="F169" s="62">
        <f>+D169*E169</f>
        <v>5694000000</v>
      </c>
      <c r="H169" s="63">
        <f>+F169+1</f>
        <v>5694000001</v>
      </c>
      <c r="L169" s="36"/>
    </row>
    <row r="170" spans="1:12" ht="12.75" thickTop="1" x14ac:dyDescent="0.2"/>
    <row r="171" spans="1:12" ht="15.75" customHeight="1" x14ac:dyDescent="0.2">
      <c r="A171" s="77" t="s">
        <v>30</v>
      </c>
      <c r="B171" s="11" t="s">
        <v>31</v>
      </c>
      <c r="D171" s="10">
        <f>SUBTOTAL(1,D20:D167)</f>
        <v>11.326478689012271</v>
      </c>
      <c r="E171" s="33">
        <f>SUBTOTAL(1,E20:E167)</f>
        <v>6176544.9391891891</v>
      </c>
      <c r="F171" s="35">
        <f t="shared" ref="F171:J171" si="0">SUBTOTAL(1,F20:F167)</f>
        <v>0.36020149171966703</v>
      </c>
      <c r="G171" s="10">
        <f t="shared" si="0"/>
        <v>10337529.763513513</v>
      </c>
      <c r="H171" s="35">
        <f t="shared" si="0"/>
        <v>0.10712593641560873</v>
      </c>
      <c r="I171" s="35">
        <f t="shared" si="0"/>
        <v>0.22821898981367408</v>
      </c>
      <c r="J171" s="10">
        <f t="shared" si="0"/>
        <v>1920.8194416957951</v>
      </c>
    </row>
    <row r="172" spans="1:12" x14ac:dyDescent="0.2">
      <c r="A172" s="77"/>
      <c r="B172" s="11" t="s">
        <v>32</v>
      </c>
      <c r="D172" s="10">
        <f>SUBTOTAL(7,D20:D167)</f>
        <v>28.537484830276362</v>
      </c>
      <c r="E172" s="33">
        <f t="shared" ref="E172:J172" si="1">SUBTOTAL(7,E20:E167)</f>
        <v>13601965.853598498</v>
      </c>
      <c r="F172" s="35">
        <f t="shared" si="1"/>
        <v>0.24698802054731242</v>
      </c>
      <c r="G172" s="10">
        <f t="shared" si="1"/>
        <v>16996691.514359109</v>
      </c>
      <c r="H172" s="35">
        <f t="shared" si="1"/>
        <v>0.15658606739257766</v>
      </c>
      <c r="I172" s="35">
        <f t="shared" si="1"/>
        <v>0.507307740428392</v>
      </c>
      <c r="J172" s="10">
        <f t="shared" si="1"/>
        <v>14529.992288951924</v>
      </c>
    </row>
    <row r="173" spans="1:12" x14ac:dyDescent="0.2">
      <c r="A173" s="77"/>
      <c r="B173" s="11" t="s">
        <v>33</v>
      </c>
      <c r="D173" s="10">
        <f t="shared" ref="D173:J173" si="2">SUBTOTAL(5,D20:D167)</f>
        <v>0</v>
      </c>
      <c r="E173" s="33">
        <f t="shared" si="2"/>
        <v>-12513789</v>
      </c>
      <c r="F173" s="35">
        <f t="shared" si="2"/>
        <v>0</v>
      </c>
      <c r="G173" s="10">
        <f t="shared" si="2"/>
        <v>-149245</v>
      </c>
      <c r="H173" s="35">
        <f t="shared" si="2"/>
        <v>-0.60885662252404849</v>
      </c>
      <c r="I173" s="35">
        <f t="shared" si="2"/>
        <v>-1.9428692687067364</v>
      </c>
      <c r="J173" s="10">
        <f t="shared" si="2"/>
        <v>-5790.825242718447</v>
      </c>
    </row>
    <row r="174" spans="1:12" x14ac:dyDescent="0.2">
      <c r="A174" s="77"/>
      <c r="B174" s="11" t="s">
        <v>34</v>
      </c>
      <c r="D174" s="10">
        <f t="shared" ref="D174:J174" si="3">SUBTOTAL(4,D20:D167)</f>
        <v>182.99352750809061</v>
      </c>
      <c r="E174" s="33">
        <f t="shared" si="3"/>
        <v>140775192</v>
      </c>
      <c r="F174" s="35">
        <f t="shared" si="3"/>
        <v>1.0100186786648699</v>
      </c>
      <c r="G174" s="10">
        <f t="shared" si="3"/>
        <v>124055317</v>
      </c>
      <c r="H174" s="35">
        <f t="shared" si="3"/>
        <v>0.93163341054834581</v>
      </c>
      <c r="I174" s="35">
        <f t="shared" si="3"/>
        <v>4.5934001139066636</v>
      </c>
      <c r="J174" s="10">
        <f t="shared" si="3"/>
        <v>150951</v>
      </c>
    </row>
    <row r="177" spans="1:10" ht="36" x14ac:dyDescent="0.2">
      <c r="A177" s="66" t="s">
        <v>35</v>
      </c>
      <c r="B177" s="78" t="s">
        <v>36</v>
      </c>
      <c r="C177" s="78"/>
      <c r="D177" s="78"/>
      <c r="E177" s="78"/>
      <c r="F177" s="78"/>
      <c r="G177" s="78"/>
      <c r="H177" s="78"/>
      <c r="I177" s="78"/>
      <c r="J177" s="78"/>
    </row>
    <row r="179" spans="1:10" ht="14.25" x14ac:dyDescent="0.2">
      <c r="B179" s="34" t="s">
        <v>37</v>
      </c>
      <c r="C179" s="91" t="s">
        <v>38</v>
      </c>
      <c r="D179" s="91"/>
      <c r="E179" s="25"/>
    </row>
    <row r="180" spans="1:10" ht="14.25" x14ac:dyDescent="0.2">
      <c r="B180" s="1" t="s">
        <v>39</v>
      </c>
      <c r="C180" s="2">
        <f>COUNTIF(D20:D167,"&gt;=0")-COUNTIF(D20:D167,"&gt;1")</f>
        <v>18</v>
      </c>
      <c r="D180" s="3">
        <f>+C180/$B$169</f>
        <v>0.12162162162162163</v>
      </c>
      <c r="E180" s="23"/>
      <c r="G180" s="12"/>
    </row>
    <row r="181" spans="1:10" ht="14.25" x14ac:dyDescent="0.2">
      <c r="B181" s="1" t="s">
        <v>40</v>
      </c>
      <c r="C181" s="2">
        <f>COUNTIF(D20:D167,"&gt;=1")-COUNTIF(D20:D167,"&gt;2")</f>
        <v>27</v>
      </c>
      <c r="D181" s="3">
        <f t="shared" ref="D181:D187" si="4">+C181/$B$169</f>
        <v>0.18243243243243243</v>
      </c>
      <c r="E181" s="23"/>
    </row>
    <row r="182" spans="1:10" ht="14.25" x14ac:dyDescent="0.2">
      <c r="B182" s="1" t="s">
        <v>41</v>
      </c>
      <c r="C182" s="2">
        <f>COUNTIF(D20:D167,"&gt;=2")-COUNTIF(D20:D167,"&gt;5")</f>
        <v>49</v>
      </c>
      <c r="D182" s="3">
        <f t="shared" si="4"/>
        <v>0.33108108108108109</v>
      </c>
      <c r="E182" s="23"/>
    </row>
    <row r="183" spans="1:10" ht="14.25" x14ac:dyDescent="0.2">
      <c r="B183" s="4" t="s">
        <v>42</v>
      </c>
      <c r="C183" s="2">
        <f>COUNTIF(D20:D167,"&gt;=5")-COUNTIF(D20:D167,"&gt;10")</f>
        <v>28</v>
      </c>
      <c r="D183" s="3">
        <f t="shared" si="4"/>
        <v>0.1891891891891892</v>
      </c>
      <c r="E183" s="23"/>
    </row>
    <row r="184" spans="1:10" ht="14.25" x14ac:dyDescent="0.2">
      <c r="B184" s="1" t="s">
        <v>43</v>
      </c>
      <c r="C184" s="2">
        <f>COUNTIF(D20:D167,"&gt;=10")-COUNTIF(D20:D167,"&gt;20")</f>
        <v>14</v>
      </c>
      <c r="D184" s="3">
        <f t="shared" si="4"/>
        <v>9.45945945945946E-2</v>
      </c>
      <c r="E184" s="23"/>
    </row>
    <row r="185" spans="1:10" ht="14.25" x14ac:dyDescent="0.2">
      <c r="B185" s="1" t="s">
        <v>44</v>
      </c>
      <c r="C185" s="2">
        <f>COUNTIF(D20:D167,"&gt;=20")-COUNTIF(D20:D167,"&gt;30")</f>
        <v>3</v>
      </c>
      <c r="D185" s="3">
        <f t="shared" si="4"/>
        <v>2.0270270270270271E-2</v>
      </c>
      <c r="E185" s="23"/>
    </row>
    <row r="186" spans="1:10" ht="14.25" x14ac:dyDescent="0.2">
      <c r="B186" s="1" t="s">
        <v>45</v>
      </c>
      <c r="C186" s="2">
        <f>COUNTIF(D20:D167,"&gt;=30")-COUNTIF(D20:D167,"&gt;50")</f>
        <v>0</v>
      </c>
      <c r="D186" s="3">
        <f t="shared" si="4"/>
        <v>0</v>
      </c>
      <c r="E186" s="23"/>
    </row>
    <row r="187" spans="1:10" ht="14.25" x14ac:dyDescent="0.2">
      <c r="B187" s="1" t="s">
        <v>46</v>
      </c>
      <c r="C187" s="2">
        <f>COUNTIF(D20:D167,"&gt;50")</f>
        <v>9</v>
      </c>
      <c r="D187" s="3">
        <f t="shared" si="4"/>
        <v>6.0810810810810814E-2</v>
      </c>
      <c r="E187" s="23"/>
    </row>
    <row r="188" spans="1:10" ht="14.25" x14ac:dyDescent="0.2">
      <c r="B188" s="21" t="s">
        <v>47</v>
      </c>
      <c r="C188" s="5">
        <f>SUM(C180:C187)</f>
        <v>148</v>
      </c>
      <c r="D188" s="6">
        <f>SUM(D180:D187)</f>
        <v>1</v>
      </c>
      <c r="E188" s="24"/>
    </row>
    <row r="192" spans="1:10" ht="36" customHeight="1" x14ac:dyDescent="0.2">
      <c r="B192" s="78" t="s">
        <v>48</v>
      </c>
      <c r="C192" s="78"/>
      <c r="D192" s="78"/>
      <c r="E192" s="78"/>
      <c r="F192" s="78"/>
      <c r="G192" s="78"/>
      <c r="H192" s="78"/>
      <c r="I192" s="78"/>
      <c r="J192" s="78"/>
    </row>
    <row r="194" spans="2:10" ht="14.25" x14ac:dyDescent="0.2">
      <c r="B194" s="22" t="s">
        <v>37</v>
      </c>
      <c r="C194" s="92" t="s">
        <v>38</v>
      </c>
      <c r="D194" s="93"/>
      <c r="E194" s="25"/>
    </row>
    <row r="195" spans="2:10" ht="14.25" x14ac:dyDescent="0.2">
      <c r="B195" s="1" t="s">
        <v>49</v>
      </c>
      <c r="C195" s="2">
        <f>COUNTIF(E20:E167,"&lt;0")</f>
        <v>9</v>
      </c>
      <c r="D195" s="3">
        <f>+C195/$B$169</f>
        <v>6.0810810810810814E-2</v>
      </c>
      <c r="E195" s="23"/>
    </row>
    <row r="196" spans="2:10" ht="14.25" x14ac:dyDescent="0.2">
      <c r="B196" s="1" t="s">
        <v>50</v>
      </c>
      <c r="C196" s="2">
        <f>COUNTIF(E20:E167,"=0")</f>
        <v>0</v>
      </c>
      <c r="D196" s="3">
        <f>+C196/$B$169</f>
        <v>0</v>
      </c>
      <c r="E196" s="23"/>
    </row>
    <row r="197" spans="2:10" ht="14.25" x14ac:dyDescent="0.2">
      <c r="B197" s="1" t="s">
        <v>51</v>
      </c>
      <c r="C197" s="2">
        <f>COUNTIF(E20:E167,"&gt;0")</f>
        <v>139</v>
      </c>
      <c r="D197" s="3">
        <f>+C197/$B$169</f>
        <v>0.93918918918918914</v>
      </c>
      <c r="E197" s="23"/>
    </row>
    <row r="198" spans="2:10" ht="14.25" x14ac:dyDescent="0.2">
      <c r="B198" s="21" t="s">
        <v>47</v>
      </c>
      <c r="C198" s="5">
        <f>SUM(C195:C197)</f>
        <v>148</v>
      </c>
      <c r="D198" s="6">
        <f>SUM(D195:D197)</f>
        <v>1</v>
      </c>
      <c r="E198" s="24"/>
    </row>
    <row r="203" spans="2:10" ht="36" customHeight="1" x14ac:dyDescent="0.2">
      <c r="B203" s="78" t="s">
        <v>52</v>
      </c>
      <c r="C203" s="78"/>
      <c r="D203" s="78"/>
      <c r="E203" s="78"/>
      <c r="F203" s="78"/>
      <c r="G203" s="78"/>
      <c r="H203" s="78"/>
      <c r="I203" s="78"/>
      <c r="J203" s="78"/>
    </row>
    <row r="205" spans="2:10" ht="14.25" x14ac:dyDescent="0.2">
      <c r="B205" s="22" t="s">
        <v>37</v>
      </c>
      <c r="C205" s="92" t="s">
        <v>38</v>
      </c>
      <c r="D205" s="93"/>
      <c r="E205" s="28"/>
    </row>
    <row r="206" spans="2:10" ht="14.25" x14ac:dyDescent="0.2">
      <c r="B206" s="1" t="s">
        <v>53</v>
      </c>
      <c r="C206" s="2">
        <f>COUNTIF(F20:F167,"&gt;=0")-COUNTIF(F20:F167,"&gt;15%")</f>
        <v>37</v>
      </c>
      <c r="D206" s="26">
        <f t="shared" ref="D206:D212" si="5">+C206/$B$169</f>
        <v>0.25</v>
      </c>
      <c r="E206" s="23"/>
      <c r="F206" s="8"/>
    </row>
    <row r="207" spans="2:10" ht="14.25" x14ac:dyDescent="0.2">
      <c r="B207" s="1" t="s">
        <v>54</v>
      </c>
      <c r="C207" s="2">
        <f>COUNTIF(F20:F167,"&gt;15%")-COUNTIF(F20:F167,"&gt;30%")</f>
        <v>31</v>
      </c>
      <c r="D207" s="26">
        <f t="shared" si="5"/>
        <v>0.20945945945945946</v>
      </c>
      <c r="E207" s="23"/>
      <c r="F207" s="8"/>
    </row>
    <row r="208" spans="2:10" ht="14.25" x14ac:dyDescent="0.2">
      <c r="B208" s="1" t="s">
        <v>55</v>
      </c>
      <c r="C208" s="2">
        <f>COUNTIF(F20:F167,"&gt;30%")-COUNTIF(F20:F167,"&gt;45%")</f>
        <v>22</v>
      </c>
      <c r="D208" s="26">
        <f t="shared" si="5"/>
        <v>0.14864864864864866</v>
      </c>
      <c r="E208" s="23"/>
      <c r="F208" s="8"/>
    </row>
    <row r="209" spans="2:10" ht="14.25" x14ac:dyDescent="0.2">
      <c r="B209" s="1" t="s">
        <v>56</v>
      </c>
      <c r="C209" s="2">
        <f>COUNTIF(F20:F167,"&gt;45%")-COUNTIF(F20:F167,"&gt;60%")</f>
        <v>35</v>
      </c>
      <c r="D209" s="26">
        <f t="shared" si="5"/>
        <v>0.23648648648648649</v>
      </c>
      <c r="E209" s="23"/>
      <c r="F209" s="8"/>
    </row>
    <row r="210" spans="2:10" ht="14.25" x14ac:dyDescent="0.2">
      <c r="B210" s="1" t="s">
        <v>57</v>
      </c>
      <c r="C210" s="2">
        <f>COUNTIF(F20:F167,"&gt;60%")-COUNTIF(F20:F167,"&gt;75%")</f>
        <v>16</v>
      </c>
      <c r="D210" s="26">
        <f t="shared" si="5"/>
        <v>0.10810810810810811</v>
      </c>
      <c r="E210" s="23"/>
      <c r="F210" s="8"/>
    </row>
    <row r="211" spans="2:10" ht="14.25" x14ac:dyDescent="0.2">
      <c r="B211" s="1" t="s">
        <v>58</v>
      </c>
      <c r="C211" s="2">
        <f>COUNTIF(F20:F167,"&gt;75%")-COUNTIF(F20:F167,"&gt;90%")</f>
        <v>5</v>
      </c>
      <c r="D211" s="26">
        <f t="shared" si="5"/>
        <v>3.3783783783783786E-2</v>
      </c>
      <c r="E211" s="23"/>
      <c r="F211" s="8"/>
    </row>
    <row r="212" spans="2:10" ht="14.25" x14ac:dyDescent="0.2">
      <c r="B212" s="1" t="s">
        <v>59</v>
      </c>
      <c r="C212" s="2">
        <f>COUNTIF(F20:F167,"&gt;90%")</f>
        <v>2</v>
      </c>
      <c r="D212" s="26">
        <f t="shared" si="5"/>
        <v>1.3513513513513514E-2</v>
      </c>
      <c r="E212" s="23"/>
      <c r="F212" s="8"/>
    </row>
    <row r="213" spans="2:10" ht="14.25" x14ac:dyDescent="0.2">
      <c r="B213" s="21" t="s">
        <v>47</v>
      </c>
      <c r="C213" s="5">
        <f>SUM(C206:C212)</f>
        <v>148</v>
      </c>
      <c r="D213" s="27">
        <f>SUM(D206:D212)</f>
        <v>1</v>
      </c>
      <c r="E213" s="24"/>
    </row>
    <row r="218" spans="2:10" ht="36" customHeight="1" x14ac:dyDescent="0.2">
      <c r="B218" s="78" t="s">
        <v>60</v>
      </c>
      <c r="C218" s="78"/>
      <c r="D218" s="78"/>
      <c r="E218" s="78"/>
      <c r="F218" s="78"/>
      <c r="G218" s="78"/>
      <c r="H218" s="78"/>
      <c r="I218" s="78"/>
      <c r="J218" s="78"/>
    </row>
    <row r="220" spans="2:10" ht="14.25" x14ac:dyDescent="0.2">
      <c r="B220" s="22" t="s">
        <v>37</v>
      </c>
      <c r="C220" s="85" t="s">
        <v>38</v>
      </c>
      <c r="D220" s="85"/>
      <c r="E220" s="29"/>
    </row>
    <row r="221" spans="2:10" ht="14.25" x14ac:dyDescent="0.2">
      <c r="B221" s="1" t="s">
        <v>49</v>
      </c>
      <c r="C221" s="2">
        <f>COUNTIF(G20:G167,"&lt;0")</f>
        <v>2</v>
      </c>
      <c r="D221" s="3">
        <f>+C221/$B$169</f>
        <v>1.3513513513513514E-2</v>
      </c>
      <c r="E221" s="9"/>
    </row>
    <row r="222" spans="2:10" ht="14.25" x14ac:dyDescent="0.2">
      <c r="B222" s="1" t="s">
        <v>50</v>
      </c>
      <c r="C222" s="2">
        <f>COUNTIF(G20:G167,"=0")</f>
        <v>0</v>
      </c>
      <c r="D222" s="3">
        <f>+C222/$B$169</f>
        <v>0</v>
      </c>
      <c r="E222" s="9"/>
    </row>
    <row r="223" spans="2:10" ht="14.25" x14ac:dyDescent="0.2">
      <c r="B223" s="1" t="s">
        <v>61</v>
      </c>
      <c r="C223" s="2">
        <f>COUNTIF(G20:G167,"&gt;0")-COUNTIF(G20:G167,"&gt;10000000")</f>
        <v>102</v>
      </c>
      <c r="D223" s="3">
        <f>+C223/$B$169</f>
        <v>0.68918918918918914</v>
      </c>
      <c r="E223" s="9"/>
    </row>
    <row r="224" spans="2:10" ht="14.25" x14ac:dyDescent="0.2">
      <c r="B224" s="1" t="s">
        <v>62</v>
      </c>
      <c r="C224" s="2">
        <f>COUNTIF(G20:G167,"&gt;10000000")-COUNTIF(G20:G167,"&gt;100000000")</f>
        <v>43</v>
      </c>
      <c r="D224" s="3">
        <f>+C224/$B$169</f>
        <v>0.29054054054054052</v>
      </c>
      <c r="E224" s="9"/>
    </row>
    <row r="225" spans="2:10" ht="14.25" x14ac:dyDescent="0.2">
      <c r="B225" s="1" t="s">
        <v>63</v>
      </c>
      <c r="C225" s="2">
        <f>COUNTIF(G20:G167,"&gt;100000000")</f>
        <v>1</v>
      </c>
      <c r="D225" s="3">
        <f>+C225/$B$169</f>
        <v>6.7567567567567571E-3</v>
      </c>
      <c r="E225" s="9"/>
    </row>
    <row r="226" spans="2:10" ht="14.25" x14ac:dyDescent="0.2">
      <c r="B226" s="21" t="s">
        <v>47</v>
      </c>
      <c r="C226" s="5">
        <f>SUM(C221:C225)</f>
        <v>148</v>
      </c>
      <c r="D226" s="6">
        <f>SUM(D221:D225)</f>
        <v>1</v>
      </c>
      <c r="E226" s="7"/>
    </row>
    <row r="231" spans="2:10" ht="36" customHeight="1" x14ac:dyDescent="0.2">
      <c r="B231" s="78" t="s">
        <v>64</v>
      </c>
      <c r="C231" s="78"/>
      <c r="D231" s="78"/>
      <c r="E231" s="78"/>
      <c r="F231" s="78"/>
      <c r="G231" s="78"/>
      <c r="H231" s="78"/>
      <c r="I231" s="78"/>
      <c r="J231" s="78"/>
    </row>
    <row r="233" spans="2:10" ht="14.25" x14ac:dyDescent="0.2">
      <c r="B233" s="22" t="s">
        <v>37</v>
      </c>
      <c r="C233" s="91" t="s">
        <v>38</v>
      </c>
      <c r="D233" s="91"/>
      <c r="E233" s="30"/>
    </row>
    <row r="234" spans="2:10" ht="14.25" x14ac:dyDescent="0.2">
      <c r="B234" s="1" t="s">
        <v>65</v>
      </c>
      <c r="C234" s="2">
        <f>COUNTIF(J20:J167,"=0")</f>
        <v>0</v>
      </c>
      <c r="D234" s="3">
        <f t="shared" ref="D234:D240" si="6">+C234/$B$169</f>
        <v>0</v>
      </c>
      <c r="E234" s="9"/>
    </row>
    <row r="235" spans="2:10" ht="14.25" x14ac:dyDescent="0.2">
      <c r="B235" s="1" t="s">
        <v>49</v>
      </c>
      <c r="C235" s="2">
        <f>COUNTIF(J20:J167,"&lt;0")</f>
        <v>8</v>
      </c>
      <c r="D235" s="3">
        <f t="shared" si="6"/>
        <v>5.4054054054054057E-2</v>
      </c>
      <c r="E235" s="9"/>
    </row>
    <row r="236" spans="2:10" ht="14.25" x14ac:dyDescent="0.2">
      <c r="B236" s="1" t="s">
        <v>66</v>
      </c>
      <c r="C236" s="2">
        <f>COUNTIF(J20:J167,"&gt;0")-COUNTIF(J20:J167,"&gt;1")</f>
        <v>5</v>
      </c>
      <c r="D236" s="3">
        <f t="shared" si="6"/>
        <v>3.3783783783783786E-2</v>
      </c>
      <c r="E236" s="9"/>
    </row>
    <row r="237" spans="2:10" ht="14.25" x14ac:dyDescent="0.2">
      <c r="B237" s="1" t="s">
        <v>67</v>
      </c>
      <c r="C237" s="2">
        <f>COUNTIF(J20:J167,"&gt;1")-COUNTIF(J20:J167,"&gt;2")</f>
        <v>11</v>
      </c>
      <c r="D237" s="3">
        <f t="shared" si="6"/>
        <v>7.4324324324324328E-2</v>
      </c>
      <c r="E237" s="9"/>
    </row>
    <row r="238" spans="2:10" ht="14.25" x14ac:dyDescent="0.2">
      <c r="B238" s="1" t="s">
        <v>68</v>
      </c>
      <c r="C238" s="2">
        <f>COUNTIF(J20:J167,"&gt;2")-COUNTIF(J20:J167,"&gt;4")</f>
        <v>8</v>
      </c>
      <c r="D238" s="3">
        <f t="shared" si="6"/>
        <v>5.4054054054054057E-2</v>
      </c>
      <c r="E238" s="9"/>
    </row>
    <row r="239" spans="2:10" ht="14.25" x14ac:dyDescent="0.2">
      <c r="B239" s="1" t="s">
        <v>69</v>
      </c>
      <c r="C239" s="2">
        <f>COUNTIF(J20:J167,"&gt;4")-COUNTIF(J20:J167,"&gt;6")</f>
        <v>11</v>
      </c>
      <c r="D239" s="3">
        <f t="shared" si="6"/>
        <v>7.4324324324324328E-2</v>
      </c>
      <c r="E239" s="9"/>
    </row>
    <row r="240" spans="2:10" ht="14.25" x14ac:dyDescent="0.2">
      <c r="B240" s="1" t="s">
        <v>70</v>
      </c>
      <c r="C240" s="2">
        <f>COUNTIF(J20:J167,"&gt;6")+COUNTBLANK(J20:J167)</f>
        <v>105</v>
      </c>
      <c r="D240" s="3">
        <f t="shared" si="6"/>
        <v>0.70945945945945943</v>
      </c>
      <c r="E240" s="9"/>
    </row>
    <row r="241" spans="2:10" ht="14.25" x14ac:dyDescent="0.2">
      <c r="B241" s="21" t="s">
        <v>47</v>
      </c>
      <c r="C241" s="5">
        <f>SUM(C234:C240)</f>
        <v>148</v>
      </c>
      <c r="D241" s="6">
        <f>SUM(D234:D240)</f>
        <v>1</v>
      </c>
      <c r="E241" s="7"/>
    </row>
    <row r="245" spans="2:10" ht="36" customHeight="1" x14ac:dyDescent="0.2">
      <c r="B245" s="78" t="s">
        <v>71</v>
      </c>
      <c r="C245" s="78"/>
      <c r="D245" s="78"/>
      <c r="E245" s="78"/>
      <c r="F245" s="78"/>
      <c r="G245" s="78"/>
      <c r="H245" s="78"/>
      <c r="I245" s="78"/>
      <c r="J245" s="78"/>
    </row>
    <row r="247" spans="2:10" ht="14.25" x14ac:dyDescent="0.2">
      <c r="B247" s="22" t="s">
        <v>37</v>
      </c>
      <c r="C247" s="95" t="s">
        <v>38</v>
      </c>
      <c r="D247" s="95"/>
      <c r="E247" s="25"/>
    </row>
    <row r="248" spans="2:10" ht="14.25" x14ac:dyDescent="0.2">
      <c r="B248" s="1" t="s">
        <v>49</v>
      </c>
      <c r="C248" s="2">
        <f>COUNTIF(H20:H167,"&lt;0%")</f>
        <v>15</v>
      </c>
      <c r="D248" s="3">
        <f t="shared" ref="D248:D254" si="7">+C248/$B$169</f>
        <v>0.10135135135135136</v>
      </c>
      <c r="E248" s="23"/>
    </row>
    <row r="249" spans="2:10" ht="14.25" x14ac:dyDescent="0.2">
      <c r="B249" s="1" t="s">
        <v>50</v>
      </c>
      <c r="C249" s="2">
        <f>COUNTIF(H20:H167,"=0%")</f>
        <v>9</v>
      </c>
      <c r="D249" s="3">
        <f t="shared" si="7"/>
        <v>6.0810810810810814E-2</v>
      </c>
      <c r="E249" s="23"/>
    </row>
    <row r="250" spans="2:10" ht="14.25" x14ac:dyDescent="0.2">
      <c r="B250" s="1" t="s">
        <v>66</v>
      </c>
      <c r="C250" s="2">
        <f>COUNTIF(H20:H167,"&gt;0%")-COUNTIF(H20:H167,"&gt;1%")</f>
        <v>8</v>
      </c>
      <c r="D250" s="3">
        <f t="shared" si="7"/>
        <v>5.4054054054054057E-2</v>
      </c>
      <c r="E250" s="23"/>
    </row>
    <row r="251" spans="2:10" ht="14.25" x14ac:dyDescent="0.2">
      <c r="B251" s="1" t="s">
        <v>67</v>
      </c>
      <c r="C251" s="2">
        <f>COUNTIF(H20:H167,"&gt;1%")-COUNTIF(H20:H167,"&gt;2%")</f>
        <v>3</v>
      </c>
      <c r="D251" s="3">
        <f t="shared" si="7"/>
        <v>2.0270270270270271E-2</v>
      </c>
      <c r="E251" s="23"/>
    </row>
    <row r="252" spans="2:10" ht="14.25" x14ac:dyDescent="0.2">
      <c r="B252" s="1" t="s">
        <v>72</v>
      </c>
      <c r="C252" s="2">
        <f>COUNTIF(H20:H167,"&gt;2%")-COUNTIF(H20:H167,"&gt;3%")</f>
        <v>8</v>
      </c>
      <c r="D252" s="3">
        <f t="shared" si="7"/>
        <v>5.4054054054054057E-2</v>
      </c>
      <c r="E252" s="23"/>
    </row>
    <row r="253" spans="2:10" ht="14.25" x14ac:dyDescent="0.2">
      <c r="B253" s="1" t="s">
        <v>73</v>
      </c>
      <c r="C253" s="2">
        <f>COUNTIF(H20:H167,"&gt;3%")-COUNTIF(H20:H167,"&gt;4%")</f>
        <v>11</v>
      </c>
      <c r="D253" s="3">
        <f t="shared" si="7"/>
        <v>7.4324324324324328E-2</v>
      </c>
      <c r="E253" s="23"/>
    </row>
    <row r="254" spans="2:10" ht="14.25" x14ac:dyDescent="0.2">
      <c r="B254" s="1" t="s">
        <v>74</v>
      </c>
      <c r="C254" s="2">
        <f>COUNTIF(H20:H167,"&gt;4%")</f>
        <v>94</v>
      </c>
      <c r="D254" s="3">
        <f t="shared" si="7"/>
        <v>0.63513513513513509</v>
      </c>
      <c r="E254" s="23"/>
    </row>
    <row r="255" spans="2:10" ht="14.25" x14ac:dyDescent="0.2">
      <c r="B255" s="21" t="s">
        <v>47</v>
      </c>
      <c r="C255" s="5">
        <f>SUM(C248:C254)</f>
        <v>148</v>
      </c>
      <c r="D255" s="6">
        <f>SUM(D248:D254)</f>
        <v>1</v>
      </c>
      <c r="E255" s="24"/>
    </row>
    <row r="259" spans="2:10" ht="36" customHeight="1" x14ac:dyDescent="0.2">
      <c r="B259" s="94" t="s">
        <v>75</v>
      </c>
      <c r="C259" s="94"/>
      <c r="D259" s="94"/>
      <c r="E259" s="94"/>
      <c r="F259" s="94"/>
      <c r="G259" s="94"/>
      <c r="H259" s="94"/>
      <c r="I259" s="94"/>
      <c r="J259" s="94"/>
    </row>
    <row r="261" spans="2:10" ht="14.25" x14ac:dyDescent="0.2">
      <c r="B261" s="22" t="s">
        <v>37</v>
      </c>
      <c r="C261" s="85" t="s">
        <v>38</v>
      </c>
      <c r="D261" s="85"/>
      <c r="E261" s="30"/>
    </row>
    <row r="262" spans="2:10" ht="14.25" x14ac:dyDescent="0.2">
      <c r="B262" s="1" t="s">
        <v>49</v>
      </c>
      <c r="C262" s="2">
        <f>COUNTIF(I20:I167,"&lt;0")</f>
        <v>13</v>
      </c>
      <c r="D262" s="3">
        <f t="shared" ref="D262:D268" si="8">+C262/$B$169</f>
        <v>8.7837837837837843E-2</v>
      </c>
      <c r="E262" s="9"/>
    </row>
    <row r="263" spans="2:10" ht="14.25" x14ac:dyDescent="0.2">
      <c r="B263" s="1" t="s">
        <v>50</v>
      </c>
      <c r="C263" s="2">
        <f>COUNTIF(I20:I167,"=0")</f>
        <v>9</v>
      </c>
      <c r="D263" s="3">
        <f t="shared" si="8"/>
        <v>6.0810810810810814E-2</v>
      </c>
      <c r="E263" s="9"/>
    </row>
    <row r="264" spans="2:10" ht="14.25" x14ac:dyDescent="0.2">
      <c r="B264" s="1" t="s">
        <v>76</v>
      </c>
      <c r="C264" s="2">
        <f>COUNTIF(I20:I167,"&gt;0%")-COUNTIF(I20:I167,"&gt;2%")</f>
        <v>7</v>
      </c>
      <c r="D264" s="3">
        <f t="shared" si="8"/>
        <v>4.72972972972973E-2</v>
      </c>
      <c r="E264" s="9"/>
    </row>
    <row r="265" spans="2:10" ht="14.25" x14ac:dyDescent="0.2">
      <c r="B265" s="1" t="s">
        <v>68</v>
      </c>
      <c r="C265" s="2">
        <f>COUNTIF(I20:I167,"&gt;2%")-COUNTIF(I20:I167,"&gt;4%")</f>
        <v>11</v>
      </c>
      <c r="D265" s="3">
        <f t="shared" si="8"/>
        <v>7.4324324324324328E-2</v>
      </c>
      <c r="E265" s="9"/>
    </row>
    <row r="266" spans="2:10" ht="14.25" x14ac:dyDescent="0.2">
      <c r="B266" s="1" t="s">
        <v>69</v>
      </c>
      <c r="C266" s="2">
        <f>COUNTIF(I20:I167,"&gt;4%")-COUNTIF(I20:I167,"&gt;6%")</f>
        <v>9</v>
      </c>
      <c r="D266" s="3">
        <f t="shared" si="8"/>
        <v>6.0810810810810814E-2</v>
      </c>
      <c r="E266" s="9"/>
    </row>
    <row r="267" spans="2:10" ht="14.25" x14ac:dyDescent="0.2">
      <c r="B267" s="1" t="s">
        <v>77</v>
      </c>
      <c r="C267" s="2">
        <f>COUNTIF(I20:I167,"&gt;6%")-COUNTIF(I20:I167,"&gt;8%")</f>
        <v>5</v>
      </c>
      <c r="D267" s="3">
        <f t="shared" si="8"/>
        <v>3.3783783783783786E-2</v>
      </c>
      <c r="E267" s="9"/>
    </row>
    <row r="268" spans="2:10" ht="14.25" x14ac:dyDescent="0.2">
      <c r="B268" s="1" t="s">
        <v>78</v>
      </c>
      <c r="C268" s="2">
        <f>COUNTIF(I20:I167,"&gt;8%")</f>
        <v>94</v>
      </c>
      <c r="D268" s="3">
        <f t="shared" si="8"/>
        <v>0.63513513513513509</v>
      </c>
      <c r="E268" s="9"/>
    </row>
    <row r="269" spans="2:10" ht="14.25" x14ac:dyDescent="0.2">
      <c r="B269" s="21" t="s">
        <v>47</v>
      </c>
      <c r="C269" s="5">
        <f>SUM(C262:C268)</f>
        <v>148</v>
      </c>
      <c r="D269" s="6">
        <f>SUM(D262:D268)</f>
        <v>1</v>
      </c>
      <c r="E269" s="7"/>
    </row>
    <row r="274" spans="1:10" ht="100.5" customHeight="1" thickBot="1" x14ac:dyDescent="0.25"/>
    <row r="275" spans="1:10" ht="36" customHeight="1" thickTop="1" thickBot="1" x14ac:dyDescent="0.25">
      <c r="B275" s="96" t="s">
        <v>169</v>
      </c>
      <c r="C275" s="97"/>
      <c r="D275" s="55" t="s">
        <v>16</v>
      </c>
      <c r="E275" s="55" t="s">
        <v>17</v>
      </c>
      <c r="F275" s="55" t="s">
        <v>18</v>
      </c>
      <c r="G275" s="55" t="s">
        <v>19</v>
      </c>
      <c r="H275" s="55" t="s">
        <v>20</v>
      </c>
      <c r="I275" s="55" t="s">
        <v>21</v>
      </c>
      <c r="J275" s="55" t="s">
        <v>22</v>
      </c>
    </row>
    <row r="276" spans="1:10" ht="24" customHeight="1" thickTop="1" thickBot="1" x14ac:dyDescent="0.25">
      <c r="A276" s="19" t="s">
        <v>79</v>
      </c>
      <c r="B276" s="98" t="s">
        <v>289</v>
      </c>
      <c r="C276" s="99"/>
      <c r="D276" s="60" t="s">
        <v>175</v>
      </c>
      <c r="E276" s="61" t="s">
        <v>288</v>
      </c>
      <c r="F276" s="61" t="s">
        <v>171</v>
      </c>
      <c r="G276" s="61" t="s">
        <v>82</v>
      </c>
      <c r="H276" s="61" t="s">
        <v>173</v>
      </c>
      <c r="I276" s="61" t="s">
        <v>174</v>
      </c>
      <c r="J276" s="61" t="s">
        <v>172</v>
      </c>
    </row>
    <row r="277" spans="1:10" ht="25.5" customHeight="1" thickTop="1" thickBot="1" x14ac:dyDescent="0.25">
      <c r="B277" s="98" t="s">
        <v>83</v>
      </c>
      <c r="C277" s="99"/>
      <c r="D277" s="42">
        <f>COUNTIF(D20:D167,"&gt;=1,11")/$B$169</f>
        <v>0.8716216216216216</v>
      </c>
      <c r="E277" s="43">
        <f>COUNTIF(E20:E167,"&gt;=314017")/$B$169</f>
        <v>0.82432432432432434</v>
      </c>
      <c r="F277" s="43">
        <f>COUNTIF(F20:F167,"&lt;=75%")/$B$169</f>
        <v>0.95270270270270274</v>
      </c>
      <c r="G277" s="45" t="e">
        <f>COUNTIF(#REF!,"&gt;=146000")/$B$248</f>
        <v>#REF!</v>
      </c>
      <c r="H277" s="43">
        <f>COUNTIF(H20:H167,"&gt;=0%")/$B$169</f>
        <v>0.89864864864864868</v>
      </c>
      <c r="I277" s="43">
        <f>COUNTIF(I20:I167,"&gt;=0%")/$B$169</f>
        <v>0.91216216216216217</v>
      </c>
      <c r="J277" s="43">
        <f>COUNTIF(J20:J167,"&gt;=0%")/$B$169</f>
        <v>0.79729729729729726</v>
      </c>
    </row>
    <row r="278" spans="1:10" ht="12.75" thickTop="1" x14ac:dyDescent="0.2"/>
    <row r="279" spans="1:10" ht="12.75" thickBot="1" x14ac:dyDescent="0.25"/>
    <row r="280" spans="1:10" ht="36" customHeight="1" thickTop="1" thickBot="1" x14ac:dyDescent="0.25">
      <c r="B280" s="96" t="s">
        <v>170</v>
      </c>
      <c r="C280" s="97"/>
      <c r="D280" s="55" t="s">
        <v>16</v>
      </c>
      <c r="E280" s="55" t="s">
        <v>17</v>
      </c>
      <c r="F280" s="55" t="s">
        <v>18</v>
      </c>
      <c r="G280" s="55" t="s">
        <v>19</v>
      </c>
      <c r="H280" s="55" t="s">
        <v>20</v>
      </c>
      <c r="I280" s="55" t="s">
        <v>21</v>
      </c>
      <c r="J280" s="55" t="s">
        <v>22</v>
      </c>
    </row>
    <row r="281" spans="1:10" ht="24" customHeight="1" thickTop="1" thickBot="1" x14ac:dyDescent="0.25">
      <c r="A281" s="19"/>
      <c r="B281" s="98" t="s">
        <v>80</v>
      </c>
      <c r="C281" s="99"/>
      <c r="D281" s="60" t="s">
        <v>176</v>
      </c>
      <c r="E281" s="61" t="str">
        <f>E276</f>
        <v>MAYOR O IGUAL A 
$ 314,017,000</v>
      </c>
      <c r="F281" s="61" t="s">
        <v>81</v>
      </c>
      <c r="G281" s="61" t="s">
        <v>82</v>
      </c>
      <c r="H281" s="61" t="s">
        <v>174</v>
      </c>
      <c r="I281" s="61" t="s">
        <v>177</v>
      </c>
      <c r="J281" s="61" t="s">
        <v>178</v>
      </c>
    </row>
    <row r="282" spans="1:10" ht="15.75" thickTop="1" thickBot="1" x14ac:dyDescent="0.25">
      <c r="B282" s="98" t="s">
        <v>83</v>
      </c>
      <c r="C282" s="99"/>
      <c r="D282" s="42">
        <f>COUNTIF(D25:D167,"&gt;=1,11")/$B$169</f>
        <v>0.83783783783783783</v>
      </c>
      <c r="E282" s="43">
        <f>E277</f>
        <v>0.82432432432432434</v>
      </c>
      <c r="F282" s="43">
        <f>COUNTIF(F25:F167,"&lt;=75%")/$B$169</f>
        <v>0.91891891891891897</v>
      </c>
      <c r="G282" s="45" t="e">
        <f>COUNTIF(#REF!,"&gt;=146000")/$B$248</f>
        <v>#REF!</v>
      </c>
      <c r="H282" s="43">
        <f>COUNTIF(H25:H167,"&gt;=0%")/$B$169</f>
        <v>0.86486486486486491</v>
      </c>
      <c r="I282" s="43">
        <f>COUNTIF(I25:I167,"&gt;=0%")/$B$169</f>
        <v>0.8783783783783784</v>
      </c>
      <c r="J282" s="43">
        <f>COUNTIF(J25:J167,"&gt;=0%")/$B$169</f>
        <v>0.76351351351351349</v>
      </c>
    </row>
    <row r="283" spans="1:10" ht="15" customHeight="1" thickTop="1" x14ac:dyDescent="0.2">
      <c r="G283" s="31"/>
    </row>
    <row r="284" spans="1:10" ht="15" customHeight="1" x14ac:dyDescent="0.2">
      <c r="G284" s="31"/>
    </row>
    <row r="285" spans="1:10" x14ac:dyDescent="0.2">
      <c r="G285" s="31"/>
    </row>
    <row r="286" spans="1:10" x14ac:dyDescent="0.2">
      <c r="G286" s="31"/>
    </row>
    <row r="287" spans="1:10" ht="18.75" x14ac:dyDescent="0.2">
      <c r="A287" s="75" t="s">
        <v>84</v>
      </c>
      <c r="B287" s="11" t="s">
        <v>164</v>
      </c>
      <c r="C287" s="11" t="s">
        <v>165</v>
      </c>
    </row>
    <row r="288" spans="1:10" ht="18.75" x14ac:dyDescent="0.2">
      <c r="A288" s="75"/>
      <c r="E288" s="12">
        <f>+F11</f>
        <v>314017000</v>
      </c>
      <c r="G288" s="12">
        <f>+H11</f>
        <v>0</v>
      </c>
    </row>
    <row r="289" spans="4:7" x14ac:dyDescent="0.2">
      <c r="G289" s="31"/>
    </row>
    <row r="290" spans="4:7" x14ac:dyDescent="0.2">
      <c r="G290" s="31"/>
    </row>
    <row r="291" spans="4:7" x14ac:dyDescent="0.2">
      <c r="G291" s="31"/>
    </row>
    <row r="292" spans="4:7" x14ac:dyDescent="0.2">
      <c r="G292" s="31"/>
    </row>
    <row r="293" spans="4:7" x14ac:dyDescent="0.2">
      <c r="G293" s="31"/>
    </row>
    <row r="303" spans="4:7" x14ac:dyDescent="0.2">
      <c r="D303" s="44"/>
    </row>
  </sheetData>
  <autoFilter ref="A19:P19" xr:uid="{00000000-0001-0000-0000-000000000000}"/>
  <mergeCells count="28">
    <mergeCell ref="B275:C275"/>
    <mergeCell ref="B280:C280"/>
    <mergeCell ref="B281:C281"/>
    <mergeCell ref="B282:C282"/>
    <mergeCell ref="B276:C276"/>
    <mergeCell ref="B277:C277"/>
    <mergeCell ref="C261:D261"/>
    <mergeCell ref="A10:H10"/>
    <mergeCell ref="A13:J13"/>
    <mergeCell ref="B218:J218"/>
    <mergeCell ref="B231:J231"/>
    <mergeCell ref="B245:J245"/>
    <mergeCell ref="C220:D220"/>
    <mergeCell ref="C233:D233"/>
    <mergeCell ref="B192:J192"/>
    <mergeCell ref="B203:J203"/>
    <mergeCell ref="C179:D179"/>
    <mergeCell ref="C194:D194"/>
    <mergeCell ref="C205:D205"/>
    <mergeCell ref="B259:J259"/>
    <mergeCell ref="C247:D247"/>
    <mergeCell ref="F4:J4"/>
    <mergeCell ref="F3:J3"/>
    <mergeCell ref="A171:A174"/>
    <mergeCell ref="B177:J177"/>
    <mergeCell ref="F5:J5"/>
    <mergeCell ref="B8:F8"/>
    <mergeCell ref="H8:J8"/>
  </mergeCells>
  <pageMargins left="0.70866141732283472" right="0.70866141732283472" top="0.74803149606299213" bottom="0.74803149606299213" header="0.31496062992125984" footer="0.31496062992125984"/>
  <pageSetup scale="76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D9:D33"/>
  <sheetViews>
    <sheetView topLeftCell="A8" workbookViewId="0">
      <selection activeCell="D12" sqref="D12"/>
    </sheetView>
  </sheetViews>
  <sheetFormatPr baseColWidth="10" defaultColWidth="11.42578125" defaultRowHeight="15" x14ac:dyDescent="0.25"/>
  <sheetData>
    <row r="9" spans="4:4" x14ac:dyDescent="0.25">
      <c r="D9" s="40" t="s">
        <v>28</v>
      </c>
    </row>
    <row r="10" spans="4:4" x14ac:dyDescent="0.25">
      <c r="D10" s="40" t="s">
        <v>24</v>
      </c>
    </row>
    <row r="11" spans="4:4" x14ac:dyDescent="0.25">
      <c r="D11" s="40" t="s">
        <v>27</v>
      </c>
    </row>
    <row r="12" spans="4:4" x14ac:dyDescent="0.25">
      <c r="D12" s="40" t="s">
        <v>27</v>
      </c>
    </row>
    <row r="13" spans="4:4" x14ac:dyDescent="0.25">
      <c r="D13" s="40" t="s">
        <v>25</v>
      </c>
    </row>
    <row r="14" spans="4:4" x14ac:dyDescent="0.25">
      <c r="D14" t="s">
        <v>25</v>
      </c>
    </row>
    <row r="15" spans="4:4" x14ac:dyDescent="0.25">
      <c r="D15" t="s">
        <v>23</v>
      </c>
    </row>
    <row r="16" spans="4:4" x14ac:dyDescent="0.25">
      <c r="D16" s="40"/>
    </row>
    <row r="18" spans="4:4" x14ac:dyDescent="0.25">
      <c r="D18" s="40"/>
    </row>
    <row r="19" spans="4:4" x14ac:dyDescent="0.25">
      <c r="D19" s="40"/>
    </row>
    <row r="20" spans="4:4" x14ac:dyDescent="0.25">
      <c r="D20" s="40"/>
    </row>
    <row r="22" spans="4:4" x14ac:dyDescent="0.25">
      <c r="D22" s="40"/>
    </row>
    <row r="24" spans="4:4" x14ac:dyDescent="0.25">
      <c r="D24" s="40"/>
    </row>
    <row r="25" spans="4:4" x14ac:dyDescent="0.25">
      <c r="D25" s="40"/>
    </row>
    <row r="26" spans="4:4" x14ac:dyDescent="0.25">
      <c r="D26" s="40"/>
    </row>
    <row r="27" spans="4:4" x14ac:dyDescent="0.25">
      <c r="D27" s="40"/>
    </row>
    <row r="28" spans="4:4" x14ac:dyDescent="0.25">
      <c r="D28" s="40"/>
    </row>
    <row r="29" spans="4:4" x14ac:dyDescent="0.25">
      <c r="D29" s="40"/>
    </row>
    <row r="30" spans="4:4" x14ac:dyDescent="0.25">
      <c r="D30" s="40"/>
    </row>
    <row r="32" spans="4:4" x14ac:dyDescent="0.25">
      <c r="D32" s="40"/>
    </row>
    <row r="33" spans="4:4" x14ac:dyDescent="0.25">
      <c r="D33" s="40"/>
    </row>
  </sheetData>
  <sortState xmlns:xlrd2="http://schemas.microsoft.com/office/spreadsheetml/2017/richdata2" ref="D9:D15">
    <sortCondition ref="D9:D1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 2</vt:lpstr>
      <vt:lpstr>Hoja1</vt:lpstr>
      <vt:lpstr>'Hoja 2'!Títulos_a_imprimir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Katherinne Rodriguez Lozano</dc:creator>
  <cp:keywords/>
  <dc:description/>
  <cp:lastModifiedBy>Lilia Johanna Salamanca Gonzalez</cp:lastModifiedBy>
  <cp:revision/>
  <dcterms:created xsi:type="dcterms:W3CDTF">2018-11-28T12:47:08Z</dcterms:created>
  <dcterms:modified xsi:type="dcterms:W3CDTF">2026-02-24T17:20:54Z</dcterms:modified>
  <cp:category/>
  <cp:contentStatus/>
</cp:coreProperties>
</file>