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uper\OneDrive\Escritorio\Sandra\2026\Zonas Comunes\Definitivo\"/>
    </mc:Choice>
  </mc:AlternateContent>
  <xr:revisionPtr revIDLastSave="0" documentId="13_ncr:1_{0BAB6458-A8B7-42E2-B390-06F7DE6A18BD}" xr6:coauthVersionLast="47" xr6:coauthVersionMax="47" xr10:uidLastSave="{00000000-0000-0000-0000-000000000000}"/>
  <bookViews>
    <workbookView xWindow="-108" yWindow="-108" windowWidth="23256" windowHeight="12456" xr2:uid="{00000000-000D-0000-FFFF-FFFF00000000}"/>
  </bookViews>
  <sheets>
    <sheet name="ESTUDIO DE MERCADO" sheetId="5" r:id="rId1"/>
    <sheet name="CHECK" sheetId="6" state="hidden" r:id="rId2"/>
  </sheets>
  <definedNames>
    <definedName name="_xlnm._FilterDatabase" localSheetId="0" hidden="1">'ESTUDIO DE MERCADO'!$B$12:$AC$56</definedName>
    <definedName name="_xlnm.Print_Area" localSheetId="0">'ESTUDIO DE MERCADO'!$A$1:$AC$65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51" i="5" l="1"/>
  <c r="Y55" i="5"/>
  <c r="Y54" i="5"/>
  <c r="Y53" i="5"/>
  <c r="Y52" i="5"/>
  <c r="Y56" i="5" s="1"/>
  <c r="AC56" i="5" l="1"/>
  <c r="AA56" i="5"/>
  <c r="AC55" i="5" l="1"/>
  <c r="AC54" i="5"/>
  <c r="AC53" i="5"/>
  <c r="AC52" i="5"/>
  <c r="AA55" i="5"/>
  <c r="AA54" i="5"/>
  <c r="AA53" i="5"/>
  <c r="AA52" i="5"/>
  <c r="AC51" i="5"/>
  <c r="X30" i="5"/>
  <c r="X31" i="5"/>
  <c r="X28" i="5"/>
  <c r="X27" i="5"/>
  <c r="X50" i="5"/>
  <c r="Y50" i="5" s="1"/>
  <c r="X49" i="5"/>
  <c r="X47" i="5"/>
  <c r="Y47" i="5" s="1"/>
  <c r="X46" i="5"/>
  <c r="Y46" i="5" s="1"/>
  <c r="X45" i="5"/>
  <c r="Y45" i="5" s="1"/>
  <c r="X44" i="5"/>
  <c r="X40" i="5"/>
  <c r="X39" i="5"/>
  <c r="X38" i="5"/>
  <c r="Y38" i="5" s="1"/>
  <c r="X37" i="5"/>
  <c r="X36" i="5"/>
  <c r="Y36" i="5" s="1"/>
  <c r="X35" i="5"/>
  <c r="X33" i="5"/>
  <c r="X32" i="5"/>
  <c r="X29" i="5"/>
  <c r="X26" i="5"/>
  <c r="Y26" i="5" s="1"/>
  <c r="X25" i="5"/>
  <c r="Y25" i="5" s="1"/>
  <c r="X24" i="5"/>
  <c r="Y24" i="5" s="1"/>
  <c r="X23" i="5"/>
  <c r="Y23" i="5" s="1"/>
  <c r="X22" i="5"/>
  <c r="X21" i="5"/>
  <c r="X20" i="5"/>
  <c r="X19" i="5"/>
  <c r="Y19" i="5" s="1"/>
  <c r="X18" i="5"/>
  <c r="Y18" i="5" s="1"/>
  <c r="X17" i="5"/>
  <c r="Y17" i="5" s="1"/>
  <c r="X16" i="5"/>
  <c r="Y16" i="5" s="1"/>
  <c r="X15" i="5"/>
  <c r="Y15" i="5" s="1"/>
  <c r="X14" i="5"/>
  <c r="Y14" i="5" s="1"/>
  <c r="X13" i="5"/>
  <c r="AB50" i="5"/>
  <c r="AC50" i="5" s="1"/>
  <c r="Z50" i="5"/>
  <c r="AA50" i="5" s="1"/>
  <c r="AB49" i="5"/>
  <c r="AC49" i="5" s="1"/>
  <c r="Z49" i="5"/>
  <c r="AA49" i="5" s="1"/>
  <c r="Y49" i="5"/>
  <c r="AB45" i="5"/>
  <c r="AC45" i="5" s="1"/>
  <c r="Z45" i="5"/>
  <c r="AA45" i="5" s="1"/>
  <c r="AB44" i="5"/>
  <c r="Z44" i="5"/>
  <c r="Y37" i="5"/>
  <c r="AB36" i="5"/>
  <c r="AC36" i="5" s="1"/>
  <c r="Z36" i="5"/>
  <c r="AA36" i="5" s="1"/>
  <c r="AB35" i="5"/>
  <c r="Z35" i="5"/>
  <c r="AB29" i="5"/>
  <c r="Z29" i="5"/>
  <c r="AB27" i="5"/>
  <c r="Z27" i="5"/>
  <c r="AB26" i="5"/>
  <c r="AC26" i="5" s="1"/>
  <c r="Z26" i="5"/>
  <c r="AA26" i="5" s="1"/>
  <c r="AB25" i="5"/>
  <c r="AC25" i="5" s="1"/>
  <c r="Z25" i="5"/>
  <c r="AB21" i="5"/>
  <c r="Z21" i="5"/>
  <c r="AB20" i="5"/>
  <c r="Z20" i="5"/>
  <c r="AB19" i="5"/>
  <c r="AC19" i="5" s="1"/>
  <c r="Z19" i="5"/>
  <c r="AA19" i="5" s="1"/>
  <c r="AB17" i="5"/>
  <c r="AC17" i="5" s="1"/>
  <c r="Z17" i="5"/>
  <c r="AA17" i="5" s="1"/>
  <c r="AB15" i="5"/>
  <c r="AC15" i="5" s="1"/>
  <c r="Z15" i="5"/>
  <c r="AA15" i="5" s="1"/>
  <c r="AB28" i="5"/>
  <c r="Z28" i="5"/>
  <c r="AB48" i="5"/>
  <c r="AC48" i="5" s="1"/>
  <c r="Z48" i="5"/>
  <c r="AA48" i="5" s="1"/>
  <c r="X48" i="5"/>
  <c r="Y48" i="5" s="1"/>
  <c r="AB47" i="5"/>
  <c r="AC47" i="5" s="1"/>
  <c r="Z47" i="5"/>
  <c r="AA47" i="5" s="1"/>
  <c r="AB46" i="5"/>
  <c r="AC46" i="5" s="1"/>
  <c r="Z46" i="5"/>
  <c r="AA46" i="5" s="1"/>
  <c r="AB43" i="5"/>
  <c r="AC43" i="5" s="1"/>
  <c r="Z43" i="5"/>
  <c r="AA43" i="5" s="1"/>
  <c r="X43" i="5"/>
  <c r="Y43" i="5" s="1"/>
  <c r="AB42" i="5"/>
  <c r="Z42" i="5"/>
  <c r="X42" i="5"/>
  <c r="AB41" i="5"/>
  <c r="Z41" i="5"/>
  <c r="X41" i="5"/>
  <c r="AB34" i="5"/>
  <c r="Z34" i="5"/>
  <c r="X34" i="5"/>
  <c r="AB33" i="5"/>
  <c r="Z33" i="5"/>
  <c r="AB32" i="5"/>
  <c r="Z32" i="5"/>
  <c r="AB31" i="5"/>
  <c r="Z31" i="5"/>
  <c r="AB30" i="5"/>
  <c r="Z30" i="5"/>
  <c r="AB24" i="5"/>
  <c r="AC24" i="5" s="1"/>
  <c r="Z24" i="5"/>
  <c r="AA24" i="5" s="1"/>
  <c r="AB23" i="5"/>
  <c r="AC23" i="5" s="1"/>
  <c r="Z23" i="5"/>
  <c r="AA23" i="5" s="1"/>
  <c r="AB22" i="5"/>
  <c r="Z22" i="5"/>
  <c r="AB18" i="5"/>
  <c r="AC18" i="5" s="1"/>
  <c r="Z18" i="5"/>
  <c r="AA18" i="5" s="1"/>
  <c r="AB16" i="5"/>
  <c r="AC16" i="5" s="1"/>
  <c r="Z16" i="5"/>
  <c r="AA16" i="5" s="1"/>
  <c r="AB14" i="5"/>
  <c r="AC14" i="5" s="1"/>
  <c r="Z14" i="5"/>
  <c r="AA14" i="5" s="1"/>
  <c r="AA25" i="5"/>
  <c r="Z37" i="5"/>
  <c r="AA37" i="5" s="1"/>
  <c r="AB37" i="5"/>
  <c r="AC37" i="5" s="1"/>
  <c r="Z38" i="5"/>
  <c r="AA38" i="5" s="1"/>
  <c r="AB38" i="5"/>
  <c r="AC38" i="5" s="1"/>
  <c r="Z39" i="5"/>
  <c r="AB39" i="5"/>
  <c r="Z40" i="5"/>
  <c r="AB40" i="5"/>
  <c r="T28" i="5"/>
  <c r="AB13" i="5"/>
  <c r="Z13" i="5"/>
  <c r="Z53" i="5"/>
  <c r="AB53" i="5"/>
  <c r="Z54" i="5"/>
  <c r="AB54" i="5"/>
  <c r="Z55" i="5"/>
  <c r="AB55" i="5"/>
  <c r="AB52" i="5"/>
  <c r="Z52" i="5"/>
  <c r="T40" i="5"/>
  <c r="T39" i="5"/>
  <c r="T38" i="5"/>
  <c r="U38" i="5"/>
  <c r="U39" i="5"/>
  <c r="U40" i="5"/>
  <c r="U37" i="5"/>
  <c r="T37" i="5"/>
  <c r="U33" i="5"/>
  <c r="T33" i="5"/>
  <c r="T22" i="5"/>
  <c r="U22" i="5"/>
  <c r="T14" i="5"/>
  <c r="U14" i="5"/>
  <c r="T15" i="5"/>
  <c r="U15" i="5"/>
  <c r="T16" i="5"/>
  <c r="U16" i="5"/>
  <c r="T17" i="5"/>
  <c r="U17" i="5"/>
  <c r="T18" i="5"/>
  <c r="U18" i="5"/>
  <c r="T19" i="5"/>
  <c r="U19" i="5"/>
  <c r="T20" i="5"/>
  <c r="U20" i="5"/>
  <c r="T21" i="5"/>
  <c r="U21" i="5"/>
  <c r="T23" i="5"/>
  <c r="U23" i="5"/>
  <c r="T24" i="5"/>
  <c r="U24" i="5"/>
  <c r="T25" i="5"/>
  <c r="U25" i="5"/>
  <c r="T26" i="5"/>
  <c r="U26" i="5"/>
  <c r="T27" i="5"/>
  <c r="U27" i="5"/>
  <c r="U28" i="5"/>
  <c r="T29" i="5"/>
  <c r="U29" i="5"/>
  <c r="T30" i="5"/>
  <c r="U30" i="5"/>
  <c r="T31" i="5"/>
  <c r="U31" i="5"/>
  <c r="T32" i="5"/>
  <c r="U32" i="5"/>
  <c r="T34" i="5"/>
  <c r="U34" i="5"/>
  <c r="T35" i="5"/>
  <c r="U35" i="5"/>
  <c r="T36" i="5"/>
  <c r="U36" i="5"/>
  <c r="T41" i="5"/>
  <c r="U41" i="5"/>
  <c r="T42" i="5"/>
  <c r="U42" i="5"/>
  <c r="T43" i="5"/>
  <c r="U43" i="5"/>
  <c r="T44" i="5"/>
  <c r="U44" i="5"/>
  <c r="T45" i="5"/>
  <c r="U45" i="5"/>
  <c r="T46" i="5"/>
  <c r="U46" i="5"/>
  <c r="T47" i="5"/>
  <c r="U47" i="5"/>
  <c r="T48" i="5"/>
  <c r="U48" i="5"/>
  <c r="T49" i="5"/>
  <c r="U49" i="5"/>
  <c r="T50" i="5"/>
  <c r="U50" i="5"/>
  <c r="U13" i="5"/>
  <c r="T13" i="5"/>
  <c r="R51" i="5" l="1"/>
  <c r="P51" i="5"/>
  <c r="N51" i="5"/>
  <c r="L51" i="5"/>
  <c r="J51" i="5"/>
  <c r="H51" i="5"/>
  <c r="F51" i="5"/>
  <c r="S14" i="5"/>
  <c r="S15" i="5"/>
  <c r="S16" i="5"/>
  <c r="S17" i="5"/>
  <c r="S18" i="5"/>
  <c r="S19" i="5"/>
  <c r="S23" i="5"/>
  <c r="S24" i="5"/>
  <c r="S25" i="5"/>
  <c r="S26" i="5"/>
  <c r="S36" i="5"/>
  <c r="S37" i="5"/>
  <c r="S38" i="5"/>
  <c r="S43" i="5"/>
  <c r="S45" i="5"/>
  <c r="S47" i="5"/>
  <c r="S48" i="5"/>
  <c r="S49" i="5"/>
  <c r="S50" i="5"/>
  <c r="S13" i="5"/>
  <c r="Q14" i="5"/>
  <c r="Q15" i="5"/>
  <c r="Q16" i="5"/>
  <c r="Q17" i="5"/>
  <c r="Q18" i="5"/>
  <c r="Q19" i="5"/>
  <c r="Q23" i="5"/>
  <c r="Q24" i="5"/>
  <c r="Q25" i="5"/>
  <c r="Q26" i="5"/>
  <c r="Q36" i="5"/>
  <c r="Q37" i="5"/>
  <c r="Q38" i="5"/>
  <c r="Q43" i="5"/>
  <c r="Q45" i="5"/>
  <c r="Q47" i="5"/>
  <c r="Q48" i="5"/>
  <c r="Q49" i="5"/>
  <c r="Q50" i="5"/>
  <c r="Q13" i="5"/>
  <c r="O14" i="5"/>
  <c r="O15" i="5"/>
  <c r="O16" i="5"/>
  <c r="O17" i="5"/>
  <c r="O18" i="5"/>
  <c r="O19" i="5"/>
  <c r="O23" i="5"/>
  <c r="O24" i="5"/>
  <c r="O25" i="5"/>
  <c r="O26" i="5"/>
  <c r="O36" i="5"/>
  <c r="O37" i="5"/>
  <c r="O38" i="5"/>
  <c r="O43" i="5"/>
  <c r="O45" i="5"/>
  <c r="O47" i="5"/>
  <c r="O48" i="5"/>
  <c r="O49" i="5"/>
  <c r="O50" i="5"/>
  <c r="O13" i="5"/>
  <c r="M14" i="5"/>
  <c r="M15" i="5"/>
  <c r="M16" i="5"/>
  <c r="M17" i="5"/>
  <c r="M18" i="5"/>
  <c r="M19" i="5"/>
  <c r="M23" i="5"/>
  <c r="M24" i="5"/>
  <c r="M25" i="5"/>
  <c r="M26" i="5"/>
  <c r="M36" i="5"/>
  <c r="M37" i="5"/>
  <c r="M38" i="5"/>
  <c r="M43" i="5"/>
  <c r="M45" i="5"/>
  <c r="M47" i="5"/>
  <c r="M48" i="5"/>
  <c r="M49" i="5"/>
  <c r="M50" i="5"/>
  <c r="M13" i="5"/>
  <c r="K14" i="5"/>
  <c r="K15" i="5"/>
  <c r="K16" i="5"/>
  <c r="K17" i="5"/>
  <c r="K18" i="5"/>
  <c r="K19" i="5"/>
  <c r="K23" i="5"/>
  <c r="K24" i="5"/>
  <c r="K25" i="5"/>
  <c r="K26" i="5"/>
  <c r="K36" i="5"/>
  <c r="K37" i="5"/>
  <c r="K38" i="5"/>
  <c r="K43" i="5"/>
  <c r="K45" i="5"/>
  <c r="K47" i="5"/>
  <c r="K48" i="5"/>
  <c r="K49" i="5"/>
  <c r="K50" i="5"/>
  <c r="K13" i="5"/>
  <c r="I14" i="5"/>
  <c r="I15" i="5"/>
  <c r="I16" i="5"/>
  <c r="I17" i="5"/>
  <c r="I18" i="5"/>
  <c r="I19" i="5"/>
  <c r="I23" i="5"/>
  <c r="I24" i="5"/>
  <c r="I25" i="5"/>
  <c r="I26" i="5"/>
  <c r="I36" i="5"/>
  <c r="I37" i="5"/>
  <c r="I38" i="5"/>
  <c r="I43" i="5"/>
  <c r="I45" i="5"/>
  <c r="I47" i="5"/>
  <c r="I48" i="5"/>
  <c r="I49" i="5"/>
  <c r="I50" i="5"/>
  <c r="I13" i="5"/>
  <c r="G50" i="5"/>
  <c r="G49" i="5"/>
  <c r="G48" i="5"/>
  <c r="G47" i="5"/>
  <c r="G45" i="5"/>
  <c r="G43" i="5"/>
  <c r="G38" i="5"/>
  <c r="G37" i="5"/>
  <c r="G36" i="5"/>
  <c r="G26" i="5"/>
  <c r="G25" i="5"/>
  <c r="G24" i="5"/>
  <c r="G23" i="5"/>
  <c r="G19" i="5"/>
  <c r="G18" i="5"/>
  <c r="G17" i="5"/>
  <c r="G16" i="5"/>
  <c r="G15" i="5"/>
  <c r="G14" i="5"/>
  <c r="G13" i="5"/>
  <c r="E46" i="5"/>
  <c r="Q46" i="5" s="1"/>
  <c r="E41" i="5"/>
  <c r="AC41" i="5" s="1"/>
  <c r="E40" i="5"/>
  <c r="AA40" i="5" s="1"/>
  <c r="E39" i="5"/>
  <c r="AA39" i="5" s="1"/>
  <c r="E34" i="5"/>
  <c r="AA34" i="5" s="1"/>
  <c r="E28" i="5"/>
  <c r="AA28" i="5" s="1"/>
  <c r="E27" i="5"/>
  <c r="E22" i="5"/>
  <c r="Y22" i="5" s="1"/>
  <c r="E21" i="5"/>
  <c r="AC21" i="5" s="1"/>
  <c r="E20" i="5"/>
  <c r="AA20" i="5" s="1"/>
  <c r="Y21" i="5" l="1"/>
  <c r="AA22" i="5"/>
  <c r="AC22" i="5"/>
  <c r="S22" i="5"/>
  <c r="Q27" i="5"/>
  <c r="AA27" i="5"/>
  <c r="Q20" i="5"/>
  <c r="Y20" i="5"/>
  <c r="AC20" i="5"/>
  <c r="E42" i="5"/>
  <c r="M42" i="5" s="1"/>
  <c r="AA41" i="5"/>
  <c r="AC39" i="5"/>
  <c r="Y40" i="5"/>
  <c r="AC40" i="5"/>
  <c r="Y27" i="5"/>
  <c r="Q28" i="5"/>
  <c r="Y28" i="5"/>
  <c r="AC28" i="5"/>
  <c r="S21" i="5"/>
  <c r="AA21" i="5"/>
  <c r="E44" i="5"/>
  <c r="Y34" i="5"/>
  <c r="AC34" i="5"/>
  <c r="Y39" i="5"/>
  <c r="AC27" i="5"/>
  <c r="Y41" i="5"/>
  <c r="V37" i="5"/>
  <c r="W37" i="5"/>
  <c r="Q40" i="5"/>
  <c r="V38" i="5"/>
  <c r="W38" i="5"/>
  <c r="Q39" i="5"/>
  <c r="V16" i="5"/>
  <c r="W16" i="5"/>
  <c r="V36" i="5"/>
  <c r="W36" i="5"/>
  <c r="W13" i="5"/>
  <c r="V13" i="5"/>
  <c r="V17" i="5"/>
  <c r="W17" i="5"/>
  <c r="V24" i="5"/>
  <c r="W24" i="5"/>
  <c r="V47" i="5"/>
  <c r="W47" i="5"/>
  <c r="V14" i="5"/>
  <c r="W14" i="5"/>
  <c r="V18" i="5"/>
  <c r="W18" i="5"/>
  <c r="V25" i="5"/>
  <c r="W25" i="5"/>
  <c r="V48" i="5"/>
  <c r="W48" i="5"/>
  <c r="V23" i="5"/>
  <c r="W23" i="5"/>
  <c r="V45" i="5"/>
  <c r="W45" i="5"/>
  <c r="V50" i="5"/>
  <c r="W50" i="5"/>
  <c r="V15" i="5"/>
  <c r="W15" i="5"/>
  <c r="V19" i="5"/>
  <c r="W19" i="5"/>
  <c r="V26" i="5"/>
  <c r="W26" i="5"/>
  <c r="V43" i="5"/>
  <c r="W43" i="5"/>
  <c r="V49" i="5"/>
  <c r="W49" i="5"/>
  <c r="O20" i="5"/>
  <c r="S40" i="5"/>
  <c r="S28" i="5"/>
  <c r="E29" i="5"/>
  <c r="I29" i="5" s="1"/>
  <c r="I22" i="5"/>
  <c r="I42" i="5"/>
  <c r="G20" i="5"/>
  <c r="M22" i="5"/>
  <c r="S20" i="5"/>
  <c r="G28" i="5"/>
  <c r="G40" i="5"/>
  <c r="K40" i="5"/>
  <c r="K28" i="5"/>
  <c r="Q42" i="5"/>
  <c r="Q22" i="5"/>
  <c r="K20" i="5"/>
  <c r="O40" i="5"/>
  <c r="O28" i="5"/>
  <c r="M34" i="5"/>
  <c r="O44" i="5"/>
  <c r="Q34" i="5"/>
  <c r="G21" i="5"/>
  <c r="G41" i="5"/>
  <c r="I41" i="5"/>
  <c r="I21" i="5"/>
  <c r="K39" i="5"/>
  <c r="K27" i="5"/>
  <c r="M41" i="5"/>
  <c r="M21" i="5"/>
  <c r="O39" i="5"/>
  <c r="O27" i="5"/>
  <c r="Q41" i="5"/>
  <c r="Q21" i="5"/>
  <c r="S39" i="5"/>
  <c r="S27" i="5"/>
  <c r="I46" i="5"/>
  <c r="G22" i="5"/>
  <c r="G34" i="5"/>
  <c r="G42" i="5"/>
  <c r="G46" i="5"/>
  <c r="I44" i="5"/>
  <c r="I40" i="5"/>
  <c r="I28" i="5"/>
  <c r="I20" i="5"/>
  <c r="K46" i="5"/>
  <c r="K42" i="5"/>
  <c r="K34" i="5"/>
  <c r="K22" i="5"/>
  <c r="M44" i="5"/>
  <c r="M40" i="5"/>
  <c r="M28" i="5"/>
  <c r="M20" i="5"/>
  <c r="O46" i="5"/>
  <c r="O42" i="5"/>
  <c r="O34" i="5"/>
  <c r="O22" i="5"/>
  <c r="Q44" i="5"/>
  <c r="S46" i="5"/>
  <c r="S34" i="5"/>
  <c r="I34" i="5"/>
  <c r="M46" i="5"/>
  <c r="E30" i="5"/>
  <c r="G27" i="5"/>
  <c r="G39" i="5"/>
  <c r="I39" i="5"/>
  <c r="I27" i="5"/>
  <c r="K41" i="5"/>
  <c r="K21" i="5"/>
  <c r="M39" i="5"/>
  <c r="M27" i="5"/>
  <c r="O41" i="5"/>
  <c r="O21" i="5"/>
  <c r="S41" i="5"/>
  <c r="E31" i="5"/>
  <c r="E35" i="5"/>
  <c r="AB51" i="5"/>
  <c r="Z51" i="5"/>
  <c r="X51" i="5"/>
  <c r="G44" i="5" l="1"/>
  <c r="Y44" i="5"/>
  <c r="AA44" i="5"/>
  <c r="AC44" i="5"/>
  <c r="O29" i="5"/>
  <c r="AC30" i="5"/>
  <c r="AA30" i="5"/>
  <c r="Y30" i="5"/>
  <c r="E32" i="5"/>
  <c r="S32" i="5" s="1"/>
  <c r="K44" i="5"/>
  <c r="AA35" i="5"/>
  <c r="Y35" i="5"/>
  <c r="AC35" i="5"/>
  <c r="S29" i="5"/>
  <c r="AA29" i="5"/>
  <c r="Y29" i="5"/>
  <c r="AC29" i="5"/>
  <c r="AA31" i="5"/>
  <c r="Y31" i="5"/>
  <c r="AC31" i="5"/>
  <c r="K29" i="5"/>
  <c r="Q29" i="5"/>
  <c r="AA32" i="5"/>
  <c r="M29" i="5"/>
  <c r="G29" i="5"/>
  <c r="S44" i="5"/>
  <c r="S42" i="5"/>
  <c r="V42" i="5" s="1"/>
  <c r="Y42" i="5"/>
  <c r="AC42" i="5"/>
  <c r="AA42" i="5"/>
  <c r="W39" i="5"/>
  <c r="V39" i="5"/>
  <c r="V40" i="5"/>
  <c r="W40" i="5"/>
  <c r="V22" i="5"/>
  <c r="W22" i="5"/>
  <c r="V27" i="5"/>
  <c r="W27" i="5"/>
  <c r="V21" i="5"/>
  <c r="W21" i="5"/>
  <c r="V46" i="5"/>
  <c r="W46" i="5"/>
  <c r="V20" i="5"/>
  <c r="W20" i="5"/>
  <c r="V41" i="5"/>
  <c r="W41" i="5"/>
  <c r="V28" i="5"/>
  <c r="W28" i="5"/>
  <c r="V34" i="5"/>
  <c r="W34" i="5"/>
  <c r="Q31" i="5"/>
  <c r="M31" i="5"/>
  <c r="I31" i="5"/>
  <c r="G31" i="5"/>
  <c r="S31" i="5"/>
  <c r="O31" i="5"/>
  <c r="K31" i="5"/>
  <c r="E33" i="5"/>
  <c r="Q30" i="5"/>
  <c r="S30" i="5"/>
  <c r="O30" i="5"/>
  <c r="K30" i="5"/>
  <c r="G30" i="5"/>
  <c r="M30" i="5"/>
  <c r="I30" i="5"/>
  <c r="Q35" i="5"/>
  <c r="M35" i="5"/>
  <c r="I35" i="5"/>
  <c r="G35" i="5"/>
  <c r="S35" i="5"/>
  <c r="O35" i="5"/>
  <c r="K35" i="5"/>
  <c r="M32" i="5"/>
  <c r="Y13" i="5"/>
  <c r="V44" i="5" l="1"/>
  <c r="O32" i="5"/>
  <c r="Q32" i="5"/>
  <c r="AC32" i="5"/>
  <c r="G32" i="5"/>
  <c r="K32" i="5"/>
  <c r="W44" i="5"/>
  <c r="W42" i="5"/>
  <c r="V29" i="5"/>
  <c r="Y32" i="5"/>
  <c r="I32" i="5"/>
  <c r="AA33" i="5"/>
  <c r="AC33" i="5"/>
  <c r="Y33" i="5"/>
  <c r="W29" i="5"/>
  <c r="V35" i="5"/>
  <c r="W35" i="5"/>
  <c r="V30" i="5"/>
  <c r="W30" i="5"/>
  <c r="V31" i="5"/>
  <c r="W31" i="5"/>
  <c r="S33" i="5"/>
  <c r="S51" i="5" s="1"/>
  <c r="O33" i="5"/>
  <c r="O51" i="5" s="1"/>
  <c r="K33" i="5"/>
  <c r="Q33" i="5"/>
  <c r="M33" i="5"/>
  <c r="M51" i="5" s="1"/>
  <c r="I33" i="5"/>
  <c r="I51" i="5" s="1"/>
  <c r="G33" i="5"/>
  <c r="AC13" i="5"/>
  <c r="AA13" i="5"/>
  <c r="Q51" i="5" l="1"/>
  <c r="V32" i="5"/>
  <c r="AA51" i="5"/>
  <c r="W32" i="5"/>
  <c r="V33" i="5"/>
  <c r="W33" i="5"/>
  <c r="I54" i="5"/>
  <c r="I55" i="5" s="1"/>
  <c r="I53" i="5"/>
  <c r="I52" i="5"/>
  <c r="M52" i="5"/>
  <c r="M54" i="5"/>
  <c r="M55" i="5" s="1"/>
  <c r="M53" i="5"/>
  <c r="O52" i="5"/>
  <c r="O54" i="5"/>
  <c r="O55" i="5" s="1"/>
  <c r="O53" i="5"/>
  <c r="Q53" i="5"/>
  <c r="Q52" i="5"/>
  <c r="Q54" i="5"/>
  <c r="Q55" i="5" s="1"/>
  <c r="S54" i="5"/>
  <c r="S55" i="5" s="1"/>
  <c r="S53" i="5"/>
  <c r="S52" i="5"/>
  <c r="G51" i="5"/>
  <c r="K51" i="5"/>
  <c r="S56" i="5" l="1"/>
  <c r="O56" i="5"/>
  <c r="I56" i="5"/>
  <c r="K54" i="5"/>
  <c r="K55" i="5" s="1"/>
  <c r="K53" i="5"/>
  <c r="K52" i="5"/>
  <c r="G54" i="5"/>
  <c r="G55" i="5" s="1"/>
  <c r="G53" i="5"/>
  <c r="G52" i="5"/>
  <c r="Q56" i="5"/>
  <c r="M56" i="5"/>
  <c r="K56" i="5" l="1"/>
  <c r="G56" i="5"/>
</calcChain>
</file>

<file path=xl/sharedStrings.xml><?xml version="1.0" encoding="utf-8"?>
<sst xmlns="http://schemas.openxmlformats.org/spreadsheetml/2006/main" count="184" uniqueCount="126">
  <si>
    <t>PLANTILLA
ESTUDIO DE MERCADO</t>
  </si>
  <si>
    <t>CÓDIGO:</t>
  </si>
  <si>
    <t>VERSIÓN:</t>
  </si>
  <si>
    <t>FECHA</t>
  </si>
  <si>
    <t>Proceso: Gestión Financiera</t>
  </si>
  <si>
    <t>Documento de referencia: Instructivo Estructuración Financiera y Económica de los Porcesos Contractuales; Manual de Contratación</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</si>
  <si>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</si>
  <si>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</si>
  <si>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</si>
  <si>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</si>
  <si>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</si>
  <si>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</si>
  <si>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</si>
  <si>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</si>
  <si>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</si>
  <si>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</si>
  <si>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</si>
  <si>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</si>
  <si>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</si>
  <si>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</si>
  <si>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</si>
  <si>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</si>
  <si>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</si>
  <si>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</si>
  <si>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</si>
  <si>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</si>
  <si>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</si>
  <si>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</si>
  <si>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</si>
  <si>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</si>
  <si>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</si>
  <si>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</si>
  <si>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</si>
  <si>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</si>
  <si>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</si>
  <si>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</si>
  <si>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</si>
  <si>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</si>
  <si>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</si>
  <si>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</si>
  <si>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</si>
  <si>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</si>
  <si>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</si>
  <si>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</si>
  <si>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</si>
  <si>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</si>
  <si>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</si>
  <si>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</si>
  <si>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</si>
  <si>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</si>
  <si>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</si>
  <si>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</si>
  <si>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</si>
  <si>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</si>
  <si>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</si>
  <si>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</si>
  <si>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</si>
  <si>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</si>
  <si>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</si>
  <si>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</si>
  <si>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</si>
  <si>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</si>
  <si>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</si>
  <si>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</si>
  <si>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</si>
  <si>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</si>
  <si>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</si>
  <si>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</si>
  <si>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CERCA EN TELA VERDE H = 2.10 M, PARA CERRAMIENTOS DE AREAS A INTERVENIR Y PREVENCIÓN DE PROPAGACIÓN DE MATERIAL PARTICULADO</t>
  </si>
  <si>
    <t>M2</t>
  </si>
  <si>
    <t xml:space="preserve">DEMOLICIÓN DE ACABADO DE PISO  EXISTENTE, INCLUYE TRASIEGO HASTA PUNTO DE ACOPIO Y RETIRO DE SOBRANTES. </t>
  </si>
  <si>
    <t>CERRAMIENTO EN DRYWALL Y PLASTICO PARA MITIGAR LA DISPERSIÓN DEL MATERIAL PARTICULADO AL PULIR, INCLUYE ESTRUCTURA GALVANIZADA, CINTA PAPEL Y TORNILLERIA</t>
  </si>
  <si>
    <t>ML</t>
  </si>
  <si>
    <t>DEMOLICIÓN DE ACABADO DE PISO EXISTENTE INCLUYE  INCLUYE TRASIEGO HASTA PUNTO DE ACOPIO Y RETIRO DE SOBRANTES. (LINEAL)</t>
  </si>
  <si>
    <t>DESMONTE DE PASAMANOS EN MADERA, INCLUYE TRASIEGO HASTA PUNTO DE ACOPIO Y RETIRO DE SOBRANTES</t>
  </si>
  <si>
    <t xml:space="preserve">DEMOLICION DE ENCHAPE DE CRISTANA INCLUYE, ENLONADO Y TRASIEGO HASTA PUNTO DE ACOPIO Y RETIRO DE SOBRANTES. </t>
  </si>
  <si>
    <t>DEMOLICIÓN DE MEDIACAÑA EN GRANITO CON PULIDORA Y ROTOMARTILLO, INCLUYE CORTE CON DISCO DIAMANTADO EN PISO EXISTE, ENLONADO Y TRASIEGO HASTA PUNTO DE ACOPIO Y RETIRO DE SOBRANTES</t>
  </si>
  <si>
    <t xml:space="preserve">DEMOLICION DE PAÑETE E=1,5CM, INCLUYE TRASIEGO HASTA PUNTO DE ACOPIO Y RETIRO DE SOBRANTES. </t>
  </si>
  <si>
    <t xml:space="preserve">DEMOLICIÓN ALISTADO H=0.04 M, INCLUYE TRASIEGO HASTA PUNTO DE ACOPIO Y RETIRO DE SOBRANTES. </t>
  </si>
  <si>
    <t>SUMINISTRO Y APLICACIÓN DE ACRONAL COMO SELLO Y PUENTE DE ADHERENCIA ENTRE SUPERFICIES ANTIGUAS Y MASILLA Y PINTURA NUEVA VINILO, PARA EVITAR DESPRENDIMIENTOS POR HUMEDADES O IRREGULARIDADES EXISTENTES.</t>
  </si>
  <si>
    <t>SUMINISTRO Y APLICACIÓN A DE ESTUCO A TRES MANOS Y VINILO EXTERIOR, INCLUYE ANDAMIO CERTIFICADO Y EQUIPOS DE PROTECCIÓN</t>
  </si>
  <si>
    <t>SUMINISTRO Y APLICACIÓN A DE ESTUCO A TRES MANOS Y VINILO EXTERIOR (LINEAL), INCLUYE ANDAMIO CERTIFICADO Y EQUIPOS DE PROTECCIÓN</t>
  </si>
  <si>
    <t>SUMINISTRO Y APLICACIÓN A DE ESTUCO A TRES MANOS Y VINILO, MURO INTERIOR</t>
  </si>
  <si>
    <t>SUMINISTRO Y APLICACIÓN A DE ESTUCO A TRES MANOS Y VINILO (LINEAL), MURO INTERIOR</t>
  </si>
  <si>
    <t>PAÑETE IMPERMEABILIZADO</t>
  </si>
  <si>
    <t>PAÑETE IMPERMEABILIZADO (LINEAL)</t>
  </si>
  <si>
    <t xml:space="preserve">FILOS O DILATACIONES S/MURO </t>
  </si>
  <si>
    <t xml:space="preserve">ALISTADO IMPERMEABILIZADO PISOS 1:3, E = 0.04 </t>
  </si>
  <si>
    <t>ALISTADO IMPERMEABILIZADO PISOS 1:3, E = 0.04 (LINEAL) PARA LA MEDIACAÑA EN GRANITO</t>
  </si>
  <si>
    <t>SUMINISTRO E INSTALACION DE MALLA ELECTROSOLDADA</t>
  </si>
  <si>
    <t>PEGANTE MORTERO-CONCRETO</t>
  </si>
  <si>
    <t>SUMINISTRO E INSTALACION DE CENEFA O MEDIA CAÑA EN GRANITO, INCLUYE CARGUE CON MARMOLINA, GRANITO Y CEMENTO BLANCO, PULIDA, LIJADO Y SELLADO DE SUPERFICIE A TRES MANOS</t>
  </si>
  <si>
    <t xml:space="preserve">SUMINISTRO E INSTALACIÓN DE DILATADOR EN PVC O COBRE, COLOR A ELEGIR, INCLUYE CARGUE CON CEMENTO BLANCO </t>
  </si>
  <si>
    <t xml:space="preserve">RETAPADO DE DETALLES EN MEDIACAÑA EN GRANITO EXISTENTE CON MARMOLINA Y CEMENTO BLANCO, LIJADO CON LIJA 40 Y LIJA 80, PULIDO A TRES PASADAS, LIMPIEZA CON PRIMER Y APLICACIÓN DE SELLO A TRES MANOS </t>
  </si>
  <si>
    <t>DESTRONQUE Y PULIDAD DE PISO EN BALDOSIN EN GRANITO, INCLUYE CORTE CON PULIDORA PUNTUAL EN UNIONES, EMBOQUILLADO PUNTUAL DE PISO (10%) CON CEMENTO BLANCO, , BRILLADO Y APLICACIÓN DE SELLO EN LA SUPERFICIE</t>
  </si>
  <si>
    <t>DESTRONQUE Y PULIDAD DE PISO EN BALDOSIN EN GRANITO, INCLUYE CORTE CON PULIDORA PUNTUAL EN UNIONES, EMBOQUILLADO PUNTUAL DE PISO (10%) CON CEMENTO BLANCO, , BRILLADO Y APLICACIÓN DE SELLO  EN LA SUPERFICIE (LINEAL)</t>
  </si>
  <si>
    <t>CRISTALIZADO DE PISOS CON RESINAS Y PRODUCTOS QUÍMICOS NECESARIOS PARA EL PROCESO, INCLUYE PIEDRA GRANO DE 100 A 800 PARA BRILLO FINAL, MAQUINAS EQUIPOS, LANA DE ACERO, DISCOS  Y TODO LO NECESARIO PARA SU TERMINADO FINAL BRILLANTE Y CON PROTECCIÓN AL DESGASTE</t>
  </si>
  <si>
    <t>CRISTALIZADO DE PISOS CON RESINAS Y PRODUCTOS QUÍMICOS NECESARIOS PARA EL PROCESO, INCLUYE PIEDRA GRANO DE 100 A 800 PARA BRILLO FINAL, MAQUINAS EQUIPOS, LANA DE ACERO, DISCOS  Y TODO LO NECESARIO PARA SU TERMINADO FINAL BRILLANTE Y CON PROTECCIÓN AL DESGASTE (LINEAL)</t>
  </si>
  <si>
    <t>SUMINISTRO E INSTALACIÓN DE PORCELANATO GRAN FORMATO 60X60 O SIMILAR, INCLUYE PEGANTE PORCELANICO DE ALTA ADHERENCIA, EMBOQUILLADO Y LIMPIEZA FINAL</t>
  </si>
  <si>
    <t>SUMINISTRO E INSTALACIÓN DE PORCELANATO GRAN FORMATO 60X60 O SIMILAR, INCLUYE PEGANTE PORCELANICO DE ALTA ADHERENCIA, EMBOQUILLADO Y LIMPIEZA FINAL (LINEAL)</t>
  </si>
  <si>
    <t xml:space="preserve">CINTA ANTIDESLIZANTE </t>
  </si>
  <si>
    <t>CORTE CON PULIDORA EN PISO O MURO CON DISCO DIAMANTADO PARA DELIMITACIÓN DE MEDIACAÑA EN GRANITO</t>
  </si>
  <si>
    <t>BALDOSIN PODOTACTIL PVC DE ALERTA CON RELIEVE EN BOTONES COLOR A ELEGIR</t>
  </si>
  <si>
    <t>UND</t>
  </si>
  <si>
    <t>SUMINISTRO E INSTALACION DE JUNTA DE DILATACION EN ALUMINIO O ACERO DE  PISO Y MURO</t>
  </si>
  <si>
    <t>SUMINISTRO E INSTALACIÓN DE BARANDA EN ACERO INOXIDABLE DE REFERENCIA 304 SATINADO O BRILLANTE, ALTURA 0.20M A 0.25 M, CON PASAMANOS DE 2" C.16, POSTE DE 2" CON BRIDA 3 1/2 X 3/16 Y CUBRE ESCUDO REPUJADO DISTANCIADO A CADA 1,40M O 1,50M SEGÚN ESPECIFICACIÓN, Y BARANDILLA DE 3/4" EN TODA LA LONGITUD, INCLUYE SOLDADURA TIG O SIMILAR, TORNILLERIA Y TODOS LOS ELEMENTOS NECESARIOS PARA SU INSTALACIÓN</t>
  </si>
  <si>
    <t>SUMINISTRO E INSTALACIÓN DE PASAMANOS EN ACERO INOXIDABLE DE 2" REFERENCIA 304 SATINADO O BRILLANTE, CON SOPORTE A MURO EN VARILLA DE 3/4" MACIZA Y BRIDA DE 2" X 3/16 CON 3 ANCLAJES A MURO EN CHAZO MARIPOSA DE 5/16 CON TORNILLO DE 12 X 2" AVELLANADO EN ACERO INOXIDABLE, DISTANCIA ENTRE ANCLAJES DE 1.50M</t>
  </si>
  <si>
    <t xml:space="preserve">SUMINISTRO E INSTALACIÓN DE BARANDA EN ACERO DE REFERENCIA 304 SATINADO O BRILLANTE CON POSTE DE ACERO EN 2" Y BRIDA DE 3,5 X INTERNO DE 2" EN 1/4 Y DILATADOR DE 1", INCLUYE PASAMANOS EN 2" C.18 Y VIDRIO DE 10MM TEMPLADO A UNA ALTURA MÁXIMA DE 1.10M </t>
  </si>
  <si>
    <t>MANTENIMIENTO DE BARANDA Y PASAMANOS EN MADERA, INCLUYE RETIPO DE ESMALTE CON GRATA MECANICA, Y LIJADO MANUAL, APLICACIÓN DE IMPRIMANTE, Y SELLO A TRES MANOS</t>
  </si>
  <si>
    <t>ADMINISTRACIÓN</t>
  </si>
  <si>
    <t>IMPREVISTOS</t>
  </si>
  <si>
    <t>UTILIDAD</t>
  </si>
  <si>
    <t>IVA/ UTILIDAD</t>
  </si>
  <si>
    <t>Total Obras</t>
  </si>
  <si>
    <t>MARIA ISABEL FLOREZ ARTEAGA - CONTRATISTA - DIRECCIÓN FINANCIERA</t>
  </si>
  <si>
    <t>ANGELICA MARIA ESCOBAR VIVAS - CONTRATISTA - DIRECCIÓN FINANCIERA</t>
  </si>
  <si>
    <t>Realizar el mantenimiento preventivo y correctivo integral de las áreas comunes de circulación existentes entre las diferentes áreas académicas y administrativas de la Escuela Superior de Administración Pública – ESAP, Sede Central, que garantice condiciones técnicas de accesibilidad, seguridad y funcionalidad</t>
  </si>
  <si>
    <t>EMPRESA 1 
ARD ARQUITECTURA Y CONSTRUCCION SAS</t>
  </si>
  <si>
    <t>EMPRESA 2 
ARQFHIGIOS DISEÑO E IMPLEMENTACION BIM S.A.S</t>
  </si>
  <si>
    <t>EMPRESA 3 
PROYECTAR INGENIERÍA Y ARQUITECTURA S.A.S.</t>
  </si>
  <si>
    <t>EMPRESA 4 
VENEGAS Y VENEGAS CONSTRUCCIONES CIVILES LTDA</t>
  </si>
  <si>
    <t>EMPRESA 5 
Proyectos y Construcciones AYL SAS</t>
  </si>
  <si>
    <t>EMPRESA 6 
F&amp;G SOLUCIONES INTEGRALES DE CONSTRUCCIÓN SAS</t>
  </si>
  <si>
    <t>EMPRESA 7 
JAIRO ALBERTO FORERO FORERO</t>
  </si>
  <si>
    <r>
      <t xml:space="preserve">Observaciones: 
</t>
    </r>
    <r>
      <rPr>
        <sz val="18"/>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En la Esap es la más utilizada teniendo en cuenta que genera resultados más bajos que las otras medidas. 
2.La media geométrica o podada, en la determinación de esta medida, la entidad que está realizando el procedimiento debe tener en cuenta la cantidad de datos con los que cuenta y la distorsión que se evidencia en los datos y que no desea tener en cuenta en su análisis. En este análisis, esta medida no fue tenida en cuenta ya que se cuenta con valores que tienen distorsiones frente a las cotizaciones recibidas.
3.La media aritmética o promedio; esta medida es muy sensible a los datos atípicos pues tan solo uno de los datos puede afectar significativamente su cálculo. Por esta razón en este análisis no se tuvo en cuenta dicho calculo.
4. En el presente análisis se recibieron (7) siete cotizaciones, las cuales fueron presentadas por las ARD ARQUITECTURA Y CONSTRUCCION SAS; ARQFHIGIOS DISEÑO E IMPLEMENTACION BIM S.A.S;PROYECTAR INGENIERÍA Y ARQUITECTURA S.A.S.; VENEGAS Y VENEGAS CONSTRUCCIONES CIVILES LTDA; Proyectos y Construcciones AYL SAS; F&amp;G SOLUCIONES INTEGRALES DE CONSTRUCCIÓN SAS; JAIRO ALBERTO FORERO FORERO; generando confiabilidad del análisis de los datos ya que se cuenta con número considerable de cotizaciones para este cálculo. 
5. Algunos ítems presentaban una alta distorsión dentro de sus datos, por lo que algunos datos no fueron considerados en el análisis final, debido a que sus valores presentaban una alta distorsión respecto a los precios ofrecidos por los demás proponentes.
6. En este análisis se calcularon los rangos inferior y superior de los diferentes ítems a partir de las cotizaciones recibidas, con el fin de identificar posibles datos atípicos. Al tratarse de más de tres ofertas, es posible encontrar valores considerablemente distintos del resto, ya sea por ser desproporcionadamente altos o bajos, lo que requiere una revisión más detallada para garantizar la validez del análisis.
7. 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t>
    </r>
  </si>
  <si>
    <r>
      <t xml:space="preserve">Nota: </t>
    </r>
    <r>
      <rPr>
        <sz val="18"/>
        <color rgb="FF000000"/>
        <rFont val="Arial"/>
        <family val="2"/>
      </rPr>
      <t xml:space="preserve">Una vez realizado el análisis de las cotizaciones, la medida estadística, acogida por la ESAP, para el desarrollo del proceso, es el resultado de la  MEDIA ARMONICA, arrojando un Presupuesto Oficial Estimado es de </t>
    </r>
    <r>
      <rPr>
        <b/>
        <sz val="18"/>
        <color rgb="FF000000"/>
        <rFont val="Arial"/>
        <family val="2"/>
      </rPr>
      <t>($768.560.207,00) SETECIENTOS SESENTA Y OCHO MILLONES QUINIENTOS SESENTA MIL DOSCIENTOS SIETE PESOS CON CERO CENTAVOS</t>
    </r>
    <r>
      <rPr>
        <sz val="18"/>
        <color rgb="FF000000"/>
        <rFont val="Arial"/>
        <family val="2"/>
      </rPr>
      <t xml:space="preserve"> ;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</si>
</sst>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00_);_(* \(#,##0.00\);_(* &quot;-&quot;??_);_(@_)"/>
    <numFmt numFmtId="166" formatCode="&quot;$&quot;\ #,##0.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b/>
      <sz val="28"/>
      <color theme="1"/>
      <name val="Arial"/>
      <family val="2"/>
    </font>
    <font>
      <b/>
      <sz val="28"/>
      <color theme="1"/>
      <name val="Calibri"/>
      <family val="2"/>
      <scheme val="minor"/>
    </font>
    <font>
      <sz val="16"/>
      <color theme="1"/>
      <name val="Arial"/>
      <family val="2"/>
    </font>
    <font>
      <b/>
      <sz val="16"/>
      <color theme="0"/>
      <name val="Arial"/>
      <family val="2"/>
    </font>
    <font>
      <sz val="18"/>
      <color theme="1"/>
      <name val="Arial"/>
      <family val="2"/>
    </font>
    <font>
      <b/>
      <sz val="16"/>
      <name val="Arial"/>
      <family val="2"/>
    </font>
    <font>
      <b/>
      <sz val="16"/>
      <color theme="1"/>
      <name val="Arial"/>
      <family val="2"/>
    </font>
    <font>
      <sz val="16"/>
      <color rgb="FF404040"/>
      <name val="Arial"/>
      <family val="2"/>
    </font>
    <font>
      <b/>
      <sz val="18"/>
      <color rgb="FF000000"/>
      <name val="Arial"/>
      <family val="2"/>
    </font>
    <font>
      <b/>
      <sz val="18"/>
      <color theme="1"/>
      <name val="Arial"/>
      <family val="2"/>
    </font>
    <font>
      <sz val="18"/>
      <color rgb="FF000000"/>
      <name val="Arial"/>
      <family val="2"/>
    </font>
    <font>
      <sz val="18"/>
      <name val="Arial"/>
      <family val="2"/>
    </font>
  </fonts>
  <fills count="14">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0"/>
        <bgColor theme="0"/>
      </patternFill>
    </fill>
    <fill>
      <patternFill patternType="solid">
        <fgColor theme="7" tint="0.79998168889431442"/>
        <bgColor indexed="64"/>
      </patternFill>
    </fill>
    <fill>
      <patternFill patternType="solid">
        <fgColor rgb="FF002060"/>
        <bgColor indexed="64"/>
      </patternFill>
    </fill>
    <fill>
      <patternFill patternType="solid">
        <fgColor theme="8"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bottom style="thin">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8" fillId="2" borderId="1" xfId="0" applyFont="1" applyFill="1" applyBorder="1" applyAlignment="1">
      <alignment horizontal="center" vertical="center"/>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14" fontId="12" fillId="10" borderId="15" xfId="0" applyNumberFormat="1" applyFont="1" applyFill="1" applyBorder="1" applyAlignment="1">
      <alignment horizontal="left" vertical="center" wrapText="1"/>
    </xf>
    <xf numFmtId="14" fontId="12" fillId="10" borderId="31" xfId="0" applyNumberFormat="1" applyFont="1" applyFill="1" applyBorder="1" applyAlignment="1">
      <alignment horizontal="center" vertical="center"/>
    </xf>
    <xf numFmtId="165" fontId="12" fillId="0" borderId="32" xfId="0" applyNumberFormat="1" applyFont="1" applyBorder="1" applyAlignment="1">
      <alignment horizontal="center" vertical="center"/>
    </xf>
    <xf numFmtId="14" fontId="12" fillId="10" borderId="14" xfId="0" applyNumberFormat="1" applyFont="1" applyFill="1" applyBorder="1" applyAlignment="1">
      <alignment horizontal="center" vertical="center"/>
    </xf>
    <xf numFmtId="165" fontId="12" fillId="0" borderId="15" xfId="0" applyNumberFormat="1" applyFont="1" applyBorder="1" applyAlignment="1">
      <alignment horizontal="center" vertical="center"/>
    </xf>
    <xf numFmtId="14" fontId="12" fillId="0" borderId="31" xfId="0" applyNumberFormat="1" applyFont="1" applyBorder="1" applyAlignment="1">
      <alignment horizontal="center" vertical="center"/>
    </xf>
    <xf numFmtId="14" fontId="12" fillId="10" borderId="33" xfId="0" applyNumberFormat="1" applyFont="1" applyFill="1" applyBorder="1" applyAlignment="1">
      <alignment horizontal="left" vertical="center" wrapText="1"/>
    </xf>
    <xf numFmtId="14" fontId="12" fillId="0" borderId="15" xfId="0" applyNumberFormat="1" applyFont="1" applyBorder="1" applyAlignment="1">
      <alignment horizontal="left" vertical="center" wrapText="1"/>
    </xf>
    <xf numFmtId="14" fontId="12" fillId="10" borderId="34" xfId="0" applyNumberFormat="1" applyFont="1" applyFill="1" applyBorder="1" applyAlignment="1">
      <alignment horizontal="left" vertical="center" wrapText="1"/>
    </xf>
    <xf numFmtId="14" fontId="12" fillId="0" borderId="14" xfId="0" applyNumberFormat="1" applyFont="1" applyBorder="1" applyAlignment="1">
      <alignment horizontal="center" vertical="center"/>
    </xf>
    <xf numFmtId="14" fontId="12" fillId="0" borderId="34" xfId="0" applyNumberFormat="1" applyFont="1" applyBorder="1" applyAlignment="1">
      <alignment horizontal="left" vertical="center" wrapText="1"/>
    </xf>
    <xf numFmtId="14" fontId="12" fillId="10" borderId="35" xfId="0" applyNumberFormat="1" applyFont="1" applyFill="1" applyBorder="1" applyAlignment="1">
      <alignment horizontal="left" vertical="center" wrapText="1"/>
    </xf>
    <xf numFmtId="14" fontId="12" fillId="0" borderId="36" xfId="0" applyNumberFormat="1" applyFont="1" applyBorder="1" applyAlignment="1">
      <alignment horizontal="center" vertical="center"/>
    </xf>
    <xf numFmtId="165" fontId="12" fillId="0" borderId="35" xfId="0" applyNumberFormat="1" applyFont="1" applyBorder="1" applyAlignment="1">
      <alignment horizontal="center" vertical="center"/>
    </xf>
    <xf numFmtId="164" fontId="8" fillId="2" borderId="1" xfId="0" applyNumberFormat="1" applyFont="1" applyFill="1" applyBorder="1" applyAlignment="1" applyProtection="1">
      <alignment horizontal="center" vertical="center"/>
      <protection locked="0"/>
    </xf>
    <xf numFmtId="9" fontId="12" fillId="11" borderId="1" xfId="3" applyFont="1" applyFill="1" applyBorder="1" applyAlignment="1" applyProtection="1">
      <alignment vertical="center" wrapText="1"/>
      <protection locked="0"/>
    </xf>
    <xf numFmtId="44" fontId="12" fillId="0" borderId="1" xfId="2" applyFont="1" applyFill="1" applyBorder="1" applyAlignment="1" applyProtection="1">
      <alignment vertical="center" wrapText="1"/>
      <protection locked="0"/>
    </xf>
    <xf numFmtId="44" fontId="12" fillId="0" borderId="15" xfId="2" applyFont="1" applyBorder="1" applyAlignment="1">
      <alignment horizontal="center" vertical="center"/>
    </xf>
    <xf numFmtId="0" fontId="15" fillId="0" borderId="0" xfId="0" applyFont="1" applyAlignment="1">
      <alignment horizontal="center" vertical="center" textRotation="255" wrapText="1"/>
    </xf>
    <xf numFmtId="0" fontId="16" fillId="0" borderId="0" xfId="0" applyFont="1" applyAlignment="1">
      <alignment horizontal="left" vertical="center" wrapText="1"/>
    </xf>
    <xf numFmtId="0" fontId="17" fillId="2" borderId="0" xfId="0" applyFont="1" applyFill="1" applyAlignment="1">
      <alignment horizontal="left" vertical="center" wrapText="1"/>
    </xf>
    <xf numFmtId="0" fontId="12" fillId="2" borderId="0" xfId="0" applyFont="1" applyFill="1" applyAlignment="1">
      <alignment horizontal="center" vertical="center" wrapText="1"/>
    </xf>
    <xf numFmtId="44" fontId="13" fillId="3" borderId="1" xfId="2" applyFont="1" applyFill="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6" fillId="0" borderId="0" xfId="0" applyFont="1" applyAlignment="1">
      <alignment horizontal="left" vertical="center"/>
    </xf>
    <xf numFmtId="0" fontId="12" fillId="0" borderId="0" xfId="0" applyFont="1" applyAlignment="1" applyProtection="1">
      <alignment horizontal="left" vertical="center"/>
      <protection locked="0"/>
    </xf>
    <xf numFmtId="0" fontId="12" fillId="0" borderId="0" xfId="0" applyFont="1"/>
    <xf numFmtId="0" fontId="13" fillId="3"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2" fillId="0" borderId="0" xfId="0" applyFont="1" applyProtection="1">
      <protection locked="0"/>
    </xf>
    <xf numFmtId="0" fontId="13" fillId="3" borderId="1" xfId="0" applyFont="1" applyFill="1" applyBorder="1" applyAlignment="1">
      <alignment horizontal="center" vertical="center"/>
    </xf>
    <xf numFmtId="0" fontId="15" fillId="9" borderId="13" xfId="0" applyFont="1" applyFill="1" applyBorder="1" applyAlignment="1">
      <alignment horizontal="center" vertical="center" wrapText="1"/>
    </xf>
    <xf numFmtId="0" fontId="16" fillId="0" borderId="13" xfId="0" applyFont="1" applyBorder="1" applyAlignment="1">
      <alignment horizontal="center" vertical="center" wrapText="1"/>
    </xf>
    <xf numFmtId="44" fontId="13" fillId="2" borderId="1" xfId="2" applyFont="1" applyFill="1" applyBorder="1" applyAlignment="1" applyProtection="1">
      <alignment horizontal="center" vertical="center"/>
      <protection locked="0"/>
    </xf>
    <xf numFmtId="44" fontId="16" fillId="2" borderId="1" xfId="2" applyFont="1" applyFill="1" applyBorder="1" applyAlignment="1" applyProtection="1">
      <alignment horizontal="center" vertical="center"/>
      <protection locked="0"/>
    </xf>
    <xf numFmtId="44" fontId="16" fillId="8" borderId="1" xfId="2" applyFont="1" applyFill="1" applyBorder="1" applyAlignment="1" applyProtection="1">
      <alignment horizontal="center" vertical="center"/>
      <protection locked="0"/>
    </xf>
    <xf numFmtId="44" fontId="14" fillId="0" borderId="1" xfId="2" applyFont="1" applyBorder="1" applyAlignment="1" applyProtection="1">
      <alignment horizontal="center" vertical="center"/>
      <protection locked="0"/>
    </xf>
    <xf numFmtId="9" fontId="12" fillId="0" borderId="1" xfId="3" applyFont="1" applyFill="1" applyBorder="1" applyAlignment="1">
      <alignment vertical="center" wrapText="1"/>
    </xf>
    <xf numFmtId="9" fontId="15" fillId="9" borderId="1" xfId="3" applyFont="1" applyFill="1" applyBorder="1" applyAlignment="1">
      <alignment vertical="center" wrapText="1"/>
    </xf>
    <xf numFmtId="44" fontId="15" fillId="9" borderId="1" xfId="2" applyFont="1" applyFill="1" applyBorder="1" applyAlignment="1">
      <alignment vertical="center" wrapText="1"/>
    </xf>
    <xf numFmtId="44" fontId="15" fillId="9" borderId="1" xfId="3" applyNumberFormat="1" applyFont="1" applyFill="1" applyBorder="1" applyAlignment="1">
      <alignment vertical="center" wrapText="1"/>
    </xf>
    <xf numFmtId="44" fontId="13" fillId="12" borderId="1" xfId="2" applyFont="1" applyFill="1" applyBorder="1" applyAlignment="1" applyProtection="1">
      <alignment horizontal="center" vertical="center"/>
      <protection locked="0"/>
    </xf>
    <xf numFmtId="166" fontId="13" fillId="12" borderId="1" xfId="2" applyNumberFormat="1" applyFont="1" applyFill="1" applyBorder="1" applyAlignment="1" applyProtection="1">
      <alignment horizontal="center" vertical="center"/>
      <protection locked="0"/>
    </xf>
    <xf numFmtId="44" fontId="15" fillId="9" borderId="1" xfId="2" applyFont="1" applyFill="1" applyBorder="1" applyAlignment="1">
      <alignment horizontal="center" vertical="center" wrapText="1"/>
    </xf>
    <xf numFmtId="44" fontId="12" fillId="0" borderId="1" xfId="2" applyFont="1" applyFill="1" applyBorder="1" applyAlignment="1">
      <alignment vertical="center" wrapText="1"/>
    </xf>
    <xf numFmtId="166" fontId="15" fillId="13" borderId="1" xfId="1" applyNumberFormat="1" applyFont="1" applyFill="1" applyBorder="1" applyAlignment="1" applyProtection="1">
      <alignment horizontal="center" vertical="center"/>
      <protection locked="0"/>
    </xf>
    <xf numFmtId="0" fontId="18" fillId="0" borderId="8" xfId="0" applyFont="1" applyBorder="1" applyAlignment="1" applyProtection="1">
      <alignment vertical="top" wrapText="1"/>
      <protection locked="0"/>
    </xf>
    <xf numFmtId="0" fontId="19" fillId="0" borderId="9" xfId="0" applyFont="1" applyBorder="1" applyAlignment="1" applyProtection="1">
      <alignment vertical="top" wrapText="1"/>
      <protection locked="0"/>
    </xf>
    <xf numFmtId="0" fontId="19" fillId="0" borderId="10" xfId="0" applyFont="1" applyBorder="1" applyAlignment="1" applyProtection="1">
      <alignment vertical="top" wrapText="1"/>
      <protection locked="0"/>
    </xf>
    <xf numFmtId="0" fontId="18" fillId="4" borderId="8" xfId="0" applyFont="1" applyFill="1" applyBorder="1" applyAlignment="1">
      <alignment horizontal="left" vertical="center" wrapText="1"/>
    </xf>
    <xf numFmtId="0" fontId="18" fillId="4" borderId="9" xfId="0" applyFont="1" applyFill="1" applyBorder="1" applyAlignment="1">
      <alignment horizontal="left" vertical="center" wrapText="1"/>
    </xf>
    <xf numFmtId="0" fontId="18" fillId="4" borderId="10" xfId="0" applyFont="1" applyFill="1" applyBorder="1" applyAlignment="1">
      <alignment horizontal="left" vertical="center" wrapText="1"/>
    </xf>
    <xf numFmtId="0" fontId="19" fillId="2" borderId="5" xfId="0" applyFont="1" applyFill="1" applyBorder="1" applyAlignment="1" applyProtection="1">
      <alignment horizontal="center" vertical="center"/>
      <protection locked="0"/>
    </xf>
    <xf numFmtId="0" fontId="19" fillId="2" borderId="6" xfId="0" applyFont="1" applyFill="1" applyBorder="1" applyAlignment="1" applyProtection="1">
      <alignment horizontal="center" vertical="center"/>
      <protection locked="0"/>
    </xf>
    <xf numFmtId="0" fontId="13" fillId="7" borderId="32" xfId="0" applyFont="1" applyFill="1" applyBorder="1" applyAlignment="1" applyProtection="1">
      <alignment horizontal="center" vertical="center"/>
      <protection locked="0"/>
    </xf>
    <xf numFmtId="0" fontId="13" fillId="7" borderId="37" xfId="0" applyFont="1" applyFill="1" applyBorder="1" applyAlignment="1" applyProtection="1">
      <alignment horizontal="center" vertical="center"/>
      <protection locked="0"/>
    </xf>
    <xf numFmtId="0" fontId="19" fillId="2" borderId="4" xfId="0" applyFont="1" applyFill="1" applyBorder="1" applyAlignment="1" applyProtection="1">
      <alignment horizontal="center" vertical="center"/>
      <protection locked="0"/>
    </xf>
    <xf numFmtId="0" fontId="19" fillId="2" borderId="7"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protection locked="0"/>
    </xf>
    <xf numFmtId="0" fontId="7" fillId="0" borderId="9" xfId="0" applyFont="1" applyBorder="1" applyAlignment="1" applyProtection="1">
      <alignment horizontal="left" vertical="center"/>
      <protection locked="0"/>
    </xf>
    <xf numFmtId="0" fontId="7" fillId="0" borderId="10" xfId="0" applyFont="1" applyBorder="1" applyAlignment="1" applyProtection="1">
      <alignment horizontal="left" vertical="center"/>
      <protection locked="0"/>
    </xf>
    <xf numFmtId="0" fontId="11" fillId="0" borderId="26" xfId="0" applyFont="1" applyBorder="1" applyAlignment="1" applyProtection="1">
      <alignment horizontal="center" vertical="center"/>
      <protection locked="0"/>
    </xf>
    <xf numFmtId="0" fontId="11" fillId="0" borderId="27" xfId="0" applyFont="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11" fillId="0" borderId="25" xfId="0" applyFont="1" applyBorder="1" applyAlignment="1" applyProtection="1">
      <alignment horizontal="center" vertical="center"/>
      <protection locked="0"/>
    </xf>
    <xf numFmtId="14" fontId="21" fillId="2" borderId="8" xfId="0" applyNumberFormat="1" applyFont="1" applyFill="1" applyBorder="1" applyAlignment="1" applyProtection="1">
      <alignment horizontal="center" vertical="center"/>
      <protection locked="0"/>
    </xf>
    <xf numFmtId="0" fontId="21" fillId="2" borderId="9"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protection locked="0"/>
    </xf>
    <xf numFmtId="0" fontId="21" fillId="2" borderId="8" xfId="0" applyFont="1" applyFill="1" applyBorder="1" applyAlignment="1" applyProtection="1">
      <alignment horizontal="center" vertical="center"/>
      <protection locked="0"/>
    </xf>
    <xf numFmtId="0" fontId="13" fillId="3" borderId="1" xfId="0" applyFont="1" applyFill="1" applyBorder="1" applyAlignment="1">
      <alignment horizontal="center" vertical="center" wrapText="1"/>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14" fontId="11" fillId="0" borderId="23" xfId="0" applyNumberFormat="1" applyFont="1" applyBorder="1" applyAlignment="1" applyProtection="1">
      <alignment horizontal="center" vertical="center"/>
      <protection locked="0"/>
    </xf>
    <xf numFmtId="14" fontId="11"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15" fillId="9" borderId="14"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0" fillId="0" borderId="16" xfId="0" applyFont="1" applyBorder="1" applyAlignment="1">
      <alignment horizontal="center" vertical="center" wrapText="1"/>
    </xf>
    <xf numFmtId="0" fontId="10" fillId="0" borderId="17" xfId="0" applyFont="1" applyBorder="1" applyAlignment="1">
      <alignment horizontal="center" vertical="center"/>
    </xf>
    <xf numFmtId="0" fontId="10" fillId="0" borderId="21" xfId="0" applyFont="1" applyBorder="1" applyAlignment="1">
      <alignment horizontal="center" vertical="center"/>
    </xf>
    <xf numFmtId="0" fontId="10" fillId="0" borderId="18"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2" xfId="0" applyFont="1" applyBorder="1" applyAlignment="1">
      <alignment horizontal="center" vertical="center"/>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4">
    <cellStyle name="Millares" xfId="1" builtinId="3"/>
    <cellStyle name="Moneda" xfId="2" builtinId="4"/>
    <cellStyle name="Normal" xfId="0" builtinId="0"/>
    <cellStyle name="Porcentaje" xfId="3" builtinId="5"/>
  </cellStyles>
  <dxfs count="7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C65"/>
  <sheetViews>
    <sheetView showGridLines="0" tabSelected="1" view="pageBreakPreview" topLeftCell="H50" zoomScale="62" zoomScaleNormal="62" zoomScaleSheetLayoutView="62" workbookViewId="0">
      <selection activeCell="B58" sqref="B58:AB58"/>
    </sheetView>
  </sheetViews>
  <sheetFormatPr baseColWidth="10" defaultColWidth="11.44140625" defaultRowHeight="14.4" x14ac:dyDescent="0.3"/>
  <cols>
    <col min="1" max="1" width="2.6640625" style="1" customWidth="1"/>
    <col min="2" max="2" width="14" style="5" customWidth="1"/>
    <col min="3" max="3" width="102.109375" style="2" customWidth="1"/>
    <col min="4" max="4" width="64.6640625" style="2" customWidth="1"/>
    <col min="5" max="5" width="38" customWidth="1"/>
    <col min="6" max="6" width="35.6640625" style="3" customWidth="1"/>
    <col min="7" max="10" width="35.6640625" style="4" customWidth="1"/>
    <col min="11" max="11" width="41.109375" style="4" customWidth="1"/>
    <col min="12" max="21" width="35.6640625" style="4" customWidth="1"/>
    <col min="22" max="22" width="40.44140625" style="4" customWidth="1"/>
    <col min="23" max="23" width="38.33203125" style="4" customWidth="1"/>
    <col min="24" max="25" width="40.6640625" style="4" customWidth="1"/>
    <col min="26" max="29" width="40.6640625" style="1" customWidth="1"/>
    <col min="30" max="30" width="30.6640625" style="1" customWidth="1"/>
    <col min="31" max="16384" width="11.44140625" style="1"/>
  </cols>
  <sheetData>
    <row r="1" spans="2:29" ht="69" customHeight="1" thickBot="1" x14ac:dyDescent="0.35">
      <c r="B1" s="117"/>
      <c r="C1" s="118"/>
      <c r="D1" s="119"/>
      <c r="E1" s="126" t="s">
        <v>0</v>
      </c>
      <c r="F1" s="127"/>
      <c r="G1" s="127"/>
      <c r="H1" s="127"/>
      <c r="I1" s="127"/>
      <c r="J1" s="127"/>
      <c r="K1" s="127"/>
      <c r="L1" s="127"/>
      <c r="M1" s="127"/>
      <c r="N1" s="127"/>
      <c r="O1" s="127"/>
      <c r="P1" s="127"/>
      <c r="Q1" s="127"/>
      <c r="R1" s="127"/>
      <c r="S1" s="127"/>
      <c r="T1" s="127"/>
      <c r="U1" s="127"/>
      <c r="V1" s="127"/>
      <c r="W1" s="127"/>
      <c r="X1" s="127"/>
      <c r="Y1" s="128"/>
      <c r="Z1" s="95" t="s">
        <v>1</v>
      </c>
      <c r="AA1" s="96"/>
      <c r="AB1" s="97" t="s">
        <v>67</v>
      </c>
      <c r="AC1" s="98"/>
    </row>
    <row r="2" spans="2:29" ht="69" customHeight="1" thickBot="1" x14ac:dyDescent="0.35">
      <c r="B2" s="120"/>
      <c r="C2" s="121"/>
      <c r="D2" s="122"/>
      <c r="E2" s="129"/>
      <c r="F2" s="130"/>
      <c r="G2" s="130"/>
      <c r="H2" s="130"/>
      <c r="I2" s="130"/>
      <c r="J2" s="130"/>
      <c r="K2" s="130"/>
      <c r="L2" s="130"/>
      <c r="M2" s="130"/>
      <c r="N2" s="130"/>
      <c r="O2" s="130"/>
      <c r="P2" s="130"/>
      <c r="Q2" s="130"/>
      <c r="R2" s="130"/>
      <c r="S2" s="130"/>
      <c r="T2" s="130"/>
      <c r="U2" s="130"/>
      <c r="V2" s="130"/>
      <c r="W2" s="130"/>
      <c r="X2" s="130"/>
      <c r="Y2" s="131"/>
      <c r="Z2" s="95" t="s">
        <v>2</v>
      </c>
      <c r="AA2" s="96"/>
      <c r="AB2" s="97">
        <v>1</v>
      </c>
      <c r="AC2" s="98"/>
    </row>
    <row r="3" spans="2:29" ht="69" customHeight="1" thickBot="1" x14ac:dyDescent="0.35">
      <c r="B3" s="123"/>
      <c r="C3" s="124"/>
      <c r="D3" s="125"/>
      <c r="E3" s="132"/>
      <c r="F3" s="133"/>
      <c r="G3" s="133"/>
      <c r="H3" s="133"/>
      <c r="I3" s="133"/>
      <c r="J3" s="133"/>
      <c r="K3" s="133"/>
      <c r="L3" s="133"/>
      <c r="M3" s="133"/>
      <c r="N3" s="133"/>
      <c r="O3" s="133"/>
      <c r="P3" s="133"/>
      <c r="Q3" s="133"/>
      <c r="R3" s="133"/>
      <c r="S3" s="133"/>
      <c r="T3" s="133"/>
      <c r="U3" s="133"/>
      <c r="V3" s="133"/>
      <c r="W3" s="133"/>
      <c r="X3" s="133"/>
      <c r="Y3" s="134"/>
      <c r="Z3" s="97" t="s">
        <v>3</v>
      </c>
      <c r="AA3" s="98"/>
      <c r="AB3" s="107">
        <v>45623</v>
      </c>
      <c r="AC3" s="108"/>
    </row>
    <row r="4" spans="2:29" s="14" customFormat="1" ht="31.8" thickBot="1" x14ac:dyDescent="0.65">
      <c r="B4" s="114" t="s">
        <v>4</v>
      </c>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6"/>
    </row>
    <row r="5" spans="2:29" s="14" customFormat="1" ht="31.2" x14ac:dyDescent="0.6">
      <c r="B5" s="104" t="s">
        <v>5</v>
      </c>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6"/>
    </row>
    <row r="6" spans="2:29" s="14" customFormat="1" ht="30" x14ac:dyDescent="0.5">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row>
    <row r="7" spans="2:29" s="14" customFormat="1" ht="30.6" thickBot="1" x14ac:dyDescent="0.55000000000000004">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row>
    <row r="8" spans="2:29" ht="83.25" customHeight="1" thickBot="1" x14ac:dyDescent="0.35">
      <c r="B8" s="109" t="s">
        <v>66</v>
      </c>
      <c r="C8" s="110"/>
      <c r="D8" s="92" t="s">
        <v>116</v>
      </c>
      <c r="E8" s="93"/>
      <c r="F8" s="93"/>
      <c r="G8" s="93"/>
      <c r="H8" s="93"/>
      <c r="I8" s="93"/>
      <c r="J8" s="93"/>
      <c r="K8" s="93"/>
      <c r="L8" s="93"/>
      <c r="M8" s="93"/>
      <c r="N8" s="93"/>
      <c r="O8" s="93"/>
      <c r="P8" s="93"/>
      <c r="Q8" s="93"/>
      <c r="R8" s="93"/>
      <c r="S8" s="93"/>
      <c r="T8" s="93"/>
      <c r="U8" s="93"/>
      <c r="V8" s="93"/>
      <c r="W8" s="93"/>
      <c r="X8" s="93"/>
      <c r="Y8" s="94"/>
      <c r="Z8" s="16"/>
      <c r="AA8" s="16"/>
      <c r="AB8" s="16"/>
      <c r="AC8" s="16"/>
    </row>
    <row r="9" spans="2:29" s="14" customFormat="1" ht="45.75" customHeight="1" x14ac:dyDescent="0.3">
      <c r="B9" s="17"/>
      <c r="C9" s="17"/>
      <c r="D9" s="18"/>
      <c r="E9" s="18"/>
      <c r="F9" s="18"/>
      <c r="G9" s="18"/>
      <c r="H9" s="18"/>
      <c r="I9" s="18"/>
      <c r="J9" s="18"/>
      <c r="K9" s="18"/>
      <c r="L9" s="18"/>
      <c r="M9" s="18"/>
      <c r="N9" s="18"/>
      <c r="O9" s="18"/>
      <c r="P9" s="18"/>
      <c r="Q9" s="18"/>
      <c r="R9" s="18"/>
      <c r="S9" s="18"/>
      <c r="T9" s="18"/>
      <c r="U9" s="18"/>
      <c r="V9" s="18"/>
      <c r="W9" s="18"/>
      <c r="X9" s="18"/>
      <c r="Y9" s="18"/>
      <c r="Z9" s="18"/>
      <c r="AA9" s="18"/>
      <c r="AB9" s="18"/>
      <c r="AC9" s="18"/>
    </row>
    <row r="10" spans="2:29" ht="25.5" customHeight="1" x14ac:dyDescent="0.5">
      <c r="B10" s="19"/>
      <c r="C10" s="20"/>
      <c r="D10" s="20"/>
      <c r="E10" s="21"/>
      <c r="F10" s="22"/>
      <c r="G10" s="23"/>
      <c r="H10" s="23"/>
      <c r="I10" s="23"/>
      <c r="J10" s="23"/>
      <c r="K10" s="23"/>
      <c r="L10" s="23"/>
      <c r="M10" s="23"/>
      <c r="N10" s="23"/>
      <c r="O10" s="23"/>
      <c r="P10" s="23"/>
      <c r="Q10" s="23"/>
      <c r="R10" s="23"/>
      <c r="S10" s="23"/>
      <c r="T10" s="23"/>
      <c r="U10" s="23"/>
      <c r="V10" s="23"/>
      <c r="W10" s="23"/>
      <c r="X10" s="23"/>
      <c r="Y10" s="23"/>
      <c r="Z10" s="24"/>
      <c r="AA10" s="24"/>
      <c r="AB10" s="24"/>
      <c r="AC10" s="24"/>
    </row>
    <row r="11" spans="2:29" s="63" customFormat="1" ht="69.75" customHeight="1" x14ac:dyDescent="0.35">
      <c r="B11" s="58"/>
      <c r="C11" s="59"/>
      <c r="D11" s="59"/>
      <c r="E11" s="60"/>
      <c r="F11" s="103" t="s">
        <v>117</v>
      </c>
      <c r="G11" s="103"/>
      <c r="H11" s="103" t="s">
        <v>118</v>
      </c>
      <c r="I11" s="103"/>
      <c r="J11" s="103" t="s">
        <v>119</v>
      </c>
      <c r="K11" s="103"/>
      <c r="L11" s="103" t="s">
        <v>120</v>
      </c>
      <c r="M11" s="103"/>
      <c r="N11" s="103" t="s">
        <v>121</v>
      </c>
      <c r="O11" s="103"/>
      <c r="P11" s="103" t="s">
        <v>122</v>
      </c>
      <c r="Q11" s="103"/>
      <c r="R11" s="103" t="s">
        <v>123</v>
      </c>
      <c r="S11" s="103"/>
      <c r="T11" s="112" t="s">
        <v>6</v>
      </c>
      <c r="U11" s="112"/>
      <c r="V11" s="112" t="s">
        <v>7</v>
      </c>
      <c r="W11" s="113"/>
      <c r="X11" s="111" t="s">
        <v>8</v>
      </c>
      <c r="Y11" s="111"/>
      <c r="Z11" s="111"/>
      <c r="AA11" s="111"/>
      <c r="AB11" s="111"/>
      <c r="AC11" s="111"/>
    </row>
    <row r="12" spans="2:29" s="63" customFormat="1" ht="69.75" customHeight="1" x14ac:dyDescent="0.35">
      <c r="B12" s="64" t="s">
        <v>9</v>
      </c>
      <c r="C12" s="64" t="s">
        <v>10</v>
      </c>
      <c r="D12" s="61" t="s">
        <v>11</v>
      </c>
      <c r="E12" s="61" t="s">
        <v>12</v>
      </c>
      <c r="F12" s="61" t="s">
        <v>6</v>
      </c>
      <c r="G12" s="61" t="s">
        <v>13</v>
      </c>
      <c r="H12" s="61" t="s">
        <v>6</v>
      </c>
      <c r="I12" s="61" t="s">
        <v>13</v>
      </c>
      <c r="J12" s="61" t="s">
        <v>6</v>
      </c>
      <c r="K12" s="61" t="s">
        <v>13</v>
      </c>
      <c r="L12" s="61" t="s">
        <v>6</v>
      </c>
      <c r="M12" s="61" t="s">
        <v>13</v>
      </c>
      <c r="N12" s="61" t="s">
        <v>6</v>
      </c>
      <c r="O12" s="61" t="s">
        <v>13</v>
      </c>
      <c r="P12" s="61" t="s">
        <v>6</v>
      </c>
      <c r="Q12" s="61" t="s">
        <v>13</v>
      </c>
      <c r="R12" s="61" t="s">
        <v>6</v>
      </c>
      <c r="S12" s="61" t="s">
        <v>13</v>
      </c>
      <c r="T12" s="62" t="s">
        <v>14</v>
      </c>
      <c r="U12" s="62" t="s">
        <v>15</v>
      </c>
      <c r="V12" s="62" t="s">
        <v>14</v>
      </c>
      <c r="W12" s="62" t="s">
        <v>15</v>
      </c>
      <c r="X12" s="65" t="s">
        <v>16</v>
      </c>
      <c r="Y12" s="65" t="s">
        <v>17</v>
      </c>
      <c r="Z12" s="66" t="s">
        <v>18</v>
      </c>
      <c r="AA12" s="66" t="s">
        <v>19</v>
      </c>
      <c r="AB12" s="66" t="s">
        <v>20</v>
      </c>
      <c r="AC12" s="66" t="s">
        <v>21</v>
      </c>
    </row>
    <row r="13" spans="2:29" s="2" customFormat="1" ht="40.5" customHeight="1" x14ac:dyDescent="0.3">
      <c r="B13" s="25">
        <v>1</v>
      </c>
      <c r="C13" s="34" t="s">
        <v>68</v>
      </c>
      <c r="D13" s="35" t="s">
        <v>69</v>
      </c>
      <c r="E13" s="36">
        <v>28</v>
      </c>
      <c r="F13" s="51">
        <v>18500</v>
      </c>
      <c r="G13" s="51">
        <f>F13*E13</f>
        <v>518000</v>
      </c>
      <c r="H13" s="51">
        <v>29410</v>
      </c>
      <c r="I13" s="51">
        <f>H13*E13</f>
        <v>823480</v>
      </c>
      <c r="J13" s="51">
        <v>45000</v>
      </c>
      <c r="K13" s="51">
        <f>J13*E13</f>
        <v>1260000</v>
      </c>
      <c r="L13" s="51">
        <v>24000</v>
      </c>
      <c r="M13" s="51">
        <f>L13*E13</f>
        <v>672000</v>
      </c>
      <c r="N13" s="51">
        <v>26200</v>
      </c>
      <c r="O13" s="51">
        <f>N13*E13</f>
        <v>733600</v>
      </c>
      <c r="P13" s="51">
        <v>32000</v>
      </c>
      <c r="Q13" s="51">
        <f>P13*E13</f>
        <v>896000</v>
      </c>
      <c r="R13" s="51">
        <v>22000</v>
      </c>
      <c r="S13" s="51">
        <f>R13*E13</f>
        <v>616000</v>
      </c>
      <c r="T13" s="70">
        <f>ROUND(MEDIAN(F13,H13,J13,L13,N13,P13,R13)-STDEVA(F13,H13,J13,L13,N13,P13,R13),0)</f>
        <v>17518</v>
      </c>
      <c r="U13" s="70">
        <f>ROUND(MEDIAN(F13,H13,J13,L13,N13,P13,R13)+STDEVA(F13,H13,J13,L13,N13,P13,R13),0)</f>
        <v>34882</v>
      </c>
      <c r="V13" s="70">
        <f>ROUND(MEDIAN(G13,I13,K13,M13,O13,Q13,S13)-STDEVA(G13,I13,K13,M13,O13,Q13,S13),0)</f>
        <v>490493</v>
      </c>
      <c r="W13" s="70">
        <f>ROUND(MEDIAN(G13,I13,K13,M13,O13,Q13,S13)+STDEVA(G13,I13,K13,M13,O13,Q13,S13),0)</f>
        <v>976707</v>
      </c>
      <c r="X13" s="77">
        <f>ROUND(HARMEAN(F13,H13,L13,N13,P13,R13),0)</f>
        <v>24530</v>
      </c>
      <c r="Y13" s="77">
        <f>X13*E13</f>
        <v>686840</v>
      </c>
      <c r="Z13" s="78">
        <f>ROUND(GEOMEAN(F13,H13,L13,N13,P13,R13),0)</f>
        <v>24944</v>
      </c>
      <c r="AA13" s="78">
        <f>Z13*E13</f>
        <v>698432</v>
      </c>
      <c r="AB13" s="78">
        <f>ROUND(AVERAGE(F13,H13,L13,N13,P13,R13),0)</f>
        <v>25352</v>
      </c>
      <c r="AC13" s="78">
        <f>AB13*E13</f>
        <v>709856</v>
      </c>
    </row>
    <row r="14" spans="2:29" s="2" customFormat="1" ht="40.5" customHeight="1" x14ac:dyDescent="0.3">
      <c r="B14" s="25">
        <v>2</v>
      </c>
      <c r="C14" s="34" t="s">
        <v>70</v>
      </c>
      <c r="D14" s="37" t="s">
        <v>69</v>
      </c>
      <c r="E14" s="38">
        <v>4</v>
      </c>
      <c r="F14" s="51">
        <v>42000</v>
      </c>
      <c r="G14" s="51">
        <f t="shared" ref="G14:G50" si="0">F14*E14</f>
        <v>168000</v>
      </c>
      <c r="H14" s="51">
        <v>16492</v>
      </c>
      <c r="I14" s="51">
        <f t="shared" ref="I14:I50" si="1">H14*E14</f>
        <v>65968</v>
      </c>
      <c r="J14" s="51">
        <v>58500</v>
      </c>
      <c r="K14" s="51">
        <f t="shared" ref="K14:K50" si="2">J14*E14</f>
        <v>234000</v>
      </c>
      <c r="L14" s="51">
        <v>17000</v>
      </c>
      <c r="M14" s="51">
        <f t="shared" ref="M14:M50" si="3">L14*E14</f>
        <v>68000</v>
      </c>
      <c r="N14" s="51">
        <v>16000</v>
      </c>
      <c r="O14" s="51">
        <f t="shared" ref="O14:O50" si="4">N14*E14</f>
        <v>64000</v>
      </c>
      <c r="P14" s="51">
        <v>20500</v>
      </c>
      <c r="Q14" s="51">
        <f t="shared" ref="Q14:Q50" si="5">P14*E14</f>
        <v>82000</v>
      </c>
      <c r="R14" s="51">
        <v>18000</v>
      </c>
      <c r="S14" s="51">
        <f t="shared" ref="S14:S50" si="6">R14*E14</f>
        <v>72000</v>
      </c>
      <c r="T14" s="70">
        <f t="shared" ref="T14:T50" si="7">ROUND(MEDIAN(F14,H14,J14,L14,N14,P14,R14)-STDEVA(F14,H14,J14,L14,N14,P14,R14),0)</f>
        <v>1307</v>
      </c>
      <c r="U14" s="70">
        <f t="shared" ref="U14:U50" si="8">ROUND(MEDIAN(F14,H14,J14,L14,N14,P14,R14)+STDEVA(F14,H14,J14,L14,N14,P14,R14),0)</f>
        <v>34693</v>
      </c>
      <c r="V14" s="70">
        <f t="shared" ref="V14:V50" si="9">ROUND(MEDIAN(G14,I14,K14,M14,O14,Q14,S14)-STDEVA(G14,I14,K14,M14,O14,Q14,S14),0)</f>
        <v>5229</v>
      </c>
      <c r="W14" s="70">
        <f t="shared" ref="W14:W50" si="10">ROUND(MEDIAN(G14,I14,K14,M14,O14,Q14,S14)+STDEVA(G14,I14,K14,M14,O14,Q14,S14),0)</f>
        <v>138771</v>
      </c>
      <c r="X14" s="77">
        <f>ROUND(HARMEAN(H14,L14,N14,P14,R14),0)</f>
        <v>17465</v>
      </c>
      <c r="Y14" s="77">
        <f t="shared" ref="Y14:Y50" si="11">X14*E14</f>
        <v>69860</v>
      </c>
      <c r="Z14" s="78">
        <f>ROUND(GEOMEAN(H14,L14,N14,P14,R14),0)</f>
        <v>17530</v>
      </c>
      <c r="AA14" s="78">
        <f t="shared" ref="AA14:AA50" si="12">Z14*E14</f>
        <v>70120</v>
      </c>
      <c r="AB14" s="78">
        <f>ROUND(AVERAGE(H14,L14,N14,P14,R14),0)</f>
        <v>17598</v>
      </c>
      <c r="AC14" s="78">
        <f t="shared" ref="AC14:AC50" si="13">AB14*E14</f>
        <v>70392</v>
      </c>
    </row>
    <row r="15" spans="2:29" s="2" customFormat="1" ht="40.5" customHeight="1" x14ac:dyDescent="0.3">
      <c r="B15" s="25">
        <v>3</v>
      </c>
      <c r="C15" s="34" t="s">
        <v>71</v>
      </c>
      <c r="D15" s="35" t="s">
        <v>72</v>
      </c>
      <c r="E15" s="38">
        <v>40</v>
      </c>
      <c r="F15" s="51">
        <v>110000</v>
      </c>
      <c r="G15" s="51">
        <f t="shared" si="0"/>
        <v>4400000</v>
      </c>
      <c r="H15" s="51">
        <v>72920</v>
      </c>
      <c r="I15" s="51">
        <f t="shared" si="1"/>
        <v>2916800</v>
      </c>
      <c r="J15" s="51">
        <v>265000</v>
      </c>
      <c r="K15" s="51">
        <f t="shared" si="2"/>
        <v>10600000</v>
      </c>
      <c r="L15" s="51">
        <v>75000</v>
      </c>
      <c r="M15" s="51">
        <f t="shared" si="3"/>
        <v>3000000</v>
      </c>
      <c r="N15" s="51">
        <v>70000</v>
      </c>
      <c r="O15" s="51">
        <f t="shared" si="4"/>
        <v>2800000</v>
      </c>
      <c r="P15" s="51">
        <v>96000</v>
      </c>
      <c r="Q15" s="51">
        <f t="shared" si="5"/>
        <v>3840000</v>
      </c>
      <c r="R15" s="51">
        <v>80000</v>
      </c>
      <c r="S15" s="51">
        <f t="shared" si="6"/>
        <v>3200000</v>
      </c>
      <c r="T15" s="70">
        <f t="shared" si="7"/>
        <v>10094</v>
      </c>
      <c r="U15" s="70">
        <f t="shared" si="8"/>
        <v>149906</v>
      </c>
      <c r="V15" s="70">
        <f t="shared" si="9"/>
        <v>403776</v>
      </c>
      <c r="W15" s="70">
        <f t="shared" si="10"/>
        <v>5996224</v>
      </c>
      <c r="X15" s="77">
        <f>ROUND(HARMEAN(F15,H15,L15,N15,P15,R15),0)</f>
        <v>81810</v>
      </c>
      <c r="Y15" s="77">
        <f t="shared" si="11"/>
        <v>3272400</v>
      </c>
      <c r="Z15" s="78">
        <f>ROUND(GEOMEAN(F15,H15,L15,N15,P15,R15),0)</f>
        <v>82850</v>
      </c>
      <c r="AA15" s="78">
        <f t="shared" si="12"/>
        <v>3314000</v>
      </c>
      <c r="AB15" s="78">
        <f>ROUND(AVERAGE(F15,H15,L15,N15,P15,R15),0)</f>
        <v>83987</v>
      </c>
      <c r="AC15" s="78">
        <f t="shared" si="13"/>
        <v>3359480</v>
      </c>
    </row>
    <row r="16" spans="2:29" s="2" customFormat="1" ht="40.5" customHeight="1" x14ac:dyDescent="0.3">
      <c r="B16" s="25">
        <v>4</v>
      </c>
      <c r="C16" s="34" t="s">
        <v>73</v>
      </c>
      <c r="D16" s="37" t="s">
        <v>72</v>
      </c>
      <c r="E16" s="38">
        <v>10</v>
      </c>
      <c r="F16" s="51">
        <v>29399.999999999996</v>
      </c>
      <c r="G16" s="51">
        <f t="shared" si="0"/>
        <v>293999.99999999994</v>
      </c>
      <c r="H16" s="51">
        <v>15680</v>
      </c>
      <c r="I16" s="51">
        <f t="shared" si="1"/>
        <v>156800</v>
      </c>
      <c r="J16" s="51">
        <v>48952</v>
      </c>
      <c r="K16" s="51">
        <f t="shared" si="2"/>
        <v>489520</v>
      </c>
      <c r="L16" s="51">
        <v>15500</v>
      </c>
      <c r="M16" s="51">
        <f t="shared" si="3"/>
        <v>155000</v>
      </c>
      <c r="N16" s="51">
        <v>16000</v>
      </c>
      <c r="O16" s="51">
        <f t="shared" si="4"/>
        <v>160000</v>
      </c>
      <c r="P16" s="51">
        <v>18000</v>
      </c>
      <c r="Q16" s="51">
        <f t="shared" si="5"/>
        <v>180000</v>
      </c>
      <c r="R16" s="51">
        <v>14000</v>
      </c>
      <c r="S16" s="51">
        <f t="shared" si="6"/>
        <v>140000</v>
      </c>
      <c r="T16" s="70">
        <f t="shared" si="7"/>
        <v>3236</v>
      </c>
      <c r="U16" s="70">
        <f t="shared" si="8"/>
        <v>28764</v>
      </c>
      <c r="V16" s="70">
        <f t="shared" si="9"/>
        <v>32356</v>
      </c>
      <c r="W16" s="70">
        <f t="shared" si="10"/>
        <v>287644</v>
      </c>
      <c r="X16" s="77">
        <f>ROUND(HARMEAN(H16,L16,N16,P16,R16),0)</f>
        <v>15734</v>
      </c>
      <c r="Y16" s="77">
        <f t="shared" ref="Y16" si="14">X16*E16</f>
        <v>157340</v>
      </c>
      <c r="Z16" s="78">
        <f>ROUND(GEOMEAN(H16,L16,N16,P16,R16),0)</f>
        <v>15785</v>
      </c>
      <c r="AA16" s="78">
        <f t="shared" ref="AA16" si="15">Z16*E16</f>
        <v>157850</v>
      </c>
      <c r="AB16" s="78">
        <f>ROUND(AVERAGE(H16,L16,N16,P16,R16),0)</f>
        <v>15836</v>
      </c>
      <c r="AC16" s="78">
        <f t="shared" ref="AC16" si="16">AB16*E16</f>
        <v>158360</v>
      </c>
    </row>
    <row r="17" spans="2:29" s="2" customFormat="1" ht="40.5" customHeight="1" x14ac:dyDescent="0.3">
      <c r="B17" s="25">
        <v>5</v>
      </c>
      <c r="C17" s="34" t="s">
        <v>74</v>
      </c>
      <c r="D17" s="39" t="s">
        <v>72</v>
      </c>
      <c r="E17" s="36">
        <v>318</v>
      </c>
      <c r="F17" s="51">
        <v>23500</v>
      </c>
      <c r="G17" s="51">
        <f t="shared" si="0"/>
        <v>7473000</v>
      </c>
      <c r="H17" s="51">
        <v>22150</v>
      </c>
      <c r="I17" s="51">
        <f t="shared" si="1"/>
        <v>7043700</v>
      </c>
      <c r="J17" s="51">
        <v>35000</v>
      </c>
      <c r="K17" s="51">
        <f t="shared" si="2"/>
        <v>11130000</v>
      </c>
      <c r="L17" s="51">
        <v>19900</v>
      </c>
      <c r="M17" s="51">
        <f t="shared" si="3"/>
        <v>6328200</v>
      </c>
      <c r="N17" s="51">
        <v>18000</v>
      </c>
      <c r="O17" s="51">
        <f t="shared" si="4"/>
        <v>5724000</v>
      </c>
      <c r="P17" s="51">
        <v>22000</v>
      </c>
      <c r="Q17" s="51">
        <f t="shared" si="5"/>
        <v>6996000</v>
      </c>
      <c r="R17" s="51">
        <v>17800</v>
      </c>
      <c r="S17" s="51">
        <f t="shared" si="6"/>
        <v>5660400</v>
      </c>
      <c r="T17" s="70">
        <f t="shared" si="7"/>
        <v>16132</v>
      </c>
      <c r="U17" s="70">
        <f t="shared" si="8"/>
        <v>27868</v>
      </c>
      <c r="V17" s="70">
        <f t="shared" si="9"/>
        <v>5129891</v>
      </c>
      <c r="W17" s="70">
        <f t="shared" si="10"/>
        <v>8862109</v>
      </c>
      <c r="X17" s="77">
        <f>ROUND(HARMEAN(F17,H17,L17,N17,P17,R17),0)</f>
        <v>20329</v>
      </c>
      <c r="Y17" s="77">
        <f t="shared" si="11"/>
        <v>6464622</v>
      </c>
      <c r="Z17" s="78">
        <f>ROUND(GEOMEAN(F17,H17,L17,N17,P17,R17),0)</f>
        <v>20444</v>
      </c>
      <c r="AA17" s="78">
        <f t="shared" si="12"/>
        <v>6501192</v>
      </c>
      <c r="AB17" s="78">
        <f>ROUND(AVERAGE(F17,H17,L17,N17,P17,R17),0)</f>
        <v>20558</v>
      </c>
      <c r="AC17" s="78">
        <f t="shared" si="13"/>
        <v>6537444</v>
      </c>
    </row>
    <row r="18" spans="2:29" s="2" customFormat="1" ht="40.5" customHeight="1" x14ac:dyDescent="0.3">
      <c r="B18" s="25">
        <v>6</v>
      </c>
      <c r="C18" s="34" t="s">
        <v>75</v>
      </c>
      <c r="D18" s="39" t="s">
        <v>69</v>
      </c>
      <c r="E18" s="36">
        <v>290</v>
      </c>
      <c r="F18" s="51">
        <v>42000</v>
      </c>
      <c r="G18" s="51">
        <f t="shared" si="0"/>
        <v>12180000</v>
      </c>
      <c r="H18" s="51">
        <v>19520</v>
      </c>
      <c r="I18" s="51">
        <f t="shared" si="1"/>
        <v>5660800</v>
      </c>
      <c r="J18" s="51">
        <v>58500</v>
      </c>
      <c r="K18" s="51">
        <f t="shared" si="2"/>
        <v>16965000</v>
      </c>
      <c r="L18" s="51">
        <v>14750</v>
      </c>
      <c r="M18" s="51">
        <f t="shared" si="3"/>
        <v>4277500</v>
      </c>
      <c r="N18" s="51">
        <v>18500</v>
      </c>
      <c r="O18" s="51">
        <f t="shared" si="4"/>
        <v>5365000</v>
      </c>
      <c r="P18" s="51">
        <v>19000</v>
      </c>
      <c r="Q18" s="51">
        <f t="shared" si="5"/>
        <v>5510000</v>
      </c>
      <c r="R18" s="51">
        <v>16000</v>
      </c>
      <c r="S18" s="51">
        <f t="shared" si="6"/>
        <v>4640000</v>
      </c>
      <c r="T18" s="70">
        <f t="shared" si="7"/>
        <v>2265</v>
      </c>
      <c r="U18" s="70">
        <f t="shared" si="8"/>
        <v>35735</v>
      </c>
      <c r="V18" s="70">
        <f t="shared" si="9"/>
        <v>656741</v>
      </c>
      <c r="W18" s="70">
        <f t="shared" si="10"/>
        <v>10363259</v>
      </c>
      <c r="X18" s="77">
        <f>ROUND(HARMEAN(H18,L18,N18,P18,R18),0)</f>
        <v>17348</v>
      </c>
      <c r="Y18" s="77">
        <f t="shared" ref="Y18" si="17">X18*E18</f>
        <v>5030920</v>
      </c>
      <c r="Z18" s="78">
        <f>ROUND(GEOMEAN(H18,L18,N18,P18,R18),0)</f>
        <v>17453</v>
      </c>
      <c r="AA18" s="78">
        <f t="shared" ref="AA18" si="18">Z18*E18</f>
        <v>5061370</v>
      </c>
      <c r="AB18" s="78">
        <f>ROUND(AVERAGE(H18,L18,N18,P18,R18),0)</f>
        <v>17554</v>
      </c>
      <c r="AC18" s="78">
        <f t="shared" ref="AC18" si="19">AB18*E18</f>
        <v>5090660</v>
      </c>
    </row>
    <row r="19" spans="2:29" s="2" customFormat="1" ht="40.5" customHeight="1" x14ac:dyDescent="0.3">
      <c r="B19" s="25">
        <v>7</v>
      </c>
      <c r="C19" s="34" t="s">
        <v>76</v>
      </c>
      <c r="D19" s="39" t="s">
        <v>72</v>
      </c>
      <c r="E19" s="36">
        <v>615</v>
      </c>
      <c r="F19" s="51">
        <v>29400</v>
      </c>
      <c r="G19" s="51">
        <f t="shared" si="0"/>
        <v>18081000</v>
      </c>
      <c r="H19" s="51">
        <v>24160</v>
      </c>
      <c r="I19" s="51">
        <f t="shared" si="1"/>
        <v>14858400</v>
      </c>
      <c r="J19" s="51">
        <v>65000</v>
      </c>
      <c r="K19" s="51">
        <f t="shared" si="2"/>
        <v>39975000</v>
      </c>
      <c r="L19" s="51">
        <v>19500</v>
      </c>
      <c r="M19" s="51">
        <f t="shared" si="3"/>
        <v>11992500</v>
      </c>
      <c r="N19" s="51">
        <v>21800</v>
      </c>
      <c r="O19" s="51">
        <f t="shared" si="4"/>
        <v>13407000</v>
      </c>
      <c r="P19" s="51">
        <v>26000</v>
      </c>
      <c r="Q19" s="51">
        <f t="shared" si="5"/>
        <v>15990000</v>
      </c>
      <c r="R19" s="51">
        <v>18000</v>
      </c>
      <c r="S19" s="51">
        <f t="shared" si="6"/>
        <v>11070000</v>
      </c>
      <c r="T19" s="70">
        <f t="shared" si="7"/>
        <v>7873</v>
      </c>
      <c r="U19" s="70">
        <f t="shared" si="8"/>
        <v>40447</v>
      </c>
      <c r="V19" s="70">
        <f t="shared" si="9"/>
        <v>4841984</v>
      </c>
      <c r="W19" s="70">
        <f t="shared" si="10"/>
        <v>24874816</v>
      </c>
      <c r="X19" s="77">
        <f>ROUND(HARMEAN(F19,H19,L19,N19,P19,R19),0)</f>
        <v>22508</v>
      </c>
      <c r="Y19" s="77">
        <f t="shared" si="11"/>
        <v>13842420</v>
      </c>
      <c r="Z19" s="78">
        <f>ROUND(GEOMEAN(F19,H19,L19,N19,P19,R19),0)</f>
        <v>22823</v>
      </c>
      <c r="AA19" s="78">
        <f t="shared" si="12"/>
        <v>14036145</v>
      </c>
      <c r="AB19" s="78">
        <f>ROUND(AVERAGE(F19,H19,L19,N19,P19,R19),0)</f>
        <v>23143</v>
      </c>
      <c r="AC19" s="78">
        <f t="shared" si="13"/>
        <v>14232945</v>
      </c>
    </row>
    <row r="20" spans="2:29" s="2" customFormat="1" ht="40.5" customHeight="1" x14ac:dyDescent="0.3">
      <c r="B20" s="25">
        <v>8</v>
      </c>
      <c r="C20" s="34" t="s">
        <v>77</v>
      </c>
      <c r="D20" s="39" t="s">
        <v>69</v>
      </c>
      <c r="E20" s="36">
        <f>+E18</f>
        <v>290</v>
      </c>
      <c r="F20" s="51">
        <v>24000</v>
      </c>
      <c r="G20" s="51">
        <f t="shared" si="0"/>
        <v>6960000</v>
      </c>
      <c r="H20" s="51">
        <v>20000</v>
      </c>
      <c r="I20" s="51">
        <f t="shared" si="1"/>
        <v>5800000</v>
      </c>
      <c r="J20" s="51">
        <v>42895</v>
      </c>
      <c r="K20" s="51">
        <f t="shared" si="2"/>
        <v>12439550</v>
      </c>
      <c r="L20" s="51">
        <v>17200</v>
      </c>
      <c r="M20" s="51">
        <f t="shared" si="3"/>
        <v>4988000</v>
      </c>
      <c r="N20" s="51">
        <v>16900</v>
      </c>
      <c r="O20" s="51">
        <f t="shared" si="4"/>
        <v>4901000</v>
      </c>
      <c r="P20" s="51">
        <v>18200</v>
      </c>
      <c r="Q20" s="51">
        <f t="shared" si="5"/>
        <v>5278000</v>
      </c>
      <c r="R20" s="51">
        <v>18600</v>
      </c>
      <c r="S20" s="51">
        <f t="shared" si="6"/>
        <v>5394000</v>
      </c>
      <c r="T20" s="70">
        <f t="shared" si="7"/>
        <v>9312</v>
      </c>
      <c r="U20" s="70">
        <f t="shared" si="8"/>
        <v>27888</v>
      </c>
      <c r="V20" s="70">
        <f t="shared" si="9"/>
        <v>2700501</v>
      </c>
      <c r="W20" s="70">
        <f t="shared" si="10"/>
        <v>8087499</v>
      </c>
      <c r="X20" s="77">
        <f>ROUND(HARMEAN(F20,H20,L20,N20,P20,R20),0)</f>
        <v>18887</v>
      </c>
      <c r="Y20" s="77">
        <f t="shared" si="11"/>
        <v>5477230</v>
      </c>
      <c r="Z20" s="78">
        <f>ROUND(GEOMEAN(F20,H20,L20,N20,P20,R20),0)</f>
        <v>19013</v>
      </c>
      <c r="AA20" s="78">
        <f t="shared" si="12"/>
        <v>5513770</v>
      </c>
      <c r="AB20" s="78">
        <f>ROUND(AVERAGE(F20,H20,L20,N20,P20,R20),0)</f>
        <v>19150</v>
      </c>
      <c r="AC20" s="78">
        <f t="shared" si="13"/>
        <v>5553500</v>
      </c>
    </row>
    <row r="21" spans="2:29" s="2" customFormat="1" ht="40.5" customHeight="1" x14ac:dyDescent="0.3">
      <c r="B21" s="25">
        <v>9</v>
      </c>
      <c r="C21" s="40" t="s">
        <v>78</v>
      </c>
      <c r="D21" s="39" t="s">
        <v>69</v>
      </c>
      <c r="E21" s="38">
        <f>E14</f>
        <v>4</v>
      </c>
      <c r="F21" s="51">
        <v>25100</v>
      </c>
      <c r="G21" s="51">
        <f t="shared" si="0"/>
        <v>100400</v>
      </c>
      <c r="H21" s="51">
        <v>24190</v>
      </c>
      <c r="I21" s="51">
        <f t="shared" si="1"/>
        <v>96760</v>
      </c>
      <c r="J21" s="51">
        <v>35980</v>
      </c>
      <c r="K21" s="51">
        <f t="shared" si="2"/>
        <v>143920</v>
      </c>
      <c r="L21" s="51">
        <v>20000</v>
      </c>
      <c r="M21" s="51">
        <f t="shared" si="3"/>
        <v>80000</v>
      </c>
      <c r="N21" s="51">
        <v>22800</v>
      </c>
      <c r="O21" s="51">
        <f t="shared" si="4"/>
        <v>91200</v>
      </c>
      <c r="P21" s="51">
        <v>24000</v>
      </c>
      <c r="Q21" s="51">
        <f t="shared" si="5"/>
        <v>96000</v>
      </c>
      <c r="R21" s="51">
        <v>23800</v>
      </c>
      <c r="S21" s="51">
        <f t="shared" si="6"/>
        <v>95200</v>
      </c>
      <c r="T21" s="70">
        <f t="shared" si="7"/>
        <v>18944</v>
      </c>
      <c r="U21" s="70">
        <f t="shared" si="8"/>
        <v>29056</v>
      </c>
      <c r="V21" s="70">
        <f t="shared" si="9"/>
        <v>75775</v>
      </c>
      <c r="W21" s="70">
        <f t="shared" si="10"/>
        <v>116225</v>
      </c>
      <c r="X21" s="77">
        <f>ROUND(HARMEAN(F21,H21,L21,N21,P21,R21),0)</f>
        <v>23191</v>
      </c>
      <c r="Y21" s="77">
        <f t="shared" si="11"/>
        <v>92764</v>
      </c>
      <c r="Z21" s="78">
        <f>ROUND(GEOMEAN(F21,H21,L21,N21,P21,R21),0)</f>
        <v>23255</v>
      </c>
      <c r="AA21" s="78">
        <f t="shared" si="12"/>
        <v>93020</v>
      </c>
      <c r="AB21" s="78">
        <f>ROUND(AVERAGE(F21,H21,L21,N21,P21,R21),0)</f>
        <v>23315</v>
      </c>
      <c r="AC21" s="78">
        <f t="shared" si="13"/>
        <v>93260</v>
      </c>
    </row>
    <row r="22" spans="2:29" s="2" customFormat="1" ht="40.5" customHeight="1" x14ac:dyDescent="0.3">
      <c r="B22" s="25">
        <v>10</v>
      </c>
      <c r="C22" s="34" t="s">
        <v>79</v>
      </c>
      <c r="D22" s="39" t="s">
        <v>69</v>
      </c>
      <c r="E22" s="36">
        <f>+E23+E25+(E24*0.15)+0.8</f>
        <v>635</v>
      </c>
      <c r="F22" s="51">
        <v>18000</v>
      </c>
      <c r="G22" s="51">
        <f t="shared" si="0"/>
        <v>11430000</v>
      </c>
      <c r="H22" s="51">
        <v>8260</v>
      </c>
      <c r="I22" s="51">
        <f t="shared" si="1"/>
        <v>5245100</v>
      </c>
      <c r="J22" s="51">
        <v>45000</v>
      </c>
      <c r="K22" s="51">
        <f t="shared" si="2"/>
        <v>28575000</v>
      </c>
      <c r="L22" s="51">
        <v>7000</v>
      </c>
      <c r="M22" s="51">
        <f t="shared" si="3"/>
        <v>4445000</v>
      </c>
      <c r="N22" s="51">
        <v>6700</v>
      </c>
      <c r="O22" s="51">
        <f t="shared" si="4"/>
        <v>4254500</v>
      </c>
      <c r="P22" s="51">
        <v>9000</v>
      </c>
      <c r="Q22" s="51">
        <f t="shared" si="5"/>
        <v>5715000</v>
      </c>
      <c r="R22" s="51">
        <v>6500</v>
      </c>
      <c r="S22" s="51">
        <f t="shared" si="6"/>
        <v>4127500</v>
      </c>
      <c r="T22" s="70">
        <f>ROUND(MEDIAN(F22,H22,L22,N22,P22,R22)-STDEVA(F22,H22,L22,N22,P22,R22),0)</f>
        <v>3232</v>
      </c>
      <c r="U22" s="70">
        <f>ROUND(MEDIAN(F22,H22,L22,N22,P22,R22)+STDEVA(F22,H22,L22,N22,P22,R22),0)</f>
        <v>12028</v>
      </c>
      <c r="V22" s="70">
        <f>ROUND(MEDIAN(G22,I22,M22,O22,Q22,S22)-STDEVA(G22,I22,M22,O22,Q22,S22),0)</f>
        <v>2052027</v>
      </c>
      <c r="W22" s="70">
        <f>ROUND(MEDIAN(G22,I22,M22,O22,Q22,S22)+STDEVA(G22,I22,M22,O22,Q22,S22),0)</f>
        <v>7638073</v>
      </c>
      <c r="X22" s="77">
        <f>ROUND(HARMEAN(H22,L22,N22,P22,R22),0)</f>
        <v>7373</v>
      </c>
      <c r="Y22" s="77">
        <f t="shared" ref="Y22:Y24" si="20">X22*E22</f>
        <v>4681855</v>
      </c>
      <c r="Z22" s="78">
        <f>ROUND(GEOMEAN(H22,L22,N22,P22,R22),0)</f>
        <v>7431</v>
      </c>
      <c r="AA22" s="78">
        <f t="shared" ref="AA22:AA24" si="21">Z22*E22</f>
        <v>4718685</v>
      </c>
      <c r="AB22" s="78">
        <f>ROUND(AVERAGE(H22,L22,N22,P22,R22),0)</f>
        <v>7492</v>
      </c>
      <c r="AC22" s="78">
        <f t="shared" ref="AC22:AC24" si="22">AB22*E22</f>
        <v>4757420</v>
      </c>
    </row>
    <row r="23" spans="2:29" s="2" customFormat="1" ht="40.5" customHeight="1" x14ac:dyDescent="0.3">
      <c r="B23" s="25">
        <v>11</v>
      </c>
      <c r="C23" s="34" t="s">
        <v>80</v>
      </c>
      <c r="D23" s="35" t="s">
        <v>69</v>
      </c>
      <c r="E23" s="36">
        <v>310</v>
      </c>
      <c r="F23" s="51">
        <v>62000</v>
      </c>
      <c r="G23" s="51">
        <f t="shared" si="0"/>
        <v>19220000</v>
      </c>
      <c r="H23" s="51">
        <v>35170</v>
      </c>
      <c r="I23" s="51">
        <f t="shared" si="1"/>
        <v>10902700</v>
      </c>
      <c r="J23" s="51">
        <v>65000</v>
      </c>
      <c r="K23" s="51">
        <f t="shared" si="2"/>
        <v>20150000</v>
      </c>
      <c r="L23" s="51">
        <v>33860</v>
      </c>
      <c r="M23" s="51">
        <f t="shared" si="3"/>
        <v>10496600</v>
      </c>
      <c r="N23" s="51">
        <v>39000</v>
      </c>
      <c r="O23" s="51">
        <f t="shared" si="4"/>
        <v>12090000</v>
      </c>
      <c r="P23" s="51">
        <v>36500</v>
      </c>
      <c r="Q23" s="51">
        <f t="shared" si="5"/>
        <v>11315000</v>
      </c>
      <c r="R23" s="51">
        <v>34000</v>
      </c>
      <c r="S23" s="51">
        <f t="shared" si="6"/>
        <v>10540000</v>
      </c>
      <c r="T23" s="70">
        <f t="shared" si="7"/>
        <v>22800</v>
      </c>
      <c r="U23" s="70">
        <f t="shared" si="8"/>
        <v>50200</v>
      </c>
      <c r="V23" s="70">
        <f t="shared" si="9"/>
        <v>7067949</v>
      </c>
      <c r="W23" s="70">
        <f t="shared" si="10"/>
        <v>15562051</v>
      </c>
      <c r="X23" s="77">
        <f>ROUND(HARMEAN(H23,L23,N23,P23,R23),0)</f>
        <v>35608</v>
      </c>
      <c r="Y23" s="77">
        <f t="shared" si="20"/>
        <v>11038480</v>
      </c>
      <c r="Z23" s="78">
        <f>ROUND(GEOMEAN(H23,L23,N23,P23,R23),0)</f>
        <v>35657</v>
      </c>
      <c r="AA23" s="78">
        <f t="shared" si="21"/>
        <v>11053670</v>
      </c>
      <c r="AB23" s="78">
        <f>ROUND(AVERAGE(H23,L23,N23,P23,R23),0)</f>
        <v>35706</v>
      </c>
      <c r="AC23" s="78">
        <f t="shared" si="22"/>
        <v>11068860</v>
      </c>
    </row>
    <row r="24" spans="2:29" s="2" customFormat="1" ht="40.5" customHeight="1" x14ac:dyDescent="0.3">
      <c r="B24" s="25">
        <v>12</v>
      </c>
      <c r="C24" s="34" t="s">
        <v>81</v>
      </c>
      <c r="D24" s="35" t="s">
        <v>72</v>
      </c>
      <c r="E24" s="36">
        <v>228</v>
      </c>
      <c r="F24" s="51">
        <v>37200</v>
      </c>
      <c r="G24" s="51">
        <f t="shared" si="0"/>
        <v>8481600</v>
      </c>
      <c r="H24" s="51">
        <v>22180</v>
      </c>
      <c r="I24" s="51">
        <f t="shared" si="1"/>
        <v>5057040</v>
      </c>
      <c r="J24" s="51">
        <v>39000</v>
      </c>
      <c r="K24" s="51">
        <f t="shared" si="2"/>
        <v>8892000</v>
      </c>
      <c r="L24" s="51">
        <v>26800</v>
      </c>
      <c r="M24" s="51">
        <f t="shared" si="3"/>
        <v>6110400</v>
      </c>
      <c r="N24" s="51">
        <v>28600</v>
      </c>
      <c r="O24" s="51">
        <f t="shared" si="4"/>
        <v>6520800</v>
      </c>
      <c r="P24" s="51">
        <v>26000</v>
      </c>
      <c r="Q24" s="51">
        <f t="shared" si="5"/>
        <v>5928000</v>
      </c>
      <c r="R24" s="51">
        <v>24000</v>
      </c>
      <c r="S24" s="51">
        <f t="shared" si="6"/>
        <v>5472000</v>
      </c>
      <c r="T24" s="70">
        <f t="shared" si="7"/>
        <v>20311</v>
      </c>
      <c r="U24" s="70">
        <f t="shared" si="8"/>
        <v>33289</v>
      </c>
      <c r="V24" s="70">
        <f t="shared" si="9"/>
        <v>4630841</v>
      </c>
      <c r="W24" s="70">
        <f t="shared" si="10"/>
        <v>7589959</v>
      </c>
      <c r="X24" s="77">
        <f>ROUND(HARMEAN(H24,L24,N24,P24,R24),0)</f>
        <v>25317</v>
      </c>
      <c r="Y24" s="77">
        <f t="shared" si="20"/>
        <v>5772276</v>
      </c>
      <c r="Z24" s="78">
        <f>ROUND(GEOMEAN(H24,L24,N24,P24,R24),0)</f>
        <v>25417</v>
      </c>
      <c r="AA24" s="78">
        <f t="shared" si="21"/>
        <v>5795076</v>
      </c>
      <c r="AB24" s="78">
        <f>ROUND(AVERAGE(H24,L24,N24,P24,R24),0)</f>
        <v>25516</v>
      </c>
      <c r="AC24" s="78">
        <f t="shared" si="22"/>
        <v>5817648</v>
      </c>
    </row>
    <row r="25" spans="2:29" s="2" customFormat="1" ht="40.5" customHeight="1" x14ac:dyDescent="0.3">
      <c r="B25" s="25">
        <v>13</v>
      </c>
      <c r="C25" s="34" t="s">
        <v>82</v>
      </c>
      <c r="D25" s="35" t="s">
        <v>69</v>
      </c>
      <c r="E25" s="36">
        <v>290</v>
      </c>
      <c r="F25" s="51">
        <v>34000</v>
      </c>
      <c r="G25" s="51">
        <f t="shared" si="0"/>
        <v>9860000</v>
      </c>
      <c r="H25" s="51">
        <v>32150</v>
      </c>
      <c r="I25" s="51">
        <f t="shared" si="1"/>
        <v>9323500</v>
      </c>
      <c r="J25" s="51">
        <v>55000</v>
      </c>
      <c r="K25" s="51">
        <f t="shared" si="2"/>
        <v>15950000</v>
      </c>
      <c r="L25" s="51">
        <v>32000</v>
      </c>
      <c r="M25" s="51">
        <f t="shared" si="3"/>
        <v>9280000</v>
      </c>
      <c r="N25" s="51">
        <v>34120</v>
      </c>
      <c r="O25" s="51">
        <f t="shared" si="4"/>
        <v>9894800</v>
      </c>
      <c r="P25" s="51">
        <v>34000</v>
      </c>
      <c r="Q25" s="51">
        <f t="shared" si="5"/>
        <v>9860000</v>
      </c>
      <c r="R25" s="51">
        <v>31800</v>
      </c>
      <c r="S25" s="51">
        <f t="shared" si="6"/>
        <v>9222000</v>
      </c>
      <c r="T25" s="70">
        <f t="shared" si="7"/>
        <v>25625</v>
      </c>
      <c r="U25" s="70">
        <f t="shared" si="8"/>
        <v>42375</v>
      </c>
      <c r="V25" s="70">
        <f t="shared" si="9"/>
        <v>7431280</v>
      </c>
      <c r="W25" s="70">
        <f t="shared" si="10"/>
        <v>12288720</v>
      </c>
      <c r="X25" s="77">
        <f>ROUND(HARMEAN(F25,H25,L25,N25,P25,R25),0)</f>
        <v>32979</v>
      </c>
      <c r="Y25" s="77">
        <f t="shared" si="11"/>
        <v>9563910</v>
      </c>
      <c r="Z25" s="78">
        <f>ROUND(GEOMEAN(F25,H25,L25,N25,P25,R25),0)</f>
        <v>32995</v>
      </c>
      <c r="AA25" s="78">
        <f t="shared" si="12"/>
        <v>9568550</v>
      </c>
      <c r="AB25" s="78">
        <f>ROUND(AVERAGE(F25,H25,L25,N25,P25,R25),0)</f>
        <v>33012</v>
      </c>
      <c r="AC25" s="78">
        <f t="shared" si="13"/>
        <v>9573480</v>
      </c>
    </row>
    <row r="26" spans="2:29" s="2" customFormat="1" ht="40.5" customHeight="1" x14ac:dyDescent="0.3">
      <c r="B26" s="25">
        <v>14</v>
      </c>
      <c r="C26" s="34" t="s">
        <v>83</v>
      </c>
      <c r="D26" s="35" t="s">
        <v>72</v>
      </c>
      <c r="E26" s="36">
        <v>360</v>
      </c>
      <c r="F26" s="51">
        <v>20400</v>
      </c>
      <c r="G26" s="51">
        <f t="shared" si="0"/>
        <v>7344000</v>
      </c>
      <c r="H26" s="51">
        <v>22460</v>
      </c>
      <c r="I26" s="51">
        <f t="shared" si="1"/>
        <v>8085600</v>
      </c>
      <c r="J26" s="51">
        <v>33000</v>
      </c>
      <c r="K26" s="51">
        <f t="shared" si="2"/>
        <v>11880000</v>
      </c>
      <c r="L26" s="51">
        <v>22000</v>
      </c>
      <c r="M26" s="51">
        <f t="shared" si="3"/>
        <v>7920000</v>
      </c>
      <c r="N26" s="51">
        <v>22800</v>
      </c>
      <c r="O26" s="51">
        <f t="shared" si="4"/>
        <v>8208000</v>
      </c>
      <c r="P26" s="51">
        <v>24000</v>
      </c>
      <c r="Q26" s="51">
        <f t="shared" si="5"/>
        <v>8640000</v>
      </c>
      <c r="R26" s="51">
        <v>21600</v>
      </c>
      <c r="S26" s="51">
        <f t="shared" si="6"/>
        <v>7776000</v>
      </c>
      <c r="T26" s="70">
        <f t="shared" si="7"/>
        <v>18235</v>
      </c>
      <c r="U26" s="70">
        <f t="shared" si="8"/>
        <v>26685</v>
      </c>
      <c r="V26" s="70">
        <f t="shared" si="9"/>
        <v>6564633</v>
      </c>
      <c r="W26" s="70">
        <f t="shared" si="10"/>
        <v>9606567</v>
      </c>
      <c r="X26" s="77">
        <f>ROUND(HARMEAN(F26,H26,L26,N26,P26,R26),0)</f>
        <v>22155</v>
      </c>
      <c r="Y26" s="77">
        <f t="shared" si="11"/>
        <v>7975800</v>
      </c>
      <c r="Z26" s="78">
        <f>ROUND(GEOMEAN(F26,H26,L26,N26,P26,R26),0)</f>
        <v>22182</v>
      </c>
      <c r="AA26" s="78">
        <f t="shared" si="12"/>
        <v>7985520</v>
      </c>
      <c r="AB26" s="78">
        <f>ROUND(AVERAGE(F26,H26,L26,N26,P26,R26),0)</f>
        <v>22210</v>
      </c>
      <c r="AC26" s="78">
        <f t="shared" si="13"/>
        <v>7995600</v>
      </c>
    </row>
    <row r="27" spans="2:29" s="2" customFormat="1" ht="40.5" customHeight="1" x14ac:dyDescent="0.3">
      <c r="B27" s="25">
        <v>15</v>
      </c>
      <c r="C27" s="34" t="s">
        <v>84</v>
      </c>
      <c r="D27" s="35" t="s">
        <v>69</v>
      </c>
      <c r="E27" s="36">
        <f>E18</f>
        <v>290</v>
      </c>
      <c r="F27" s="51">
        <v>45000</v>
      </c>
      <c r="G27" s="51">
        <f t="shared" si="0"/>
        <v>13050000</v>
      </c>
      <c r="H27" s="51">
        <v>41680</v>
      </c>
      <c r="I27" s="51">
        <f t="shared" si="1"/>
        <v>12087200</v>
      </c>
      <c r="J27" s="51">
        <v>49865</v>
      </c>
      <c r="K27" s="51">
        <f t="shared" si="2"/>
        <v>14460850</v>
      </c>
      <c r="L27" s="51">
        <v>37600</v>
      </c>
      <c r="M27" s="51">
        <f t="shared" si="3"/>
        <v>10904000</v>
      </c>
      <c r="N27" s="51">
        <v>44100</v>
      </c>
      <c r="O27" s="51">
        <f t="shared" si="4"/>
        <v>12789000</v>
      </c>
      <c r="P27" s="51">
        <v>41200</v>
      </c>
      <c r="Q27" s="51">
        <f t="shared" si="5"/>
        <v>11948000</v>
      </c>
      <c r="R27" s="51">
        <v>42000</v>
      </c>
      <c r="S27" s="51">
        <f t="shared" si="6"/>
        <v>12180000</v>
      </c>
      <c r="T27" s="70">
        <f t="shared" si="7"/>
        <v>38182</v>
      </c>
      <c r="U27" s="70">
        <f t="shared" si="8"/>
        <v>45818</v>
      </c>
      <c r="V27" s="70">
        <f t="shared" si="9"/>
        <v>11072846</v>
      </c>
      <c r="W27" s="70">
        <f t="shared" si="10"/>
        <v>13287154</v>
      </c>
      <c r="X27" s="77">
        <f>ROUND(HARMEAN(F27,H27,N27,P27,R27),0)</f>
        <v>42745</v>
      </c>
      <c r="Y27" s="77">
        <f t="shared" si="11"/>
        <v>12396050</v>
      </c>
      <c r="Z27" s="78">
        <f>ROUND(GEOMEAN(F27,H27,N27,P27,R27),0)</f>
        <v>42771</v>
      </c>
      <c r="AA27" s="78">
        <f t="shared" si="12"/>
        <v>12403590</v>
      </c>
      <c r="AB27" s="78">
        <f>ROUND(AVERAGE(F27,H27,N27,P27,R27),0)</f>
        <v>42796</v>
      </c>
      <c r="AC27" s="78">
        <f t="shared" si="13"/>
        <v>12410840</v>
      </c>
    </row>
    <row r="28" spans="2:29" s="2" customFormat="1" ht="40.5" customHeight="1" x14ac:dyDescent="0.3">
      <c r="B28" s="25">
        <v>16</v>
      </c>
      <c r="C28" s="34" t="s">
        <v>85</v>
      </c>
      <c r="D28" s="35" t="s">
        <v>72</v>
      </c>
      <c r="E28" s="36">
        <f>E24</f>
        <v>228</v>
      </c>
      <c r="F28" s="51">
        <v>27000</v>
      </c>
      <c r="G28" s="51">
        <f t="shared" si="0"/>
        <v>6156000</v>
      </c>
      <c r="H28" s="51">
        <v>30150</v>
      </c>
      <c r="I28" s="51">
        <f t="shared" si="1"/>
        <v>6874200</v>
      </c>
      <c r="J28" s="51">
        <v>29919</v>
      </c>
      <c r="K28" s="51">
        <f t="shared" si="2"/>
        <v>6821532</v>
      </c>
      <c r="L28" s="51">
        <v>24000</v>
      </c>
      <c r="M28" s="51">
        <f t="shared" si="3"/>
        <v>5472000</v>
      </c>
      <c r="N28" s="51">
        <v>27000</v>
      </c>
      <c r="O28" s="51">
        <f t="shared" si="4"/>
        <v>6156000</v>
      </c>
      <c r="P28" s="51">
        <v>26000</v>
      </c>
      <c r="Q28" s="51">
        <f t="shared" si="5"/>
        <v>5928000</v>
      </c>
      <c r="R28" s="51">
        <v>28000</v>
      </c>
      <c r="S28" s="51">
        <f t="shared" si="6"/>
        <v>6384000</v>
      </c>
      <c r="T28" s="70">
        <f t="shared" si="7"/>
        <v>24836</v>
      </c>
      <c r="U28" s="70">
        <f t="shared" si="8"/>
        <v>29164</v>
      </c>
      <c r="V28" s="70">
        <f t="shared" si="9"/>
        <v>5662607</v>
      </c>
      <c r="W28" s="70">
        <f t="shared" si="10"/>
        <v>6649393</v>
      </c>
      <c r="X28" s="77">
        <f>ROUND(HARMEAN(F28,N28,P28,R28),0)</f>
        <v>26981</v>
      </c>
      <c r="Y28" s="77">
        <f t="shared" si="11"/>
        <v>6151668</v>
      </c>
      <c r="Z28" s="78">
        <f>ROUND(GEOMEAN(F28,N28,P28,R28),0)</f>
        <v>26991</v>
      </c>
      <c r="AA28" s="78">
        <f t="shared" si="12"/>
        <v>6153948</v>
      </c>
      <c r="AB28" s="78">
        <f>ROUND(AVERAGE(F28,N28,P28,R28),0)</f>
        <v>27000</v>
      </c>
      <c r="AC28" s="78">
        <f t="shared" si="13"/>
        <v>6156000</v>
      </c>
    </row>
    <row r="29" spans="2:29" s="2" customFormat="1" ht="40.5" customHeight="1" x14ac:dyDescent="0.3">
      <c r="B29" s="25">
        <v>17</v>
      </c>
      <c r="C29" s="34" t="s">
        <v>86</v>
      </c>
      <c r="D29" s="35" t="s">
        <v>72</v>
      </c>
      <c r="E29" s="36">
        <f>+E28*2</f>
        <v>456</v>
      </c>
      <c r="F29" s="51">
        <v>9800</v>
      </c>
      <c r="G29" s="51">
        <f t="shared" si="0"/>
        <v>4468800</v>
      </c>
      <c r="H29" s="51">
        <v>14100</v>
      </c>
      <c r="I29" s="51">
        <f t="shared" si="1"/>
        <v>6429600</v>
      </c>
      <c r="J29" s="51">
        <v>29919</v>
      </c>
      <c r="K29" s="51">
        <f t="shared" si="2"/>
        <v>13643064</v>
      </c>
      <c r="L29" s="51">
        <v>11000</v>
      </c>
      <c r="M29" s="51">
        <f t="shared" si="3"/>
        <v>5016000</v>
      </c>
      <c r="N29" s="51">
        <v>10900</v>
      </c>
      <c r="O29" s="51">
        <f t="shared" si="4"/>
        <v>4970400</v>
      </c>
      <c r="P29" s="51">
        <v>12000</v>
      </c>
      <c r="Q29" s="51">
        <f t="shared" si="5"/>
        <v>5472000</v>
      </c>
      <c r="R29" s="51">
        <v>10000</v>
      </c>
      <c r="S29" s="51">
        <f t="shared" si="6"/>
        <v>4560000</v>
      </c>
      <c r="T29" s="70">
        <f t="shared" si="7"/>
        <v>3816</v>
      </c>
      <c r="U29" s="70">
        <f t="shared" si="8"/>
        <v>18184</v>
      </c>
      <c r="V29" s="70">
        <f t="shared" si="9"/>
        <v>1740074</v>
      </c>
      <c r="W29" s="70">
        <f t="shared" si="10"/>
        <v>8291926</v>
      </c>
      <c r="X29" s="77">
        <f>ROUND(HARMEAN(F29,H29,L29,N29,P29,R29),0)</f>
        <v>11133</v>
      </c>
      <c r="Y29" s="77">
        <f t="shared" si="11"/>
        <v>5076648</v>
      </c>
      <c r="Z29" s="78">
        <f>ROUND(GEOMEAN(F29,H29,L29,N29,P29,R29),0)</f>
        <v>11213</v>
      </c>
      <c r="AA29" s="78">
        <f t="shared" si="12"/>
        <v>5113128</v>
      </c>
      <c r="AB29" s="78">
        <f>ROUND(AVERAGE(F29,H29,L29,N29,P29,R29),0)</f>
        <v>11300</v>
      </c>
      <c r="AC29" s="78">
        <f t="shared" si="13"/>
        <v>5152800</v>
      </c>
    </row>
    <row r="30" spans="2:29" s="2" customFormat="1" ht="40.5" customHeight="1" x14ac:dyDescent="0.3">
      <c r="B30" s="25">
        <v>18</v>
      </c>
      <c r="C30" s="34" t="s">
        <v>87</v>
      </c>
      <c r="D30" s="39" t="s">
        <v>69</v>
      </c>
      <c r="E30" s="36">
        <f>E21</f>
        <v>4</v>
      </c>
      <c r="F30" s="51">
        <v>55500</v>
      </c>
      <c r="G30" s="51">
        <f t="shared" si="0"/>
        <v>222000</v>
      </c>
      <c r="H30" s="51">
        <v>67821</v>
      </c>
      <c r="I30" s="51">
        <f t="shared" si="1"/>
        <v>271284</v>
      </c>
      <c r="J30" s="51">
        <v>65890</v>
      </c>
      <c r="K30" s="51">
        <f t="shared" si="2"/>
        <v>263560</v>
      </c>
      <c r="L30" s="51">
        <v>70000</v>
      </c>
      <c r="M30" s="51">
        <f t="shared" si="3"/>
        <v>280000</v>
      </c>
      <c r="N30" s="51">
        <v>68000</v>
      </c>
      <c r="O30" s="51">
        <f t="shared" si="4"/>
        <v>272000</v>
      </c>
      <c r="P30" s="51">
        <v>62000</v>
      </c>
      <c r="Q30" s="51">
        <f t="shared" si="5"/>
        <v>248000</v>
      </c>
      <c r="R30" s="51">
        <v>60000</v>
      </c>
      <c r="S30" s="51">
        <f t="shared" si="6"/>
        <v>240000</v>
      </c>
      <c r="T30" s="70">
        <f t="shared" si="7"/>
        <v>60690</v>
      </c>
      <c r="U30" s="70">
        <f t="shared" si="8"/>
        <v>71090</v>
      </c>
      <c r="V30" s="70">
        <f t="shared" si="9"/>
        <v>242762</v>
      </c>
      <c r="W30" s="70">
        <f t="shared" si="10"/>
        <v>284358</v>
      </c>
      <c r="X30" s="77">
        <f>ROUND(HARMEAN(H30,J30,L30,N30,P30),0)</f>
        <v>66629</v>
      </c>
      <c r="Y30" s="77">
        <f t="shared" si="11"/>
        <v>266516</v>
      </c>
      <c r="Z30" s="78">
        <f>ROUND(GEOMEAN(H30,J30,L30,N30,P30),0)</f>
        <v>66686</v>
      </c>
      <c r="AA30" s="78">
        <f t="shared" si="12"/>
        <v>266744</v>
      </c>
      <c r="AB30" s="78">
        <f>ROUND(AVERAGE(H30,J30,L30,N30,P30),0)</f>
        <v>66742</v>
      </c>
      <c r="AC30" s="78">
        <f t="shared" si="13"/>
        <v>266968</v>
      </c>
    </row>
    <row r="31" spans="2:29" s="2" customFormat="1" ht="40.5" customHeight="1" x14ac:dyDescent="0.3">
      <c r="B31" s="25">
        <v>19</v>
      </c>
      <c r="C31" s="34" t="s">
        <v>88</v>
      </c>
      <c r="D31" s="39" t="s">
        <v>72</v>
      </c>
      <c r="E31" s="36">
        <f>E34</f>
        <v>615</v>
      </c>
      <c r="F31" s="51">
        <v>30500</v>
      </c>
      <c r="G31" s="51">
        <f t="shared" si="0"/>
        <v>18757500</v>
      </c>
      <c r="H31" s="51">
        <v>37846</v>
      </c>
      <c r="I31" s="51">
        <f t="shared" si="1"/>
        <v>23275290</v>
      </c>
      <c r="J31" s="51">
        <v>39534</v>
      </c>
      <c r="K31" s="51">
        <f t="shared" si="2"/>
        <v>24313410</v>
      </c>
      <c r="L31" s="51">
        <v>49000</v>
      </c>
      <c r="M31" s="51">
        <f t="shared" si="3"/>
        <v>30135000</v>
      </c>
      <c r="N31" s="51">
        <v>37100</v>
      </c>
      <c r="O31" s="51">
        <f t="shared" si="4"/>
        <v>22816500</v>
      </c>
      <c r="P31" s="51">
        <v>36100</v>
      </c>
      <c r="Q31" s="51">
        <f t="shared" si="5"/>
        <v>22201500</v>
      </c>
      <c r="R31" s="51">
        <v>37520</v>
      </c>
      <c r="S31" s="51">
        <f t="shared" si="6"/>
        <v>23074800</v>
      </c>
      <c r="T31" s="70">
        <f t="shared" si="7"/>
        <v>31984</v>
      </c>
      <c r="U31" s="70">
        <f t="shared" si="8"/>
        <v>43056</v>
      </c>
      <c r="V31" s="70">
        <f t="shared" si="9"/>
        <v>19669903</v>
      </c>
      <c r="W31" s="70">
        <f t="shared" si="10"/>
        <v>26479697</v>
      </c>
      <c r="X31" s="77">
        <f>ROUND(HARMEAN(H31,J31,N31,P31,R31),0)</f>
        <v>37587</v>
      </c>
      <c r="Y31" s="77">
        <f t="shared" si="11"/>
        <v>23116005</v>
      </c>
      <c r="Z31" s="78">
        <f>ROUND(GEOMEAN(H31,J31,N31,P31,R31),0)</f>
        <v>37603</v>
      </c>
      <c r="AA31" s="78">
        <f t="shared" si="12"/>
        <v>23125845</v>
      </c>
      <c r="AB31" s="78">
        <f>ROUND(AVERAGE(H31,J31,N31,P31,R31),0)</f>
        <v>37620</v>
      </c>
      <c r="AC31" s="78">
        <f t="shared" si="13"/>
        <v>23136300</v>
      </c>
    </row>
    <row r="32" spans="2:29" s="2" customFormat="1" ht="40.5" customHeight="1" x14ac:dyDescent="0.3">
      <c r="B32" s="25">
        <v>20</v>
      </c>
      <c r="C32" s="34" t="s">
        <v>89</v>
      </c>
      <c r="D32" s="39" t="s">
        <v>69</v>
      </c>
      <c r="E32" s="36">
        <f>E30</f>
        <v>4</v>
      </c>
      <c r="F32" s="51">
        <v>45000</v>
      </c>
      <c r="G32" s="51">
        <f t="shared" si="0"/>
        <v>180000</v>
      </c>
      <c r="H32" s="51">
        <v>35000</v>
      </c>
      <c r="I32" s="51">
        <f t="shared" si="1"/>
        <v>140000</v>
      </c>
      <c r="J32" s="51">
        <v>48956</v>
      </c>
      <c r="K32" s="51">
        <f t="shared" si="2"/>
        <v>195824</v>
      </c>
      <c r="L32" s="51">
        <v>28000</v>
      </c>
      <c r="M32" s="51">
        <f t="shared" si="3"/>
        <v>112000</v>
      </c>
      <c r="N32" s="51">
        <v>26000</v>
      </c>
      <c r="O32" s="51">
        <f t="shared" si="4"/>
        <v>104000</v>
      </c>
      <c r="P32" s="51">
        <v>29000</v>
      </c>
      <c r="Q32" s="51">
        <f t="shared" si="5"/>
        <v>116000</v>
      </c>
      <c r="R32" s="51">
        <v>25140</v>
      </c>
      <c r="S32" s="51">
        <f t="shared" si="6"/>
        <v>100560</v>
      </c>
      <c r="T32" s="70">
        <f t="shared" si="7"/>
        <v>19434</v>
      </c>
      <c r="U32" s="70">
        <f t="shared" si="8"/>
        <v>38566</v>
      </c>
      <c r="V32" s="70">
        <f t="shared" si="9"/>
        <v>77735</v>
      </c>
      <c r="W32" s="70">
        <f t="shared" si="10"/>
        <v>154265</v>
      </c>
      <c r="X32" s="77">
        <f>ROUND(HARMEAN(H32,L32,N32,P32,R32),0)</f>
        <v>28247</v>
      </c>
      <c r="Y32" s="77">
        <f t="shared" si="11"/>
        <v>112988</v>
      </c>
      <c r="Z32" s="78">
        <f>ROUND(GEOMEAN(H32,L32,N32,P32,R32),0)</f>
        <v>28431</v>
      </c>
      <c r="AA32" s="78">
        <f t="shared" si="12"/>
        <v>113724</v>
      </c>
      <c r="AB32" s="78">
        <f>ROUND(AVERAGE(H32,L32,N32,P32,R32),0)</f>
        <v>28628</v>
      </c>
      <c r="AC32" s="78">
        <f t="shared" si="13"/>
        <v>114512</v>
      </c>
    </row>
    <row r="33" spans="2:29" s="2" customFormat="1" ht="40.5" customHeight="1" x14ac:dyDescent="0.3">
      <c r="B33" s="25">
        <v>21</v>
      </c>
      <c r="C33" s="34" t="s">
        <v>90</v>
      </c>
      <c r="D33" s="39" t="s">
        <v>69</v>
      </c>
      <c r="E33" s="36">
        <f>E30</f>
        <v>4</v>
      </c>
      <c r="F33" s="51">
        <v>49000</v>
      </c>
      <c r="G33" s="51">
        <f t="shared" si="0"/>
        <v>196000</v>
      </c>
      <c r="H33" s="51">
        <v>34000</v>
      </c>
      <c r="I33" s="51">
        <f t="shared" si="1"/>
        <v>136000</v>
      </c>
      <c r="J33" s="51">
        <v>289562</v>
      </c>
      <c r="K33" s="51">
        <f t="shared" si="2"/>
        <v>1158248</v>
      </c>
      <c r="L33" s="51">
        <v>35000</v>
      </c>
      <c r="M33" s="51">
        <f t="shared" si="3"/>
        <v>140000</v>
      </c>
      <c r="N33" s="51">
        <v>36000</v>
      </c>
      <c r="O33" s="51">
        <f t="shared" si="4"/>
        <v>144000</v>
      </c>
      <c r="P33" s="51">
        <v>28000</v>
      </c>
      <c r="Q33" s="51">
        <f t="shared" si="5"/>
        <v>112000</v>
      </c>
      <c r="R33" s="51">
        <v>27460</v>
      </c>
      <c r="S33" s="51">
        <f t="shared" si="6"/>
        <v>109840</v>
      </c>
      <c r="T33" s="70">
        <f>ROUND(MEDIAN(F33,H33,L33,N33,P33,R33)-STDEVA(F33,H33,L33,N33,P33,R33),0)</f>
        <v>26705</v>
      </c>
      <c r="U33" s="70">
        <f>ROUND(MEDIAN(F33,H33,L33,N33,P33,R33)+STDEVA(F33,H33,L33,N33,P33,R33),0)</f>
        <v>42295</v>
      </c>
      <c r="V33" s="70">
        <f>ROUND(MEDIAN(G33,I33,M33,O33,Q33,S33)-STDEVA(G33,I33,M33,O33,Q33,S33),0)</f>
        <v>106820</v>
      </c>
      <c r="W33" s="70">
        <f>ROUND(MEDIAN(G33,I33,M33,O33,Q33,S33)+STDEVA(G33,I33,M33,O33,Q33,S33),0)</f>
        <v>169180</v>
      </c>
      <c r="X33" s="77">
        <f>ROUND(HARMEAN(H33,L33,N33,P33,R33),0)</f>
        <v>31667</v>
      </c>
      <c r="Y33" s="77">
        <f t="shared" ref="Y33" si="23">X33*E33</f>
        <v>126668</v>
      </c>
      <c r="Z33" s="78">
        <f>ROUND(GEOMEAN(H33,L33,N33,P33,R33),0)</f>
        <v>31882</v>
      </c>
      <c r="AA33" s="78">
        <f t="shared" ref="AA33" si="24">Z33*E33</f>
        <v>127528</v>
      </c>
      <c r="AB33" s="78">
        <f>ROUND(AVERAGE(H33,L33,N33,P33,R33),0)</f>
        <v>32092</v>
      </c>
      <c r="AC33" s="78">
        <f t="shared" ref="AC33" si="25">AB33*E33</f>
        <v>128368</v>
      </c>
    </row>
    <row r="34" spans="2:29" s="2" customFormat="1" ht="40.5" customHeight="1" x14ac:dyDescent="0.3">
      <c r="B34" s="25">
        <v>22</v>
      </c>
      <c r="C34" s="34" t="s">
        <v>91</v>
      </c>
      <c r="D34" s="35" t="s">
        <v>72</v>
      </c>
      <c r="E34" s="36">
        <f>E19</f>
        <v>615</v>
      </c>
      <c r="F34" s="51">
        <v>75000</v>
      </c>
      <c r="G34" s="51">
        <f t="shared" si="0"/>
        <v>46125000</v>
      </c>
      <c r="H34" s="51">
        <v>160520</v>
      </c>
      <c r="I34" s="51">
        <f t="shared" si="1"/>
        <v>98719800</v>
      </c>
      <c r="J34" s="51">
        <v>135000</v>
      </c>
      <c r="K34" s="51">
        <f t="shared" si="2"/>
        <v>83025000</v>
      </c>
      <c r="L34" s="51">
        <v>164000</v>
      </c>
      <c r="M34" s="51">
        <f t="shared" si="3"/>
        <v>100860000</v>
      </c>
      <c r="N34" s="51">
        <v>168000</v>
      </c>
      <c r="O34" s="51">
        <f t="shared" si="4"/>
        <v>103320000</v>
      </c>
      <c r="P34" s="51">
        <v>156000</v>
      </c>
      <c r="Q34" s="51">
        <f t="shared" si="5"/>
        <v>95940000</v>
      </c>
      <c r="R34" s="51">
        <v>162920</v>
      </c>
      <c r="S34" s="51">
        <f t="shared" si="6"/>
        <v>100195800</v>
      </c>
      <c r="T34" s="70">
        <f t="shared" si="7"/>
        <v>127437</v>
      </c>
      <c r="U34" s="70">
        <f t="shared" si="8"/>
        <v>193603</v>
      </c>
      <c r="V34" s="70">
        <f t="shared" si="9"/>
        <v>78373503</v>
      </c>
      <c r="W34" s="70">
        <f t="shared" si="10"/>
        <v>119066097</v>
      </c>
      <c r="X34" s="77">
        <f>ROUND(HARMEAN(H34,J34,L34,N34,P34,R34),0)</f>
        <v>156923</v>
      </c>
      <c r="Y34" s="77">
        <f t="shared" si="11"/>
        <v>96507645</v>
      </c>
      <c r="Z34" s="78">
        <f>ROUND(GEOMEAN(H34,J34,L34,N34,P34,R34),0)</f>
        <v>157345</v>
      </c>
      <c r="AA34" s="78">
        <f t="shared" si="12"/>
        <v>96767175</v>
      </c>
      <c r="AB34" s="78">
        <f>ROUND(AVERAGE(H34,J34,L34,N34,P34,R34),0)</f>
        <v>157740</v>
      </c>
      <c r="AC34" s="78">
        <f t="shared" si="13"/>
        <v>97010100</v>
      </c>
    </row>
    <row r="35" spans="2:29" s="2" customFormat="1" ht="40.5" customHeight="1" x14ac:dyDescent="0.3">
      <c r="B35" s="25">
        <v>23</v>
      </c>
      <c r="C35" s="34" t="s">
        <v>92</v>
      </c>
      <c r="D35" s="35" t="s">
        <v>72</v>
      </c>
      <c r="E35" s="36">
        <f>E34</f>
        <v>615</v>
      </c>
      <c r="F35" s="51">
        <v>30000</v>
      </c>
      <c r="G35" s="51">
        <f t="shared" si="0"/>
        <v>18450000</v>
      </c>
      <c r="H35" s="51">
        <v>44190</v>
      </c>
      <c r="I35" s="51">
        <f t="shared" si="1"/>
        <v>27176850</v>
      </c>
      <c r="J35" s="51">
        <v>75000</v>
      </c>
      <c r="K35" s="51">
        <f t="shared" si="2"/>
        <v>46125000</v>
      </c>
      <c r="L35" s="51">
        <v>37180</v>
      </c>
      <c r="M35" s="51">
        <f t="shared" si="3"/>
        <v>22865700</v>
      </c>
      <c r="N35" s="51">
        <v>40100</v>
      </c>
      <c r="O35" s="51">
        <f t="shared" si="4"/>
        <v>24661500</v>
      </c>
      <c r="P35" s="51">
        <v>36000</v>
      </c>
      <c r="Q35" s="51">
        <f t="shared" si="5"/>
        <v>22140000</v>
      </c>
      <c r="R35" s="51">
        <v>34180</v>
      </c>
      <c r="S35" s="51">
        <f t="shared" si="6"/>
        <v>21020700</v>
      </c>
      <c r="T35" s="70">
        <f t="shared" si="7"/>
        <v>22120</v>
      </c>
      <c r="U35" s="70">
        <f t="shared" si="8"/>
        <v>52240</v>
      </c>
      <c r="V35" s="70">
        <f t="shared" si="9"/>
        <v>13603915</v>
      </c>
      <c r="W35" s="70">
        <f t="shared" si="10"/>
        <v>32127485</v>
      </c>
      <c r="X35" s="77">
        <f>ROUND(HARMEAN(F35,H35,L35,N35,P35,R35),0)</f>
        <v>36401</v>
      </c>
      <c r="Y35" s="77">
        <f t="shared" si="11"/>
        <v>22386615</v>
      </c>
      <c r="Z35" s="78">
        <f>ROUND(GEOMEAN(F35,H35,L35,N35,P35,R35),0)</f>
        <v>36672</v>
      </c>
      <c r="AA35" s="78">
        <f t="shared" si="12"/>
        <v>22553280</v>
      </c>
      <c r="AB35" s="78">
        <f>ROUND(AVERAGE(F35,H35,L35,N35,P35,R35),0)</f>
        <v>36942</v>
      </c>
      <c r="AC35" s="78">
        <f t="shared" si="13"/>
        <v>22719330</v>
      </c>
    </row>
    <row r="36" spans="2:29" s="2" customFormat="1" ht="40.5" customHeight="1" x14ac:dyDescent="0.3">
      <c r="B36" s="25">
        <v>24</v>
      </c>
      <c r="C36" s="34" t="s">
        <v>93</v>
      </c>
      <c r="D36" s="35" t="s">
        <v>72</v>
      </c>
      <c r="E36" s="36">
        <v>190</v>
      </c>
      <c r="F36" s="51">
        <v>17500</v>
      </c>
      <c r="G36" s="51">
        <f t="shared" si="0"/>
        <v>3325000</v>
      </c>
      <c r="H36" s="51">
        <v>15980</v>
      </c>
      <c r="I36" s="51">
        <f t="shared" si="1"/>
        <v>3036200</v>
      </c>
      <c r="J36" s="51">
        <v>95000</v>
      </c>
      <c r="K36" s="51">
        <f t="shared" si="2"/>
        <v>18050000</v>
      </c>
      <c r="L36" s="51">
        <v>40000</v>
      </c>
      <c r="M36" s="51">
        <f t="shared" si="3"/>
        <v>7600000</v>
      </c>
      <c r="N36" s="51">
        <v>42000</v>
      </c>
      <c r="O36" s="51">
        <f t="shared" si="4"/>
        <v>7980000</v>
      </c>
      <c r="P36" s="51">
        <v>36000</v>
      </c>
      <c r="Q36" s="51">
        <f t="shared" si="5"/>
        <v>6840000</v>
      </c>
      <c r="R36" s="51">
        <v>35000</v>
      </c>
      <c r="S36" s="51">
        <f t="shared" si="6"/>
        <v>6650000</v>
      </c>
      <c r="T36" s="70">
        <f t="shared" si="7"/>
        <v>9691</v>
      </c>
      <c r="U36" s="70">
        <f t="shared" si="8"/>
        <v>62309</v>
      </c>
      <c r="V36" s="70">
        <f t="shared" si="9"/>
        <v>1841340</v>
      </c>
      <c r="W36" s="70">
        <f t="shared" si="10"/>
        <v>11838660</v>
      </c>
      <c r="X36" s="77">
        <f>ROUND(HARMEAN(F36,H36,L36,N36,P36,R36),0)</f>
        <v>26681</v>
      </c>
      <c r="Y36" s="77">
        <f t="shared" ref="Y36" si="26">X36*E36</f>
        <v>5069390</v>
      </c>
      <c r="Z36" s="78">
        <f>ROUND(GEOMEAN(F36,H36,L36,N36,P36,R36),0)</f>
        <v>28977</v>
      </c>
      <c r="AA36" s="78">
        <f t="shared" ref="AA36" si="27">Z36*E36</f>
        <v>5505630</v>
      </c>
      <c r="AB36" s="78">
        <f>ROUND(AVERAGE(F36,H36,L36,N36,P36,R36),0)</f>
        <v>31080</v>
      </c>
      <c r="AC36" s="78">
        <f t="shared" ref="AC36" si="28">AB36*E36</f>
        <v>5905200</v>
      </c>
    </row>
    <row r="37" spans="2:29" s="2" customFormat="1" ht="40.5" customHeight="1" x14ac:dyDescent="0.3">
      <c r="B37" s="25">
        <v>25</v>
      </c>
      <c r="C37" s="34" t="s">
        <v>94</v>
      </c>
      <c r="D37" s="35" t="s">
        <v>69</v>
      </c>
      <c r="E37" s="36">
        <v>1671</v>
      </c>
      <c r="F37" s="51">
        <v>16000</v>
      </c>
      <c r="G37" s="51">
        <f t="shared" si="0"/>
        <v>26736000</v>
      </c>
      <c r="H37" s="51">
        <v>51980</v>
      </c>
      <c r="I37" s="51">
        <f t="shared" si="1"/>
        <v>86858580</v>
      </c>
      <c r="J37" s="51">
        <v>195000</v>
      </c>
      <c r="K37" s="51">
        <f t="shared" si="2"/>
        <v>325845000</v>
      </c>
      <c r="L37" s="51">
        <v>49500</v>
      </c>
      <c r="M37" s="51">
        <f t="shared" si="3"/>
        <v>82714500</v>
      </c>
      <c r="N37" s="51">
        <v>49600</v>
      </c>
      <c r="O37" s="51">
        <f t="shared" si="4"/>
        <v>82881600</v>
      </c>
      <c r="P37" s="51">
        <v>47500</v>
      </c>
      <c r="Q37" s="51">
        <f t="shared" si="5"/>
        <v>79372500</v>
      </c>
      <c r="R37" s="51">
        <v>50900</v>
      </c>
      <c r="S37" s="51">
        <f t="shared" si="6"/>
        <v>85053900</v>
      </c>
      <c r="T37" s="70">
        <f>ROUND(MEDIAN(F37,H37,L37,N37,P37,R37)-STDEVA(F37,H37,L37,N37,P37,R37),0)</f>
        <v>35630</v>
      </c>
      <c r="U37" s="70">
        <f>ROUND(MEDIAN(F37,H37,L37,N37,P37,R37)+STDEVA(F37,H37,L37,N37,P37,R37),0)</f>
        <v>63470</v>
      </c>
      <c r="V37" s="70">
        <f>ROUND(MEDIAN(G37,I37,M37,O37,Q37,S37)-STDEVA(G37,I37,M37,O37,Q37,S37),0)</f>
        <v>59538290</v>
      </c>
      <c r="W37" s="70">
        <f>ROUND(MEDIAN(G37,I37,M37,O37,Q37,S37)+STDEVA(G37,I37,M37,O37,Q37,S37),0)</f>
        <v>106057810</v>
      </c>
      <c r="X37" s="77">
        <f>ROUND(HARMEAN(H37,L37,N37,P37,R37),0)</f>
        <v>49850</v>
      </c>
      <c r="Y37" s="77">
        <f t="shared" ref="Y37:Y40" si="29">X37*E37</f>
        <v>83299350</v>
      </c>
      <c r="Z37" s="78">
        <f t="shared" ref="Z37:Z40" si="30">ROUND(GEOMEAN(H37,L37,N37,P37,R37),0)</f>
        <v>49873</v>
      </c>
      <c r="AA37" s="78">
        <f t="shared" ref="AA37:AA40" si="31">Z37*E37</f>
        <v>83337783</v>
      </c>
      <c r="AB37" s="78">
        <f t="shared" ref="AB37:AB40" si="32">ROUND(AVERAGE(H37,L37,N37,P37,R37),0)</f>
        <v>49896</v>
      </c>
      <c r="AC37" s="78">
        <f t="shared" ref="AC37:AC40" si="33">AB37*E37</f>
        <v>83376216</v>
      </c>
    </row>
    <row r="38" spans="2:29" s="2" customFormat="1" ht="40.5" customHeight="1" x14ac:dyDescent="0.3">
      <c r="B38" s="25">
        <v>26</v>
      </c>
      <c r="C38" s="34" t="s">
        <v>95</v>
      </c>
      <c r="D38" s="35" t="s">
        <v>72</v>
      </c>
      <c r="E38" s="36">
        <v>490</v>
      </c>
      <c r="F38" s="51">
        <v>9600</v>
      </c>
      <c r="G38" s="51">
        <f t="shared" si="0"/>
        <v>4704000</v>
      </c>
      <c r="H38" s="51">
        <v>35640</v>
      </c>
      <c r="I38" s="51">
        <f t="shared" si="1"/>
        <v>17463600</v>
      </c>
      <c r="J38" s="51">
        <v>126750</v>
      </c>
      <c r="K38" s="51">
        <f t="shared" si="2"/>
        <v>62107500</v>
      </c>
      <c r="L38" s="51">
        <v>34820</v>
      </c>
      <c r="M38" s="51">
        <f t="shared" si="3"/>
        <v>17061800</v>
      </c>
      <c r="N38" s="51">
        <v>35200</v>
      </c>
      <c r="O38" s="51">
        <f t="shared" si="4"/>
        <v>17248000</v>
      </c>
      <c r="P38" s="51">
        <v>32800</v>
      </c>
      <c r="Q38" s="51">
        <f t="shared" si="5"/>
        <v>16072000</v>
      </c>
      <c r="R38" s="51">
        <v>35900</v>
      </c>
      <c r="S38" s="51">
        <f t="shared" si="6"/>
        <v>17591000</v>
      </c>
      <c r="T38" s="70">
        <f>ROUND(MEDIAN(F38,H38,L38,N38,P38,R38)-STDEVA(F38,H38,L38,N38,P38,R38),0)</f>
        <v>24634</v>
      </c>
      <c r="U38" s="70">
        <f t="shared" ref="U38:U40" si="34">ROUND(MEDIAN(F38,H38,L38,N38,P38,R38)+STDEVA(F38,H38,L38,N38,P38,R38),0)</f>
        <v>45386</v>
      </c>
      <c r="V38" s="70">
        <f t="shared" ref="V38:V39" si="35">ROUND(MEDIAN(G38,I38,M38,O38,Q38,S38)-STDEVA(G38,I38,M38,O38,Q38,S38),0)</f>
        <v>12070794</v>
      </c>
      <c r="W38" s="70">
        <f t="shared" ref="W38:W39" si="36">ROUND(MEDIAN(G38,I38,M38,O38,Q38,S38)+STDEVA(G38,I38,M38,O38,Q38,S38),0)</f>
        <v>22239006</v>
      </c>
      <c r="X38" s="77">
        <f>ROUND(HARMEAN(H38,L38,N38,P38,R38),0)</f>
        <v>34836</v>
      </c>
      <c r="Y38" s="77">
        <f t="shared" si="29"/>
        <v>17069640</v>
      </c>
      <c r="Z38" s="78">
        <f t="shared" si="30"/>
        <v>34854</v>
      </c>
      <c r="AA38" s="78">
        <f t="shared" si="31"/>
        <v>17078460</v>
      </c>
      <c r="AB38" s="78">
        <f t="shared" si="32"/>
        <v>34872</v>
      </c>
      <c r="AC38" s="78">
        <f t="shared" si="33"/>
        <v>17087280</v>
      </c>
    </row>
    <row r="39" spans="2:29" s="2" customFormat="1" ht="40.5" customHeight="1" x14ac:dyDescent="0.3">
      <c r="B39" s="25">
        <v>27</v>
      </c>
      <c r="C39" s="34" t="s">
        <v>96</v>
      </c>
      <c r="D39" s="35" t="s">
        <v>69</v>
      </c>
      <c r="E39" s="36">
        <f>E37</f>
        <v>1671</v>
      </c>
      <c r="F39" s="51">
        <v>22000</v>
      </c>
      <c r="G39" s="51">
        <f t="shared" si="0"/>
        <v>36762000</v>
      </c>
      <c r="H39" s="51">
        <v>41600</v>
      </c>
      <c r="I39" s="51">
        <f t="shared" si="1"/>
        <v>69513600</v>
      </c>
      <c r="J39" s="51">
        <v>205000</v>
      </c>
      <c r="K39" s="51">
        <f t="shared" si="2"/>
        <v>342555000</v>
      </c>
      <c r="L39" s="51">
        <v>42150</v>
      </c>
      <c r="M39" s="51">
        <f t="shared" si="3"/>
        <v>70432650</v>
      </c>
      <c r="N39" s="51">
        <v>43500</v>
      </c>
      <c r="O39" s="51">
        <f t="shared" si="4"/>
        <v>72688500</v>
      </c>
      <c r="P39" s="51">
        <v>39500</v>
      </c>
      <c r="Q39" s="51">
        <f t="shared" si="5"/>
        <v>66004500</v>
      </c>
      <c r="R39" s="51">
        <v>42800</v>
      </c>
      <c r="S39" s="51">
        <f t="shared" si="6"/>
        <v>71518800</v>
      </c>
      <c r="T39" s="70">
        <f>ROUND(MEDIAN(F39,H39,L39,N39,P39,R39)-STDEVA(F39,H39,L39,N39,P39,R39),0)</f>
        <v>33633</v>
      </c>
      <c r="U39" s="70">
        <f t="shared" si="34"/>
        <v>50117</v>
      </c>
      <c r="V39" s="70">
        <f t="shared" si="35"/>
        <v>56201366</v>
      </c>
      <c r="W39" s="70">
        <f t="shared" si="36"/>
        <v>83744884</v>
      </c>
      <c r="X39" s="77">
        <f>ROUND(HARMEAN(H39,L39,N39,P39,R39),0)</f>
        <v>41865</v>
      </c>
      <c r="Y39" s="77">
        <f t="shared" si="29"/>
        <v>69956415</v>
      </c>
      <c r="Z39" s="78">
        <f t="shared" si="30"/>
        <v>41887</v>
      </c>
      <c r="AA39" s="78">
        <f t="shared" si="31"/>
        <v>69993177</v>
      </c>
      <c r="AB39" s="78">
        <f t="shared" si="32"/>
        <v>41910</v>
      </c>
      <c r="AC39" s="78">
        <f t="shared" si="33"/>
        <v>70031610</v>
      </c>
    </row>
    <row r="40" spans="2:29" s="2" customFormat="1" ht="40.5" customHeight="1" x14ac:dyDescent="0.3">
      <c r="B40" s="25">
        <v>28</v>
      </c>
      <c r="C40" s="34" t="s">
        <v>97</v>
      </c>
      <c r="D40" s="35" t="s">
        <v>72</v>
      </c>
      <c r="E40" s="36">
        <f>E38</f>
        <v>490</v>
      </c>
      <c r="F40" s="51">
        <v>13200</v>
      </c>
      <c r="G40" s="51">
        <f t="shared" si="0"/>
        <v>6468000</v>
      </c>
      <c r="H40" s="51">
        <v>31290</v>
      </c>
      <c r="I40" s="51">
        <f t="shared" si="1"/>
        <v>15332100</v>
      </c>
      <c r="J40" s="51">
        <v>143500</v>
      </c>
      <c r="K40" s="51">
        <f t="shared" si="2"/>
        <v>70315000</v>
      </c>
      <c r="L40" s="51">
        <v>26500</v>
      </c>
      <c r="M40" s="51">
        <f t="shared" si="3"/>
        <v>12985000</v>
      </c>
      <c r="N40" s="51">
        <v>32000</v>
      </c>
      <c r="O40" s="51">
        <f t="shared" si="4"/>
        <v>15680000</v>
      </c>
      <c r="P40" s="51">
        <v>26000</v>
      </c>
      <c r="Q40" s="51">
        <f t="shared" si="5"/>
        <v>12740000</v>
      </c>
      <c r="R40" s="51">
        <v>23150</v>
      </c>
      <c r="S40" s="51">
        <f t="shared" si="6"/>
        <v>11343500</v>
      </c>
      <c r="T40" s="70">
        <f>ROUND(MEDIAN(F40,H40,L40,N40,P40,R40)-STDEVA(F40,H40,L40,N40,P40,R40),0)</f>
        <v>19413</v>
      </c>
      <c r="U40" s="70">
        <f t="shared" si="34"/>
        <v>33087</v>
      </c>
      <c r="V40" s="70">
        <f>ROUND(MEDIAN(G40,I40,M40,O40,Q40,S40)-STDEVA(G40,I40,M40,O40,Q40,S40),0)</f>
        <v>9512438</v>
      </c>
      <c r="W40" s="70">
        <f>ROUND(MEDIAN(G40,I40,M40,O40,Q40,S40)+STDEVA(G40,I40,M40,O40,Q40,S40),0)</f>
        <v>16212562</v>
      </c>
      <c r="X40" s="77">
        <f>ROUND(HARMEAN(H40,L40,N40,P40,R40),0)</f>
        <v>27382</v>
      </c>
      <c r="Y40" s="77">
        <f t="shared" si="29"/>
        <v>13417180</v>
      </c>
      <c r="Z40" s="78">
        <f t="shared" si="30"/>
        <v>27585</v>
      </c>
      <c r="AA40" s="78">
        <f t="shared" si="31"/>
        <v>13516650</v>
      </c>
      <c r="AB40" s="78">
        <f t="shared" si="32"/>
        <v>27788</v>
      </c>
      <c r="AC40" s="78">
        <f t="shared" si="33"/>
        <v>13616120</v>
      </c>
    </row>
    <row r="41" spans="2:29" s="2" customFormat="1" ht="40.5" customHeight="1" x14ac:dyDescent="0.3">
      <c r="B41" s="25">
        <v>29</v>
      </c>
      <c r="C41" s="34" t="s">
        <v>98</v>
      </c>
      <c r="D41" s="35" t="s">
        <v>69</v>
      </c>
      <c r="E41" s="36">
        <f>E14</f>
        <v>4</v>
      </c>
      <c r="F41" s="51">
        <v>150000</v>
      </c>
      <c r="G41" s="51">
        <f t="shared" si="0"/>
        <v>600000</v>
      </c>
      <c r="H41" s="51">
        <v>240120</v>
      </c>
      <c r="I41" s="51">
        <f t="shared" si="1"/>
        <v>960480</v>
      </c>
      <c r="J41" s="51">
        <v>245000</v>
      </c>
      <c r="K41" s="51">
        <f t="shared" si="2"/>
        <v>980000</v>
      </c>
      <c r="L41" s="51">
        <v>218000</v>
      </c>
      <c r="M41" s="51">
        <f t="shared" si="3"/>
        <v>872000</v>
      </c>
      <c r="N41" s="51">
        <v>205000</v>
      </c>
      <c r="O41" s="51">
        <f t="shared" si="4"/>
        <v>820000</v>
      </c>
      <c r="P41" s="51">
        <v>232000</v>
      </c>
      <c r="Q41" s="51">
        <f t="shared" si="5"/>
        <v>928000</v>
      </c>
      <c r="R41" s="51">
        <v>198000</v>
      </c>
      <c r="S41" s="51">
        <f t="shared" si="6"/>
        <v>792000</v>
      </c>
      <c r="T41" s="70">
        <f t="shared" si="7"/>
        <v>185334</v>
      </c>
      <c r="U41" s="70">
        <f t="shared" si="8"/>
        <v>250666</v>
      </c>
      <c r="V41" s="70">
        <f t="shared" si="9"/>
        <v>741337</v>
      </c>
      <c r="W41" s="70">
        <f t="shared" si="10"/>
        <v>1002663</v>
      </c>
      <c r="X41" s="77">
        <f>ROUND(HARMEAN(H41,J41,L41,N41,P41,R41),0)</f>
        <v>221629</v>
      </c>
      <c r="Y41" s="77">
        <f t="shared" si="11"/>
        <v>886516</v>
      </c>
      <c r="Z41" s="78">
        <f>ROUND(GEOMEAN(H41,J41,L41,N41,P41,R41),0)</f>
        <v>222327</v>
      </c>
      <c r="AA41" s="78">
        <f t="shared" si="12"/>
        <v>889308</v>
      </c>
      <c r="AB41" s="78">
        <f>ROUND(AVERAGE(H41,J41,L41,N41,P41,R41),0)</f>
        <v>223020</v>
      </c>
      <c r="AC41" s="78">
        <f>AB41*E41</f>
        <v>892080</v>
      </c>
    </row>
    <row r="42" spans="2:29" s="2" customFormat="1" ht="40.5" customHeight="1" x14ac:dyDescent="0.3">
      <c r="B42" s="25">
        <v>30</v>
      </c>
      <c r="C42" s="34" t="s">
        <v>99</v>
      </c>
      <c r="D42" s="39" t="s">
        <v>72</v>
      </c>
      <c r="E42" s="36">
        <f>E41</f>
        <v>4</v>
      </c>
      <c r="F42" s="51">
        <v>90000</v>
      </c>
      <c r="G42" s="51">
        <f t="shared" si="0"/>
        <v>360000</v>
      </c>
      <c r="H42" s="51">
        <v>116780</v>
      </c>
      <c r="I42" s="51">
        <f t="shared" si="1"/>
        <v>467120</v>
      </c>
      <c r="J42" s="51">
        <v>159250</v>
      </c>
      <c r="K42" s="51">
        <f t="shared" si="2"/>
        <v>637000</v>
      </c>
      <c r="L42" s="51">
        <v>138000</v>
      </c>
      <c r="M42" s="51">
        <f t="shared" si="3"/>
        <v>552000</v>
      </c>
      <c r="N42" s="51">
        <v>140000</v>
      </c>
      <c r="O42" s="51">
        <f t="shared" si="4"/>
        <v>560000</v>
      </c>
      <c r="P42" s="51">
        <v>152000</v>
      </c>
      <c r="Q42" s="51">
        <f t="shared" si="5"/>
        <v>608000</v>
      </c>
      <c r="R42" s="51">
        <v>126000</v>
      </c>
      <c r="S42" s="51">
        <f t="shared" si="6"/>
        <v>504000</v>
      </c>
      <c r="T42" s="70">
        <f t="shared" si="7"/>
        <v>114642</v>
      </c>
      <c r="U42" s="70">
        <f t="shared" si="8"/>
        <v>161358</v>
      </c>
      <c r="V42" s="70">
        <f t="shared" si="9"/>
        <v>458567</v>
      </c>
      <c r="W42" s="70">
        <f t="shared" si="10"/>
        <v>645433</v>
      </c>
      <c r="X42" s="77">
        <f>ROUND(HARMEAN(H42,J42,L42,N42,P42,R42),0)</f>
        <v>137152</v>
      </c>
      <c r="Y42" s="77">
        <f t="shared" si="11"/>
        <v>548608</v>
      </c>
      <c r="Z42" s="78">
        <f>ROUND(GEOMEAN(H42,J42,L42,N42,P42,R42),0)</f>
        <v>137915</v>
      </c>
      <c r="AA42" s="78">
        <f t="shared" si="12"/>
        <v>551660</v>
      </c>
      <c r="AB42" s="78">
        <f>ROUND(AVERAGE(H42,J42,L42,N42,P42,R42),0)</f>
        <v>138672</v>
      </c>
      <c r="AC42" s="78">
        <f t="shared" si="13"/>
        <v>554688</v>
      </c>
    </row>
    <row r="43" spans="2:29" s="2" customFormat="1" ht="40.5" customHeight="1" x14ac:dyDescent="0.3">
      <c r="B43" s="25">
        <v>31</v>
      </c>
      <c r="C43" s="34" t="s">
        <v>100</v>
      </c>
      <c r="D43" s="35" t="s">
        <v>72</v>
      </c>
      <c r="E43" s="36">
        <v>240</v>
      </c>
      <c r="F43" s="51">
        <v>40000</v>
      </c>
      <c r="G43" s="51">
        <f t="shared" si="0"/>
        <v>9600000</v>
      </c>
      <c r="H43" s="51">
        <v>62600</v>
      </c>
      <c r="I43" s="51">
        <f t="shared" si="1"/>
        <v>15024000</v>
      </c>
      <c r="J43" s="51">
        <v>55600</v>
      </c>
      <c r="K43" s="51">
        <f t="shared" si="2"/>
        <v>13344000</v>
      </c>
      <c r="L43" s="51">
        <v>59600</v>
      </c>
      <c r="M43" s="51">
        <f t="shared" si="3"/>
        <v>14304000</v>
      </c>
      <c r="N43" s="51">
        <v>58100</v>
      </c>
      <c r="O43" s="51">
        <f t="shared" si="4"/>
        <v>13944000</v>
      </c>
      <c r="P43" s="51">
        <v>59000</v>
      </c>
      <c r="Q43" s="51">
        <f t="shared" si="5"/>
        <v>14160000</v>
      </c>
      <c r="R43" s="51">
        <v>58950</v>
      </c>
      <c r="S43" s="51">
        <f t="shared" si="6"/>
        <v>14148000</v>
      </c>
      <c r="T43" s="70">
        <f t="shared" si="7"/>
        <v>51486</v>
      </c>
      <c r="U43" s="70">
        <f t="shared" si="8"/>
        <v>66414</v>
      </c>
      <c r="V43" s="70">
        <f t="shared" si="9"/>
        <v>12356544</v>
      </c>
      <c r="W43" s="70">
        <f t="shared" si="10"/>
        <v>15939456</v>
      </c>
      <c r="X43" s="77">
        <f>ROUND(HARMEAN(H43,J43,L43,N43,P43,R43),0)</f>
        <v>58903</v>
      </c>
      <c r="Y43" s="77">
        <f t="shared" si="11"/>
        <v>14136720</v>
      </c>
      <c r="Z43" s="78">
        <f>ROUND(GEOMEAN(H43,J43,L43,N43,P43,R43),0)</f>
        <v>58939</v>
      </c>
      <c r="AA43" s="78">
        <f t="shared" si="12"/>
        <v>14145360</v>
      </c>
      <c r="AB43" s="78">
        <f>ROUND(AVERAGE(H43,J43,L43,N43,P43,R43),0)</f>
        <v>58975</v>
      </c>
      <c r="AC43" s="78">
        <f t="shared" si="13"/>
        <v>14154000</v>
      </c>
    </row>
    <row r="44" spans="2:29" s="2" customFormat="1" ht="40.5" customHeight="1" x14ac:dyDescent="0.3">
      <c r="B44" s="25">
        <v>32</v>
      </c>
      <c r="C44" s="41" t="s">
        <v>101</v>
      </c>
      <c r="D44" s="35" t="s">
        <v>72</v>
      </c>
      <c r="E44" s="36">
        <f>E34</f>
        <v>615</v>
      </c>
      <c r="F44" s="51">
        <v>5500</v>
      </c>
      <c r="G44" s="51">
        <f t="shared" si="0"/>
        <v>3382500</v>
      </c>
      <c r="H44" s="51">
        <v>12000</v>
      </c>
      <c r="I44" s="51">
        <f t="shared" si="1"/>
        <v>7380000</v>
      </c>
      <c r="J44" s="51">
        <v>45000</v>
      </c>
      <c r="K44" s="51">
        <f t="shared" si="2"/>
        <v>27675000</v>
      </c>
      <c r="L44" s="51">
        <v>13500</v>
      </c>
      <c r="M44" s="51">
        <f t="shared" si="3"/>
        <v>8302500</v>
      </c>
      <c r="N44" s="51">
        <v>12800</v>
      </c>
      <c r="O44" s="51">
        <f t="shared" si="4"/>
        <v>7872000</v>
      </c>
      <c r="P44" s="51">
        <v>15000</v>
      </c>
      <c r="Q44" s="51">
        <f t="shared" si="5"/>
        <v>9225000</v>
      </c>
      <c r="R44" s="51">
        <v>13800</v>
      </c>
      <c r="S44" s="51">
        <f t="shared" si="6"/>
        <v>8487000</v>
      </c>
      <c r="T44" s="70">
        <f t="shared" si="7"/>
        <v>687</v>
      </c>
      <c r="U44" s="70">
        <f t="shared" si="8"/>
        <v>26313</v>
      </c>
      <c r="V44" s="70">
        <f t="shared" si="9"/>
        <v>422256</v>
      </c>
      <c r="W44" s="70">
        <f t="shared" si="10"/>
        <v>16182744</v>
      </c>
      <c r="X44" s="77">
        <f>ROUND(HARMEAN(F44,H44,L44,N44,P44,R44),0)</f>
        <v>10782</v>
      </c>
      <c r="Y44" s="77">
        <f t="shared" si="11"/>
        <v>6630930</v>
      </c>
      <c r="Z44" s="78">
        <f>ROUND(GEOMEAN(F44,H44,L44,N44,P44,R44),0)</f>
        <v>11539</v>
      </c>
      <c r="AA44" s="78">
        <f t="shared" si="12"/>
        <v>7096485</v>
      </c>
      <c r="AB44" s="78">
        <f>ROUND(AVERAGE(F44,H44,L44,N44,P44,R44),0)</f>
        <v>12100</v>
      </c>
      <c r="AC44" s="78">
        <f t="shared" si="13"/>
        <v>7441500</v>
      </c>
    </row>
    <row r="45" spans="2:29" s="2" customFormat="1" ht="40.5" customHeight="1" x14ac:dyDescent="0.3">
      <c r="B45" s="25">
        <v>33</v>
      </c>
      <c r="C45" s="41" t="s">
        <v>102</v>
      </c>
      <c r="D45" s="35" t="s">
        <v>103</v>
      </c>
      <c r="E45" s="36">
        <v>70</v>
      </c>
      <c r="F45" s="51">
        <v>75000</v>
      </c>
      <c r="G45" s="51">
        <f t="shared" si="0"/>
        <v>5250000</v>
      </c>
      <c r="H45" s="51">
        <v>86115</v>
      </c>
      <c r="I45" s="51">
        <f t="shared" si="1"/>
        <v>6028050</v>
      </c>
      <c r="J45" s="51">
        <v>45000</v>
      </c>
      <c r="K45" s="51">
        <f t="shared" si="2"/>
        <v>3150000</v>
      </c>
      <c r="L45" s="51">
        <v>95000</v>
      </c>
      <c r="M45" s="51">
        <f t="shared" si="3"/>
        <v>6650000</v>
      </c>
      <c r="N45" s="51">
        <v>89150</v>
      </c>
      <c r="O45" s="51">
        <f t="shared" si="4"/>
        <v>6240500</v>
      </c>
      <c r="P45" s="51">
        <v>95800</v>
      </c>
      <c r="Q45" s="51">
        <f t="shared" si="5"/>
        <v>6706000</v>
      </c>
      <c r="R45" s="51">
        <v>92000</v>
      </c>
      <c r="S45" s="51">
        <f t="shared" si="6"/>
        <v>6440000</v>
      </c>
      <c r="T45" s="70">
        <f t="shared" si="7"/>
        <v>71154</v>
      </c>
      <c r="U45" s="70">
        <f t="shared" si="8"/>
        <v>107146</v>
      </c>
      <c r="V45" s="70">
        <f t="shared" si="9"/>
        <v>4980780</v>
      </c>
      <c r="W45" s="70">
        <f t="shared" si="10"/>
        <v>7500220</v>
      </c>
      <c r="X45" s="77">
        <f>ROUND(HARMEAN(F45,H45,L45,N45,P45,R45),0)</f>
        <v>88239</v>
      </c>
      <c r="Y45" s="77">
        <f t="shared" si="11"/>
        <v>6176730</v>
      </c>
      <c r="Z45" s="78">
        <f>ROUND(GEOMEAN(F45,H45,L45,N45,P45,R45),0)</f>
        <v>88550</v>
      </c>
      <c r="AA45" s="78">
        <f t="shared" si="12"/>
        <v>6198500</v>
      </c>
      <c r="AB45" s="78">
        <f>ROUND(AVERAGE(F45,H45,L45,N45,P45,R45),0)</f>
        <v>88844</v>
      </c>
      <c r="AC45" s="78">
        <f t="shared" si="13"/>
        <v>6219080</v>
      </c>
    </row>
    <row r="46" spans="2:29" s="2" customFormat="1" ht="40.5" customHeight="1" x14ac:dyDescent="0.3">
      <c r="B46" s="25">
        <v>34</v>
      </c>
      <c r="C46" s="34" t="s">
        <v>104</v>
      </c>
      <c r="D46" s="35" t="s">
        <v>72</v>
      </c>
      <c r="E46" s="36">
        <f>1.7*4</f>
        <v>6.8</v>
      </c>
      <c r="F46" s="51">
        <v>40000</v>
      </c>
      <c r="G46" s="51">
        <f t="shared" si="0"/>
        <v>272000</v>
      </c>
      <c r="H46" s="51">
        <v>175150</v>
      </c>
      <c r="I46" s="51">
        <f t="shared" si="1"/>
        <v>1191020</v>
      </c>
      <c r="J46" s="51">
        <v>85000</v>
      </c>
      <c r="K46" s="51">
        <f t="shared" si="2"/>
        <v>578000</v>
      </c>
      <c r="L46" s="51">
        <v>150000</v>
      </c>
      <c r="M46" s="51">
        <f t="shared" si="3"/>
        <v>1020000</v>
      </c>
      <c r="N46" s="51">
        <v>128000</v>
      </c>
      <c r="O46" s="51">
        <f t="shared" si="4"/>
        <v>870400</v>
      </c>
      <c r="P46" s="51">
        <v>140000</v>
      </c>
      <c r="Q46" s="51">
        <f t="shared" si="5"/>
        <v>952000</v>
      </c>
      <c r="R46" s="51">
        <v>160000</v>
      </c>
      <c r="S46" s="51">
        <f t="shared" si="6"/>
        <v>1088000</v>
      </c>
      <c r="T46" s="70">
        <f t="shared" si="7"/>
        <v>92702</v>
      </c>
      <c r="U46" s="70">
        <f t="shared" si="8"/>
        <v>187298</v>
      </c>
      <c r="V46" s="70">
        <f t="shared" si="9"/>
        <v>630374</v>
      </c>
      <c r="W46" s="70">
        <f t="shared" si="10"/>
        <v>1273626</v>
      </c>
      <c r="X46" s="77">
        <f>ROUND(HARMEAN(H46,L46,N46,P46,R46),0)</f>
        <v>148892</v>
      </c>
      <c r="Y46" s="77">
        <f t="shared" si="11"/>
        <v>1012465.6</v>
      </c>
      <c r="Z46" s="78">
        <f>ROUND(GEOMEAN(H46,L46,N46,P46,R46),0)</f>
        <v>149759</v>
      </c>
      <c r="AA46" s="78">
        <f t="shared" si="12"/>
        <v>1018361.2</v>
      </c>
      <c r="AB46" s="78">
        <f>ROUND(AVERAGE(H46,L46,N46,P46,R46),0)</f>
        <v>150630</v>
      </c>
      <c r="AC46" s="78">
        <f t="shared" si="13"/>
        <v>1024284</v>
      </c>
    </row>
    <row r="47" spans="2:29" s="2" customFormat="1" ht="40.5" customHeight="1" x14ac:dyDescent="0.3">
      <c r="B47" s="25">
        <v>35</v>
      </c>
      <c r="C47" s="42" t="s">
        <v>105</v>
      </c>
      <c r="D47" s="43" t="s">
        <v>72</v>
      </c>
      <c r="E47" s="38">
        <v>196</v>
      </c>
      <c r="F47" s="51">
        <v>370000</v>
      </c>
      <c r="G47" s="51">
        <f t="shared" si="0"/>
        <v>72520000</v>
      </c>
      <c r="H47" s="51">
        <v>522500</v>
      </c>
      <c r="I47" s="51">
        <f t="shared" si="1"/>
        <v>102410000</v>
      </c>
      <c r="J47" s="51">
        <v>406000</v>
      </c>
      <c r="K47" s="51">
        <f t="shared" si="2"/>
        <v>79576000</v>
      </c>
      <c r="L47" s="51">
        <v>484600</v>
      </c>
      <c r="M47" s="51">
        <f t="shared" si="3"/>
        <v>94981600</v>
      </c>
      <c r="N47" s="51">
        <v>486000</v>
      </c>
      <c r="O47" s="51">
        <f t="shared" si="4"/>
        <v>95256000</v>
      </c>
      <c r="P47" s="51">
        <v>498700</v>
      </c>
      <c r="Q47" s="51">
        <f t="shared" si="5"/>
        <v>97745200</v>
      </c>
      <c r="R47" s="51">
        <v>492000</v>
      </c>
      <c r="S47" s="51">
        <f t="shared" si="6"/>
        <v>96432000</v>
      </c>
      <c r="T47" s="70">
        <f t="shared" si="7"/>
        <v>430474</v>
      </c>
      <c r="U47" s="70">
        <f t="shared" si="8"/>
        <v>541526</v>
      </c>
      <c r="V47" s="70">
        <f t="shared" si="9"/>
        <v>84372907</v>
      </c>
      <c r="W47" s="70">
        <f t="shared" si="10"/>
        <v>106139093</v>
      </c>
      <c r="X47" s="77">
        <f>ROUND(HARMEAN(H47,L47,N47,P47,R47),0)</f>
        <v>496387</v>
      </c>
      <c r="Y47" s="77">
        <f t="shared" si="11"/>
        <v>97291852</v>
      </c>
      <c r="Z47" s="78">
        <f>ROUND(GEOMEAN(H47,L47,N47,P47,R47),0)</f>
        <v>496572</v>
      </c>
      <c r="AA47" s="78">
        <f t="shared" si="12"/>
        <v>97328112</v>
      </c>
      <c r="AB47" s="78">
        <f>ROUND(AVERAGE(H47,L47,N47,P47,R47),0)</f>
        <v>496760</v>
      </c>
      <c r="AC47" s="78">
        <f t="shared" si="13"/>
        <v>97364960</v>
      </c>
    </row>
    <row r="48" spans="2:29" s="2" customFormat="1" ht="40.5" customHeight="1" x14ac:dyDescent="0.3">
      <c r="B48" s="25">
        <v>36</v>
      </c>
      <c r="C48" s="42" t="s">
        <v>106</v>
      </c>
      <c r="D48" s="43" t="s">
        <v>72</v>
      </c>
      <c r="E48" s="38">
        <v>34</v>
      </c>
      <c r="F48" s="51">
        <v>400000</v>
      </c>
      <c r="G48" s="51">
        <f t="shared" si="0"/>
        <v>13600000</v>
      </c>
      <c r="H48" s="51">
        <v>326170</v>
      </c>
      <c r="I48" s="51">
        <f t="shared" si="1"/>
        <v>11089780</v>
      </c>
      <c r="J48" s="51">
        <v>308000</v>
      </c>
      <c r="K48" s="51">
        <f t="shared" si="2"/>
        <v>10472000</v>
      </c>
      <c r="L48" s="51">
        <v>285000</v>
      </c>
      <c r="M48" s="51">
        <f t="shared" si="3"/>
        <v>9690000</v>
      </c>
      <c r="N48" s="51">
        <v>286000</v>
      </c>
      <c r="O48" s="51">
        <f t="shared" si="4"/>
        <v>9724000</v>
      </c>
      <c r="P48" s="51">
        <v>306000</v>
      </c>
      <c r="Q48" s="51">
        <f t="shared" si="5"/>
        <v>10404000</v>
      </c>
      <c r="R48" s="51">
        <v>282000</v>
      </c>
      <c r="S48" s="51">
        <f t="shared" si="6"/>
        <v>9588000</v>
      </c>
      <c r="T48" s="70">
        <f t="shared" si="7"/>
        <v>264588</v>
      </c>
      <c r="U48" s="70">
        <f t="shared" si="8"/>
        <v>347412</v>
      </c>
      <c r="V48" s="70">
        <f t="shared" si="9"/>
        <v>8995988</v>
      </c>
      <c r="W48" s="70">
        <f t="shared" si="10"/>
        <v>11812012</v>
      </c>
      <c r="X48" s="77">
        <f>ROUND(HARMEAN(H48,J48,L48,N48,P48,R48),0)</f>
        <v>298033</v>
      </c>
      <c r="Y48" s="77">
        <f t="shared" si="11"/>
        <v>10133122</v>
      </c>
      <c r="Z48" s="78">
        <f>ROUND(GEOMEAN(H48,J48,L48,N48,P48,R48),0)</f>
        <v>298444</v>
      </c>
      <c r="AA48" s="78">
        <f t="shared" si="12"/>
        <v>10147096</v>
      </c>
      <c r="AB48" s="78">
        <f>ROUND(AVERAGE(H48,J48,L48,N48,P48,R48),0)</f>
        <v>298862</v>
      </c>
      <c r="AC48" s="78">
        <f t="shared" si="13"/>
        <v>10161308</v>
      </c>
    </row>
    <row r="49" spans="2:29" s="2" customFormat="1" ht="40.5" customHeight="1" x14ac:dyDescent="0.3">
      <c r="B49" s="25">
        <v>37</v>
      </c>
      <c r="C49" s="44" t="s">
        <v>107</v>
      </c>
      <c r="D49" s="43" t="s">
        <v>72</v>
      </c>
      <c r="E49" s="38">
        <v>30</v>
      </c>
      <c r="F49" s="51">
        <v>1005000</v>
      </c>
      <c r="G49" s="51">
        <f t="shared" si="0"/>
        <v>30150000</v>
      </c>
      <c r="H49" s="51">
        <v>1280000</v>
      </c>
      <c r="I49" s="51">
        <f t="shared" si="1"/>
        <v>38400000</v>
      </c>
      <c r="J49" s="51">
        <v>798000</v>
      </c>
      <c r="K49" s="51">
        <f t="shared" si="2"/>
        <v>23940000</v>
      </c>
      <c r="L49" s="51">
        <v>1142000</v>
      </c>
      <c r="M49" s="51">
        <f t="shared" si="3"/>
        <v>34260000</v>
      </c>
      <c r="N49" s="51">
        <v>1124000</v>
      </c>
      <c r="O49" s="51">
        <f t="shared" si="4"/>
        <v>33720000</v>
      </c>
      <c r="P49" s="51">
        <v>1140000</v>
      </c>
      <c r="Q49" s="51">
        <f t="shared" si="5"/>
        <v>34200000</v>
      </c>
      <c r="R49" s="51">
        <v>1168000</v>
      </c>
      <c r="S49" s="51">
        <f t="shared" si="6"/>
        <v>35040000</v>
      </c>
      <c r="T49" s="70">
        <f t="shared" si="7"/>
        <v>986742</v>
      </c>
      <c r="U49" s="70">
        <f t="shared" si="8"/>
        <v>1293258</v>
      </c>
      <c r="V49" s="70">
        <f t="shared" si="9"/>
        <v>29602247</v>
      </c>
      <c r="W49" s="70">
        <f t="shared" si="10"/>
        <v>38797753</v>
      </c>
      <c r="X49" s="77">
        <f>ROUND(HARMEAN(F49,H49,L49,N49,P49,R49),0)</f>
        <v>1137448</v>
      </c>
      <c r="Y49" s="77">
        <f t="shared" si="11"/>
        <v>34123440</v>
      </c>
      <c r="Z49" s="78">
        <f>ROUND(GEOMEAN(F49,H49,L49,N49,P49,R49),0)</f>
        <v>1140318</v>
      </c>
      <c r="AA49" s="78">
        <f t="shared" si="12"/>
        <v>34209540</v>
      </c>
      <c r="AB49" s="78">
        <f>ROUND(AVERAGE(F49,H49,L49,N49,P49,R49),0)</f>
        <v>1143167</v>
      </c>
      <c r="AC49" s="78">
        <f t="shared" si="13"/>
        <v>34295010</v>
      </c>
    </row>
    <row r="50" spans="2:29" s="2" customFormat="1" ht="40.5" customHeight="1" thickBot="1" x14ac:dyDescent="0.35">
      <c r="B50" s="25">
        <v>38</v>
      </c>
      <c r="C50" s="45" t="s">
        <v>108</v>
      </c>
      <c r="D50" s="46" t="s">
        <v>72</v>
      </c>
      <c r="E50" s="47">
        <v>4</v>
      </c>
      <c r="F50" s="51">
        <v>180000</v>
      </c>
      <c r="G50" s="51">
        <f t="shared" si="0"/>
        <v>720000</v>
      </c>
      <c r="H50" s="51">
        <v>196000</v>
      </c>
      <c r="I50" s="51">
        <f t="shared" si="1"/>
        <v>784000</v>
      </c>
      <c r="J50" s="51">
        <v>455000</v>
      </c>
      <c r="K50" s="51">
        <f t="shared" si="2"/>
        <v>1820000</v>
      </c>
      <c r="L50" s="51">
        <v>166000</v>
      </c>
      <c r="M50" s="51">
        <f t="shared" si="3"/>
        <v>664000</v>
      </c>
      <c r="N50" s="51">
        <v>145800</v>
      </c>
      <c r="O50" s="51">
        <f t="shared" si="4"/>
        <v>583200</v>
      </c>
      <c r="P50" s="51">
        <v>150000</v>
      </c>
      <c r="Q50" s="51">
        <f t="shared" si="5"/>
        <v>600000</v>
      </c>
      <c r="R50" s="51">
        <v>152000</v>
      </c>
      <c r="S50" s="51">
        <f t="shared" si="6"/>
        <v>608000</v>
      </c>
      <c r="T50" s="70">
        <f t="shared" si="7"/>
        <v>54906</v>
      </c>
      <c r="U50" s="70">
        <f t="shared" si="8"/>
        <v>277094</v>
      </c>
      <c r="V50" s="70">
        <f t="shared" si="9"/>
        <v>219622</v>
      </c>
      <c r="W50" s="70">
        <f t="shared" si="10"/>
        <v>1108378</v>
      </c>
      <c r="X50" s="77">
        <f>ROUND(HARMEAN(F50,H50,L50,N50,P50,R50),0)</f>
        <v>163105</v>
      </c>
      <c r="Y50" s="77">
        <f t="shared" si="11"/>
        <v>652420</v>
      </c>
      <c r="Z50" s="78">
        <f>ROUND(GEOMEAN(F50,H50,L50,N50,P50,R50),0)</f>
        <v>164017</v>
      </c>
      <c r="AA50" s="78">
        <f t="shared" si="12"/>
        <v>656068</v>
      </c>
      <c r="AB50" s="78">
        <f>ROUND(AVERAGE(F50,H50,L50,N50,P50,R50),0)</f>
        <v>164967</v>
      </c>
      <c r="AC50" s="78">
        <f t="shared" si="13"/>
        <v>659868</v>
      </c>
    </row>
    <row r="51" spans="2:29" s="57" customFormat="1" ht="41.25" customHeight="1" x14ac:dyDescent="0.3">
      <c r="B51" s="52"/>
      <c r="C51" s="53"/>
      <c r="D51" s="54"/>
      <c r="E51" s="55"/>
      <c r="F51" s="56">
        <f t="shared" ref="F51:AB51" si="37">SUM(F13:F50)</f>
        <v>3316100</v>
      </c>
      <c r="G51" s="56">
        <f t="shared" si="37"/>
        <v>428564800</v>
      </c>
      <c r="H51" s="56">
        <f t="shared" si="37"/>
        <v>4023974</v>
      </c>
      <c r="I51" s="56">
        <f t="shared" si="37"/>
        <v>627085402</v>
      </c>
      <c r="J51" s="56">
        <f t="shared" si="37"/>
        <v>5022572</v>
      </c>
      <c r="K51" s="56">
        <f t="shared" si="37"/>
        <v>1349734978</v>
      </c>
      <c r="L51" s="56">
        <f t="shared" si="37"/>
        <v>3744960</v>
      </c>
      <c r="M51" s="56">
        <f t="shared" si="37"/>
        <v>607687950</v>
      </c>
      <c r="N51" s="56">
        <f t="shared" si="37"/>
        <v>3691770</v>
      </c>
      <c r="O51" s="56">
        <f t="shared" si="37"/>
        <v>615515500</v>
      </c>
      <c r="P51" s="56">
        <f t="shared" si="37"/>
        <v>3801800</v>
      </c>
      <c r="Q51" s="56">
        <f t="shared" si="37"/>
        <v>600988700</v>
      </c>
      <c r="R51" s="56">
        <f t="shared" si="37"/>
        <v>3703820</v>
      </c>
      <c r="S51" s="56">
        <f t="shared" si="37"/>
        <v>601175000</v>
      </c>
      <c r="T51" s="69"/>
      <c r="U51" s="69"/>
      <c r="V51" s="69"/>
      <c r="W51" s="69"/>
      <c r="X51" s="79">
        <f t="shared" si="37"/>
        <v>3744731</v>
      </c>
      <c r="Y51" s="79">
        <f>SUM(Y13:Y50)</f>
        <v>600672298.60000002</v>
      </c>
      <c r="Z51" s="79">
        <f t="shared" si="37"/>
        <v>3758929</v>
      </c>
      <c r="AA51" s="79">
        <f t="shared" si="37"/>
        <v>602864552.20000005</v>
      </c>
      <c r="AB51" s="79">
        <f t="shared" si="37"/>
        <v>3772832</v>
      </c>
      <c r="AC51" s="79">
        <f>SUM(AC13:AC50)</f>
        <v>604897327</v>
      </c>
    </row>
    <row r="52" spans="2:29" s="4" customFormat="1" ht="41.25" customHeight="1" x14ac:dyDescent="0.3">
      <c r="B52" s="26"/>
      <c r="C52" s="27"/>
      <c r="D52" s="88" t="s">
        <v>109</v>
      </c>
      <c r="E52" s="89"/>
      <c r="F52" s="49">
        <v>0.25</v>
      </c>
      <c r="G52" s="50">
        <f>ROUND(G51*F52,0)</f>
        <v>107141200</v>
      </c>
      <c r="H52" s="49">
        <v>0.2</v>
      </c>
      <c r="I52" s="50">
        <f>ROUND(I51*H52,0)</f>
        <v>125417080</v>
      </c>
      <c r="J52" s="49">
        <v>0.21</v>
      </c>
      <c r="K52" s="50">
        <f>ROUND(K51*J52,0)</f>
        <v>283444345</v>
      </c>
      <c r="L52" s="49">
        <v>0.2</v>
      </c>
      <c r="M52" s="50">
        <f>ROUND(M51*L52,0)</f>
        <v>121537590</v>
      </c>
      <c r="N52" s="49">
        <v>0.2</v>
      </c>
      <c r="O52" s="50">
        <f>ROUND(O51*N52,0)</f>
        <v>123103100</v>
      </c>
      <c r="P52" s="49">
        <v>0.21</v>
      </c>
      <c r="Q52" s="50">
        <f>ROUND(Q51*P52,0)</f>
        <v>126207627</v>
      </c>
      <c r="R52" s="49">
        <v>0.21</v>
      </c>
      <c r="S52" s="50">
        <f>ROUND(S51*R52,0)</f>
        <v>126246750</v>
      </c>
      <c r="T52" s="48"/>
      <c r="U52" s="48"/>
      <c r="V52" s="88" t="s">
        <v>109</v>
      </c>
      <c r="W52" s="89"/>
      <c r="X52" s="72">
        <v>0.21</v>
      </c>
      <c r="Y52" s="73">
        <f>ROUND(Y51*X52,0)</f>
        <v>126141183</v>
      </c>
      <c r="Z52" s="71">
        <f>GEOMEAN(F52,H52,J52,L52,N52,P52,R52)</f>
        <v>0.21084116702521136</v>
      </c>
      <c r="AA52" s="73">
        <f>ROUND(AA51*Z52,0)</f>
        <v>127108666</v>
      </c>
      <c r="AB52" s="71">
        <f>AVERAGE(F52,H52,J52,L52,N52,P52,R52)</f>
        <v>0.21142857142857144</v>
      </c>
      <c r="AC52" s="73">
        <f>ROUND(AC51*AB52,0)</f>
        <v>127892578</v>
      </c>
    </row>
    <row r="53" spans="2:29" s="4" customFormat="1" ht="41.25" customHeight="1" x14ac:dyDescent="0.3">
      <c r="B53" s="26"/>
      <c r="C53" s="27"/>
      <c r="D53" s="88" t="s">
        <v>110</v>
      </c>
      <c r="E53" s="89"/>
      <c r="F53" s="49">
        <v>0.02</v>
      </c>
      <c r="G53" s="50">
        <f>ROUND(G51*F53,0)</f>
        <v>8571296</v>
      </c>
      <c r="H53" s="49">
        <v>0.01</v>
      </c>
      <c r="I53" s="50">
        <f>ROUND(I51*H53,0)</f>
        <v>6270854</v>
      </c>
      <c r="J53" s="49">
        <v>0.03</v>
      </c>
      <c r="K53" s="50">
        <f>ROUND(K51*J53,0)</f>
        <v>40492049</v>
      </c>
      <c r="L53" s="49">
        <v>0.01</v>
      </c>
      <c r="M53" s="50">
        <f>ROUND(M51*L53,0)</f>
        <v>6076880</v>
      </c>
      <c r="N53" s="49">
        <v>0.01</v>
      </c>
      <c r="O53" s="50">
        <f>ROUND(O51*N53,0)</f>
        <v>6155155</v>
      </c>
      <c r="P53" s="49">
        <v>0.01</v>
      </c>
      <c r="Q53" s="50">
        <f>ROUND(Q51*P53,0)</f>
        <v>6009887</v>
      </c>
      <c r="R53" s="49">
        <v>0.01</v>
      </c>
      <c r="S53" s="50">
        <f>ROUND(S51*R53,0)</f>
        <v>6011750</v>
      </c>
      <c r="T53" s="48"/>
      <c r="U53" s="48"/>
      <c r="V53" s="88" t="s">
        <v>110</v>
      </c>
      <c r="W53" s="89"/>
      <c r="X53" s="72">
        <v>0.01</v>
      </c>
      <c r="Y53" s="73">
        <f>ROUND(Y51*X53,0)</f>
        <v>6006723</v>
      </c>
      <c r="Z53" s="71">
        <f>GEOMEAN(F53,H53,J53,L53,N53,P53,R53)</f>
        <v>1.2917083420907466E-2</v>
      </c>
      <c r="AA53" s="73">
        <f>ROUND(AA51*Z53,0)</f>
        <v>7787252</v>
      </c>
      <c r="AB53" s="71">
        <f>AVERAGE(F53,H53,J53,L53,N53,P53,R53)</f>
        <v>1.4285714285714282E-2</v>
      </c>
      <c r="AC53" s="73">
        <f>ROUND(AC51*AB53,0)</f>
        <v>8641390</v>
      </c>
    </row>
    <row r="54" spans="2:29" s="4" customFormat="1" ht="41.25" customHeight="1" x14ac:dyDescent="0.3">
      <c r="B54" s="26"/>
      <c r="C54" s="27"/>
      <c r="D54" s="88" t="s">
        <v>111</v>
      </c>
      <c r="E54" s="89"/>
      <c r="F54" s="49">
        <v>0.05</v>
      </c>
      <c r="G54" s="50">
        <f>ROUND(G51*F54,0)</f>
        <v>21428240</v>
      </c>
      <c r="H54" s="49">
        <v>0.05</v>
      </c>
      <c r="I54" s="50">
        <f>ROUND(I51*H54,0)</f>
        <v>31354270</v>
      </c>
      <c r="J54" s="49">
        <v>0.05</v>
      </c>
      <c r="K54" s="50">
        <f>ROUND(K51*J54,0)</f>
        <v>67486749</v>
      </c>
      <c r="L54" s="49">
        <v>0.05</v>
      </c>
      <c r="M54" s="50">
        <f>ROUND(M51*L54,0)</f>
        <v>30384398</v>
      </c>
      <c r="N54" s="49">
        <v>0.05</v>
      </c>
      <c r="O54" s="50">
        <f>ROUND(O51*N54,0)</f>
        <v>30775775</v>
      </c>
      <c r="P54" s="49">
        <v>0.05</v>
      </c>
      <c r="Q54" s="50">
        <f>ROUND(Q51*P54,0)</f>
        <v>30049435</v>
      </c>
      <c r="R54" s="49">
        <v>0.05</v>
      </c>
      <c r="S54" s="50">
        <f>ROUND(S51*R54,0)</f>
        <v>30058750</v>
      </c>
      <c r="T54" s="48"/>
      <c r="U54" s="48"/>
      <c r="V54" s="88" t="s">
        <v>111</v>
      </c>
      <c r="W54" s="89"/>
      <c r="X54" s="72">
        <v>0.05</v>
      </c>
      <c r="Y54" s="73">
        <f>ROUND(Y51*X54,0)</f>
        <v>30033615</v>
      </c>
      <c r="Z54" s="71">
        <f>GEOMEAN(F54,H54,J54,L54,N54,P54,R54)</f>
        <v>0.05</v>
      </c>
      <c r="AA54" s="73">
        <f>ROUND(AA51*Z54,0)</f>
        <v>30143228</v>
      </c>
      <c r="AB54" s="71">
        <f>AVERAGE(F54,H54,J54,L54,N54,P54,R54)</f>
        <v>4.9999999999999996E-2</v>
      </c>
      <c r="AC54" s="73">
        <f>ROUND(AC51*AB54,0)</f>
        <v>30244866</v>
      </c>
    </row>
    <row r="55" spans="2:29" s="4" customFormat="1" ht="41.25" customHeight="1" x14ac:dyDescent="0.3">
      <c r="B55" s="26"/>
      <c r="C55" s="27"/>
      <c r="D55" s="88" t="s">
        <v>112</v>
      </c>
      <c r="E55" s="89"/>
      <c r="F55" s="49">
        <v>0.19</v>
      </c>
      <c r="G55" s="50">
        <f>ROUND(G54*F55,0)</f>
        <v>4071366</v>
      </c>
      <c r="H55" s="49">
        <v>0.19</v>
      </c>
      <c r="I55" s="50">
        <f>ROUND(I54*H55,0)</f>
        <v>5957311</v>
      </c>
      <c r="J55" s="49">
        <v>0.19</v>
      </c>
      <c r="K55" s="50">
        <f>ROUND(K54*J55,0)</f>
        <v>12822482</v>
      </c>
      <c r="L55" s="49">
        <v>0.19</v>
      </c>
      <c r="M55" s="50">
        <f>ROUND(M54*L55,0)</f>
        <v>5773036</v>
      </c>
      <c r="N55" s="49">
        <v>0.19</v>
      </c>
      <c r="O55" s="50">
        <f>ROUND(O54*N55,0)</f>
        <v>5847397</v>
      </c>
      <c r="P55" s="49">
        <v>0.19</v>
      </c>
      <c r="Q55" s="50">
        <f>ROUND(Q54*P55,0)</f>
        <v>5709393</v>
      </c>
      <c r="R55" s="49">
        <v>0.19</v>
      </c>
      <c r="S55" s="50">
        <f>ROUND(S54*R55,0)</f>
        <v>5711163</v>
      </c>
      <c r="T55" s="48"/>
      <c r="U55" s="48"/>
      <c r="V55" s="88" t="s">
        <v>112</v>
      </c>
      <c r="W55" s="89"/>
      <c r="X55" s="72">
        <v>0.19</v>
      </c>
      <c r="Y55" s="74">
        <f>ROUND(Y54*X55,0)</f>
        <v>5706387</v>
      </c>
      <c r="Z55" s="71">
        <f>GEOMEAN(F55,H55,J55,L55,N55,P55,R55)</f>
        <v>0.19</v>
      </c>
      <c r="AA55" s="74">
        <f>ROUND(AA54*Z55,0)</f>
        <v>5727213</v>
      </c>
      <c r="AB55" s="71">
        <f>AVERAGE(F55,H55,J55,L55,N55,P55,R55)</f>
        <v>0.18999999999999997</v>
      </c>
      <c r="AC55" s="74">
        <f>ROUND(AC54*AB55,0)</f>
        <v>5746525</v>
      </c>
    </row>
    <row r="56" spans="2:29" s="4" customFormat="1" ht="41.25" customHeight="1" x14ac:dyDescent="0.3">
      <c r="B56" s="26"/>
      <c r="C56" s="27"/>
      <c r="D56" s="88" t="s">
        <v>113</v>
      </c>
      <c r="E56" s="89"/>
      <c r="F56" s="67"/>
      <c r="G56" s="68">
        <f>ROUND(SUM(G51:G55),0)</f>
        <v>569776902</v>
      </c>
      <c r="H56" s="67"/>
      <c r="I56" s="68">
        <f>ROUND(SUM(I51:I55),0)</f>
        <v>796084917</v>
      </c>
      <c r="J56" s="67"/>
      <c r="K56" s="68">
        <f>ROUND(SUM(K51:K55),0)</f>
        <v>1753980603</v>
      </c>
      <c r="L56" s="67"/>
      <c r="M56" s="68">
        <f>ROUND(SUM(M51:M55),0)</f>
        <v>771459854</v>
      </c>
      <c r="N56" s="67"/>
      <c r="O56" s="68">
        <f>ROUND(SUM(O51:O55),0)</f>
        <v>781396927</v>
      </c>
      <c r="P56" s="67"/>
      <c r="Q56" s="68">
        <f>ROUND(SUM(Q51:Q55),0)</f>
        <v>768965042</v>
      </c>
      <c r="R56" s="67"/>
      <c r="S56" s="68">
        <f>ROUND(SUM(S51:S55),0)</f>
        <v>769203413</v>
      </c>
      <c r="T56" s="68"/>
      <c r="U56" s="68"/>
      <c r="V56" s="88" t="s">
        <v>113</v>
      </c>
      <c r="W56" s="89"/>
      <c r="X56" s="75"/>
      <c r="Y56" s="76">
        <f>ROUND(SUM(Y51:Y55),0)</f>
        <v>768560207</v>
      </c>
      <c r="Z56" s="75"/>
      <c r="AA56" s="76">
        <f>ROUND(SUM(AA51:AA55),0)</f>
        <v>773630911</v>
      </c>
      <c r="AB56" s="75"/>
      <c r="AC56" s="76">
        <f>ROUND(SUM(AC51:AC55),0)</f>
        <v>777422686</v>
      </c>
    </row>
    <row r="57" spans="2:29" ht="30.6" thickBot="1" x14ac:dyDescent="0.55000000000000004">
      <c r="B57" s="21"/>
      <c r="C57" s="21"/>
      <c r="D57" s="21"/>
      <c r="E57" s="21"/>
      <c r="F57" s="22"/>
      <c r="G57" s="23"/>
      <c r="H57" s="23"/>
      <c r="I57" s="23"/>
      <c r="J57" s="23"/>
      <c r="K57" s="23"/>
      <c r="L57" s="23"/>
      <c r="M57" s="23"/>
      <c r="N57" s="23"/>
      <c r="O57" s="23"/>
      <c r="P57" s="23"/>
      <c r="Q57" s="23"/>
      <c r="R57" s="23"/>
      <c r="S57" s="23"/>
      <c r="T57" s="23"/>
      <c r="U57" s="23"/>
      <c r="V57" s="23"/>
      <c r="W57" s="23"/>
      <c r="X57" s="23"/>
      <c r="Y57" s="23"/>
      <c r="Z57" s="24"/>
      <c r="AA57" s="24"/>
      <c r="AB57" s="24"/>
      <c r="AC57" s="24"/>
    </row>
    <row r="58" spans="2:29" customFormat="1" ht="196.5" customHeight="1" thickBot="1" x14ac:dyDescent="0.55000000000000004">
      <c r="B58" s="80" t="s">
        <v>124</v>
      </c>
      <c r="C58" s="81"/>
      <c r="D58" s="81"/>
      <c r="E58" s="81"/>
      <c r="F58" s="81"/>
      <c r="G58" s="81"/>
      <c r="H58" s="81"/>
      <c r="I58" s="81"/>
      <c r="J58" s="81"/>
      <c r="K58" s="81"/>
      <c r="L58" s="81"/>
      <c r="M58" s="81"/>
      <c r="N58" s="81"/>
      <c r="O58" s="81"/>
      <c r="P58" s="81"/>
      <c r="Q58" s="81"/>
      <c r="R58" s="81"/>
      <c r="S58" s="81"/>
      <c r="T58" s="81"/>
      <c r="U58" s="81"/>
      <c r="V58" s="81"/>
      <c r="W58" s="81"/>
      <c r="X58" s="81"/>
      <c r="Y58" s="81"/>
      <c r="Z58" s="81"/>
      <c r="AA58" s="81"/>
      <c r="AB58" s="82"/>
      <c r="AC58" s="21"/>
    </row>
    <row r="59" spans="2:29" customFormat="1" ht="44.25" customHeight="1" thickBot="1" x14ac:dyDescent="0.55000000000000004">
      <c r="B59" s="83" t="s">
        <v>125</v>
      </c>
      <c r="C59" s="84"/>
      <c r="D59" s="84"/>
      <c r="E59" s="84"/>
      <c r="F59" s="84"/>
      <c r="G59" s="84"/>
      <c r="H59" s="84"/>
      <c r="I59" s="84"/>
      <c r="J59" s="84"/>
      <c r="K59" s="84"/>
      <c r="L59" s="84"/>
      <c r="M59" s="84"/>
      <c r="N59" s="84"/>
      <c r="O59" s="84"/>
      <c r="P59" s="84"/>
      <c r="Q59" s="84"/>
      <c r="R59" s="84"/>
      <c r="S59" s="84"/>
      <c r="T59" s="84"/>
      <c r="U59" s="84"/>
      <c r="V59" s="84"/>
      <c r="W59" s="84"/>
      <c r="X59" s="84"/>
      <c r="Y59" s="84"/>
      <c r="Z59" s="84"/>
      <c r="AA59" s="84"/>
      <c r="AB59" s="85"/>
      <c r="AC59" s="21"/>
    </row>
    <row r="60" spans="2:29" customFormat="1" ht="15" customHeight="1" thickBot="1" x14ac:dyDescent="0.55000000000000004">
      <c r="B60" s="28"/>
      <c r="C60" s="28"/>
      <c r="D60" s="29"/>
      <c r="E60" s="22"/>
      <c r="F60" s="28"/>
      <c r="G60" s="28"/>
      <c r="H60" s="28"/>
      <c r="I60" s="28"/>
      <c r="J60" s="30"/>
      <c r="K60" s="28"/>
      <c r="L60" s="28"/>
      <c r="M60" s="28"/>
      <c r="N60" s="28"/>
      <c r="O60" s="28"/>
      <c r="P60" s="28"/>
      <c r="Q60" s="28"/>
      <c r="R60" s="28"/>
      <c r="S60" s="28"/>
      <c r="T60" s="30"/>
      <c r="U60" s="30"/>
      <c r="V60" s="30"/>
      <c r="W60" s="30"/>
      <c r="X60" s="30"/>
      <c r="Y60" s="21"/>
      <c r="Z60" s="21"/>
      <c r="AA60" s="21"/>
      <c r="AB60" s="21"/>
      <c r="AC60" s="21"/>
    </row>
    <row r="61" spans="2:29" customFormat="1" ht="61.5" customHeight="1" thickBot="1" x14ac:dyDescent="0.55000000000000004">
      <c r="B61" s="86" t="s">
        <v>22</v>
      </c>
      <c r="C61" s="87"/>
      <c r="D61" s="99">
        <v>46175</v>
      </c>
      <c r="E61" s="100"/>
      <c r="F61" s="100"/>
      <c r="G61" s="100"/>
      <c r="H61" s="101"/>
      <c r="I61" s="31"/>
      <c r="J61" s="30"/>
      <c r="K61" s="31"/>
      <c r="L61" s="31"/>
      <c r="M61" s="31"/>
      <c r="N61" s="31"/>
      <c r="O61" s="31"/>
      <c r="P61" s="31"/>
      <c r="Q61" s="31"/>
      <c r="R61" s="31"/>
      <c r="S61" s="31"/>
      <c r="T61" s="30"/>
      <c r="U61" s="30"/>
      <c r="V61" s="30"/>
      <c r="W61" s="30"/>
      <c r="X61" s="30"/>
      <c r="Y61" s="21"/>
      <c r="Z61" s="21"/>
      <c r="AA61" s="21"/>
      <c r="AB61" s="21"/>
      <c r="AC61" s="21"/>
    </row>
    <row r="62" spans="2:29" customFormat="1" ht="61.5" customHeight="1" thickBot="1" x14ac:dyDescent="0.55000000000000004">
      <c r="B62" s="86" t="s">
        <v>23</v>
      </c>
      <c r="C62" s="87"/>
      <c r="D62" s="102" t="s">
        <v>114</v>
      </c>
      <c r="E62" s="100"/>
      <c r="F62" s="100"/>
      <c r="G62" s="100"/>
      <c r="H62" s="101"/>
      <c r="I62" s="32"/>
      <c r="J62" s="30"/>
      <c r="K62" s="32"/>
      <c r="L62" s="32"/>
      <c r="M62" s="32"/>
      <c r="N62" s="32"/>
      <c r="O62" s="32"/>
      <c r="P62" s="32"/>
      <c r="Q62" s="32"/>
      <c r="R62" s="32"/>
      <c r="S62" s="32"/>
      <c r="T62" s="30"/>
      <c r="U62" s="30"/>
      <c r="V62" s="30"/>
      <c r="W62" s="30"/>
      <c r="X62" s="30"/>
      <c r="Y62" s="21"/>
      <c r="Z62" s="21"/>
      <c r="AA62" s="21"/>
      <c r="AB62" s="21"/>
      <c r="AC62" s="21"/>
    </row>
    <row r="63" spans="2:29" customFormat="1" ht="61.5" customHeight="1" thickBot="1" x14ac:dyDescent="0.55000000000000004">
      <c r="B63" s="90" t="s">
        <v>24</v>
      </c>
      <c r="C63" s="91"/>
      <c r="D63" s="102" t="s">
        <v>115</v>
      </c>
      <c r="E63" s="100"/>
      <c r="F63" s="100"/>
      <c r="G63" s="100"/>
      <c r="H63" s="101"/>
      <c r="I63" s="32"/>
      <c r="J63" s="30"/>
      <c r="K63" s="32"/>
      <c r="L63" s="32"/>
      <c r="M63" s="32"/>
      <c r="N63" s="32"/>
      <c r="O63" s="32"/>
      <c r="P63" s="32"/>
      <c r="Q63" s="32"/>
      <c r="R63" s="32"/>
      <c r="S63" s="32"/>
      <c r="T63" s="30"/>
      <c r="U63" s="30"/>
      <c r="V63" s="30"/>
      <c r="W63" s="30"/>
      <c r="X63" s="30"/>
      <c r="Y63" s="21"/>
      <c r="Z63" s="21"/>
      <c r="AA63" s="21"/>
      <c r="AB63" s="21"/>
      <c r="AC63" s="21"/>
    </row>
    <row r="64" spans="2:29" ht="30" x14ac:dyDescent="0.5">
      <c r="B64" s="33"/>
      <c r="C64" s="20"/>
      <c r="D64" s="20"/>
      <c r="E64" s="21"/>
      <c r="F64" s="22"/>
      <c r="G64" s="23"/>
      <c r="H64" s="23"/>
      <c r="I64" s="23"/>
      <c r="J64" s="23"/>
      <c r="K64" s="23"/>
      <c r="L64" s="23"/>
      <c r="M64" s="23"/>
      <c r="N64" s="23"/>
      <c r="O64" s="23"/>
      <c r="P64" s="23"/>
      <c r="Q64" s="23"/>
      <c r="R64" s="23"/>
      <c r="S64" s="23"/>
      <c r="T64" s="23"/>
      <c r="U64" s="23"/>
      <c r="V64" s="23"/>
      <c r="W64" s="23"/>
      <c r="X64" s="23"/>
      <c r="Y64" s="23"/>
      <c r="Z64" s="24"/>
      <c r="AA64" s="24"/>
      <c r="AB64" s="24"/>
      <c r="AC64" s="24"/>
    </row>
    <row r="65" spans="2:29" ht="30" x14ac:dyDescent="0.5">
      <c r="B65" s="33"/>
      <c r="C65" s="20"/>
      <c r="D65" s="20"/>
      <c r="E65" s="21"/>
      <c r="F65" s="22"/>
      <c r="G65" s="23"/>
      <c r="H65" s="23"/>
      <c r="I65" s="23"/>
      <c r="J65" s="23"/>
      <c r="K65" s="23"/>
      <c r="L65" s="23"/>
      <c r="M65" s="23"/>
      <c r="N65" s="23"/>
      <c r="O65" s="23"/>
      <c r="P65" s="23"/>
      <c r="Q65" s="23"/>
      <c r="R65" s="23"/>
      <c r="S65" s="23"/>
      <c r="T65" s="23"/>
      <c r="U65" s="23"/>
      <c r="V65" s="23"/>
      <c r="W65" s="23"/>
      <c r="X65" s="23"/>
      <c r="Y65" s="23"/>
      <c r="Z65" s="24"/>
      <c r="AA65" s="24"/>
      <c r="AB65" s="24"/>
      <c r="AC65" s="24"/>
    </row>
  </sheetData>
  <protectedRanges>
    <protectedRange password="CC3D" sqref="F52:F55 H52:H55" name="Rango1_2"/>
    <protectedRange password="CC3D" sqref="J52:J55" name="Rango1"/>
    <protectedRange password="CC3D" sqref="L52:L55" name="Rango1_1"/>
    <protectedRange password="CC3D" sqref="N52:N55" name="Rango1_3"/>
    <protectedRange password="CC3D" sqref="P52:P55" name="Rango1_4"/>
    <protectedRange password="CC3D" sqref="R52:R55" name="Rango1_5"/>
  </protectedRanges>
  <autoFilter ref="B12:AC56" xr:uid="{00000000-0001-0000-0000-000000000000}"/>
  <mergeCells count="40">
    <mergeCell ref="AB1:AC1"/>
    <mergeCell ref="AB2:AC2"/>
    <mergeCell ref="AB3:AC3"/>
    <mergeCell ref="B8:C8"/>
    <mergeCell ref="F11:G11"/>
    <mergeCell ref="H11:I11"/>
    <mergeCell ref="J11:K11"/>
    <mergeCell ref="X11:AC11"/>
    <mergeCell ref="T11:U11"/>
    <mergeCell ref="V11:W11"/>
    <mergeCell ref="B4:AC4"/>
    <mergeCell ref="B1:D3"/>
    <mergeCell ref="E1:Y3"/>
    <mergeCell ref="Z1:AA1"/>
    <mergeCell ref="L11:M11"/>
    <mergeCell ref="B63:C63"/>
    <mergeCell ref="D8:Y8"/>
    <mergeCell ref="D56:E56"/>
    <mergeCell ref="Z2:AA2"/>
    <mergeCell ref="Z3:AA3"/>
    <mergeCell ref="D61:H61"/>
    <mergeCell ref="D62:H62"/>
    <mergeCell ref="D63:H63"/>
    <mergeCell ref="N11:O11"/>
    <mergeCell ref="P11:Q11"/>
    <mergeCell ref="R11:S11"/>
    <mergeCell ref="D52:E52"/>
    <mergeCell ref="D53:E53"/>
    <mergeCell ref="D54:E54"/>
    <mergeCell ref="D55:E55"/>
    <mergeCell ref="B5:AC5"/>
    <mergeCell ref="B58:AB58"/>
    <mergeCell ref="B59:AB59"/>
    <mergeCell ref="B61:C61"/>
    <mergeCell ref="B62:C62"/>
    <mergeCell ref="V52:W52"/>
    <mergeCell ref="V53:W53"/>
    <mergeCell ref="V54:W54"/>
    <mergeCell ref="V55:W55"/>
    <mergeCell ref="V56:W56"/>
  </mergeCells>
  <conditionalFormatting sqref="F14 H14 J14 L14 N14 P14 R14">
    <cfRule type="cellIs" dxfId="75" priority="69" operator="between">
      <formula>$T$14</formula>
      <formula>$U$14</formula>
    </cfRule>
  </conditionalFormatting>
  <conditionalFormatting sqref="F15 H15 L15 N15 P15 R15">
    <cfRule type="cellIs" dxfId="74" priority="68" operator="between">
      <formula>$T$15</formula>
      <formula>$U$15</formula>
    </cfRule>
  </conditionalFormatting>
  <conditionalFormatting sqref="F16 H16 J16 L16 N16 P16 R16">
    <cfRule type="cellIs" dxfId="73" priority="67" operator="between">
      <formula>$T$16</formula>
      <formula>$U$16</formula>
    </cfRule>
  </conditionalFormatting>
  <conditionalFormatting sqref="F17 H17 J17 L17 N17 P17 R17">
    <cfRule type="cellIs" dxfId="72" priority="66" operator="between">
      <formula>$T$17</formula>
      <formula>$U$17</formula>
    </cfRule>
  </conditionalFormatting>
  <conditionalFormatting sqref="F18 H18 J18 L18 N18 P18 R18">
    <cfRule type="cellIs" dxfId="71" priority="65" operator="between">
      <formula>$T$18</formula>
      <formula>$U$18</formula>
    </cfRule>
  </conditionalFormatting>
  <conditionalFormatting sqref="F19 H19 J19 L19 N19 P19 R19">
    <cfRule type="cellIs" dxfId="70" priority="64" operator="between">
      <formula>$T$19</formula>
      <formula>$U$19</formula>
    </cfRule>
  </conditionalFormatting>
  <conditionalFormatting sqref="F20 H20 J20 L20 N20 P20 R20">
    <cfRule type="cellIs" dxfId="69" priority="63" operator="between">
      <formula>$T$20</formula>
      <formula>$U$20</formula>
    </cfRule>
  </conditionalFormatting>
  <conditionalFormatting sqref="F21 H21 J21 L21 N21 P21 R21">
    <cfRule type="cellIs" dxfId="68" priority="62" operator="between">
      <formula>$T$21</formula>
      <formula>$U$21</formula>
    </cfRule>
  </conditionalFormatting>
  <conditionalFormatting sqref="F22 H22 J22 L22 N22 P22 R22">
    <cfRule type="cellIs" dxfId="67" priority="76" operator="between">
      <formula>$T$22</formula>
      <formula>$U$22</formula>
    </cfRule>
  </conditionalFormatting>
  <conditionalFormatting sqref="F23 H23 J23 L23 N23 P23 R23">
    <cfRule type="cellIs" dxfId="66" priority="61" operator="between">
      <formula>$T$23</formula>
      <formula>$U$23</formula>
    </cfRule>
  </conditionalFormatting>
  <conditionalFormatting sqref="F24 H24 J24 L24 N24 P24 R24">
    <cfRule type="cellIs" dxfId="65" priority="60" operator="between">
      <formula>$T$24</formula>
      <formula>$U$24</formula>
    </cfRule>
  </conditionalFormatting>
  <conditionalFormatting sqref="F25 H25 J25 L25 N25 P25 R25">
    <cfRule type="cellIs" dxfId="64" priority="59" operator="between">
      <formula>$T$25</formula>
      <formula>$U$25</formula>
    </cfRule>
  </conditionalFormatting>
  <conditionalFormatting sqref="F26 H26 J26 L26 N26 P26 R26">
    <cfRule type="cellIs" dxfId="63" priority="58" operator="between">
      <formula>$T$26</formula>
      <formula>$U$26</formula>
    </cfRule>
  </conditionalFormatting>
  <conditionalFormatting sqref="F27 H27 J27 L27 N27 P27 R27">
    <cfRule type="cellIs" dxfId="62" priority="57" operator="between">
      <formula>$T$27</formula>
      <formula>$U$27</formula>
    </cfRule>
  </conditionalFormatting>
  <conditionalFormatting sqref="F28 H28 J28 L28 N28 P28 R28">
    <cfRule type="cellIs" dxfId="61" priority="56" operator="between">
      <formula>$T$28</formula>
      <formula>$U$28</formula>
    </cfRule>
  </conditionalFormatting>
  <conditionalFormatting sqref="F29 H29 J29 L29 N29 P29 R29">
    <cfRule type="cellIs" dxfId="60" priority="55" operator="between">
      <formula>$T$29</formula>
      <formula>$U$29</formula>
    </cfRule>
  </conditionalFormatting>
  <conditionalFormatting sqref="F30 H30 J30 L30 N30 P30 R30">
    <cfRule type="cellIs" dxfId="59" priority="54" operator="between">
      <formula>$T$30</formula>
      <formula>$U$30</formula>
    </cfRule>
  </conditionalFormatting>
  <conditionalFormatting sqref="F31 H31 J31 L31 N31 P31 R31">
    <cfRule type="cellIs" dxfId="58" priority="53" operator="between">
      <formula>$T$31</formula>
      <formula>$U$31</formula>
    </cfRule>
  </conditionalFormatting>
  <conditionalFormatting sqref="F32 H32 J32 L32 N32 P32 R32">
    <cfRule type="cellIs" dxfId="57" priority="52" operator="between">
      <formula>$T$32</formula>
      <formula>$U$32</formula>
    </cfRule>
  </conditionalFormatting>
  <conditionalFormatting sqref="F33 H33 J33 L33 N33 P33 R33">
    <cfRule type="cellIs" dxfId="56" priority="75" operator="between">
      <formula>$T$33</formula>
      <formula>$U$33</formula>
    </cfRule>
  </conditionalFormatting>
  <conditionalFormatting sqref="F34 H34 J34 L34 N34 P34 R34">
    <cfRule type="cellIs" dxfId="55" priority="51" operator="between">
      <formula>$T$34</formula>
      <formula>$U$34</formula>
    </cfRule>
  </conditionalFormatting>
  <conditionalFormatting sqref="F35 H35 J35 L35 N35 P35 R35">
    <cfRule type="cellIs" dxfId="54" priority="50" operator="between">
      <formula>$T$35</formula>
      <formula>$U$35</formula>
    </cfRule>
  </conditionalFormatting>
  <conditionalFormatting sqref="F36 H36 J36 L36 N36 P36 R36">
    <cfRule type="cellIs" dxfId="53" priority="49" operator="between">
      <formula>$T$36</formula>
      <formula>$U$36</formula>
    </cfRule>
  </conditionalFormatting>
  <conditionalFormatting sqref="F37 H37 J37 L37 N37 P37 R37">
    <cfRule type="cellIs" dxfId="52" priority="74" operator="between">
      <formula>$T$37</formula>
      <formula>$U$37</formula>
    </cfRule>
  </conditionalFormatting>
  <conditionalFormatting sqref="F38 H38 J38 L38 N38 P38 R38">
    <cfRule type="cellIs" dxfId="51" priority="73" operator="between">
      <formula>$T$38</formula>
      <formula>$U$38</formula>
    </cfRule>
  </conditionalFormatting>
  <conditionalFormatting sqref="F39 H39 J39 L39 N39 P39 R39">
    <cfRule type="cellIs" dxfId="50" priority="72" operator="between">
      <formula>$T$39</formula>
      <formula>$U$39</formula>
    </cfRule>
  </conditionalFormatting>
  <conditionalFormatting sqref="F40 H40 J40 L40 N40 P40 R40">
    <cfRule type="cellIs" dxfId="49" priority="71" operator="between">
      <formula>$T$40</formula>
      <formula>$U$40</formula>
    </cfRule>
  </conditionalFormatting>
  <conditionalFormatting sqref="F41 H41 J41 L41 N41 P41 R41">
    <cfRule type="cellIs" dxfId="48" priority="48" operator="between">
      <formula>$T$41</formula>
      <formula>$U$41</formula>
    </cfRule>
  </conditionalFormatting>
  <conditionalFormatting sqref="F42 H42 J42 L42 N42 P42 R42">
    <cfRule type="cellIs" dxfId="47" priority="47" operator="between">
      <formula>$T$42</formula>
      <formula>$U$42</formula>
    </cfRule>
  </conditionalFormatting>
  <conditionalFormatting sqref="F43 H43 J43 L43 N43 P43 R43">
    <cfRule type="cellIs" dxfId="46" priority="46" operator="between">
      <formula>$T$43</formula>
      <formula>$U$43</formula>
    </cfRule>
  </conditionalFormatting>
  <conditionalFormatting sqref="F44 H44 J44 L44 N44 P44 R44">
    <cfRule type="cellIs" dxfId="45" priority="45" operator="between">
      <formula>$T$44</formula>
      <formula>$U$44</formula>
    </cfRule>
  </conditionalFormatting>
  <conditionalFormatting sqref="F45 H45 J45 L45 N45 P45 R45">
    <cfRule type="cellIs" dxfId="44" priority="44" operator="between">
      <formula>$T$45</formula>
      <formula>$U$45</formula>
    </cfRule>
  </conditionalFormatting>
  <conditionalFormatting sqref="F46 H46 J46 L46 N46 P46 R46">
    <cfRule type="cellIs" dxfId="43" priority="43" operator="between">
      <formula>$T$46</formula>
      <formula>$U$46</formula>
    </cfRule>
  </conditionalFormatting>
  <conditionalFormatting sqref="F47 H47 J47 L47 N47 P47 R47">
    <cfRule type="cellIs" dxfId="42" priority="42" operator="between">
      <formula>$T$47</formula>
      <formula>$U$47</formula>
    </cfRule>
  </conditionalFormatting>
  <conditionalFormatting sqref="F48 H48 J48 L48 N48 P48 R48">
    <cfRule type="cellIs" dxfId="41" priority="41" operator="between">
      <formula>$T$48</formula>
      <formula>$U$48</formula>
    </cfRule>
  </conditionalFormatting>
  <conditionalFormatting sqref="F49 H49 J49 L49 N49 P49 R49">
    <cfRule type="cellIs" dxfId="40" priority="40" operator="between">
      <formula>$T$49</formula>
      <formula>$U$49</formula>
    </cfRule>
  </conditionalFormatting>
  <conditionalFormatting sqref="F50 H50 J50 L50 N50 P50 R50">
    <cfRule type="cellIs" dxfId="39" priority="39" operator="between">
      <formula>$T$50</formula>
      <formula>$U$50</formula>
    </cfRule>
  </conditionalFormatting>
  <conditionalFormatting sqref="F13:R13">
    <cfRule type="cellIs" dxfId="38" priority="70" operator="between">
      <formula>$T$13</formula>
      <formula>$U$13</formula>
    </cfRule>
  </conditionalFormatting>
  <conditionalFormatting sqref="G13 I13 K13 M13 O13 Q13 S13">
    <cfRule type="cellIs" dxfId="37" priority="38" operator="between">
      <formula>$V$13</formula>
      <formula>$W$13</formula>
    </cfRule>
  </conditionalFormatting>
  <conditionalFormatting sqref="G14 I14 K14 M14 O14 Q14 S14">
    <cfRule type="cellIs" dxfId="36" priority="37" operator="between">
      <formula>$V$14</formula>
      <formula>$W$14</formula>
    </cfRule>
  </conditionalFormatting>
  <conditionalFormatting sqref="G15 I15 K15 M15 O15 Q15 S15">
    <cfRule type="cellIs" dxfId="35" priority="36" operator="between">
      <formula>$V$15</formula>
      <formula>$W$15</formula>
    </cfRule>
  </conditionalFormatting>
  <conditionalFormatting sqref="G16 I16 K16 M16 O16 Q16 S16">
    <cfRule type="cellIs" dxfId="34" priority="35" operator="between">
      <formula>$V$16</formula>
      <formula>$W$16</formula>
    </cfRule>
  </conditionalFormatting>
  <conditionalFormatting sqref="G17 I17 K17 M17 O17 Q17 S17">
    <cfRule type="cellIs" dxfId="33" priority="34" operator="between">
      <formula>$V$17</formula>
      <formula>$W$17</formula>
    </cfRule>
  </conditionalFormatting>
  <conditionalFormatting sqref="G18 I18 K18 M18 O18 Q18 S18">
    <cfRule type="cellIs" dxfId="32" priority="33" operator="between">
      <formula>$V$18</formula>
      <formula>$W$18</formula>
    </cfRule>
  </conditionalFormatting>
  <conditionalFormatting sqref="G19 I19 K19 M19 O19 Q19 S19">
    <cfRule type="cellIs" dxfId="31" priority="32" operator="between">
      <formula>$V$19</formula>
      <formula>$W$19</formula>
    </cfRule>
  </conditionalFormatting>
  <conditionalFormatting sqref="G20 I20 K20 M20 O20 Q20 S20">
    <cfRule type="cellIs" dxfId="30" priority="31" operator="between">
      <formula>$V$20</formula>
      <formula>$W$20</formula>
    </cfRule>
  </conditionalFormatting>
  <conditionalFormatting sqref="G21 I21 K21 M21 O21 Q21 S21">
    <cfRule type="cellIs" dxfId="29" priority="30" operator="between">
      <formula>$V$21</formula>
      <formula>$W$21</formula>
    </cfRule>
  </conditionalFormatting>
  <conditionalFormatting sqref="G22 I22 K22 M22 O22 Q22 S22">
    <cfRule type="cellIs" dxfId="28" priority="29" operator="between">
      <formula>$V$22</formula>
      <formula>$W$22</formula>
    </cfRule>
  </conditionalFormatting>
  <conditionalFormatting sqref="G23 I23 K23 M23 O23 Q23 S23">
    <cfRule type="cellIs" dxfId="27" priority="28" operator="between">
      <formula>$V$23</formula>
      <formula>$W$23</formula>
    </cfRule>
  </conditionalFormatting>
  <conditionalFormatting sqref="G24 I24 K24 M24 O24 Q24 S24">
    <cfRule type="cellIs" dxfId="26" priority="27" operator="between">
      <formula>$V$24</formula>
      <formula>$W$24</formula>
    </cfRule>
  </conditionalFormatting>
  <conditionalFormatting sqref="G25 I25 K25 M25 O25 Q25 S25">
    <cfRule type="cellIs" dxfId="25" priority="26" operator="between">
      <formula>$V$25</formula>
      <formula>$W$25</formula>
    </cfRule>
  </conditionalFormatting>
  <conditionalFormatting sqref="G26 I26 K26 M26 O26 Q26 S26">
    <cfRule type="cellIs" dxfId="24" priority="25" operator="between">
      <formula>$V$26</formula>
      <formula>$W$26</formula>
    </cfRule>
  </conditionalFormatting>
  <conditionalFormatting sqref="G27 I27 K27 M27 O27 Q27 S27">
    <cfRule type="cellIs" dxfId="23" priority="24" operator="between">
      <formula>$V$27</formula>
      <formula>$W$27</formula>
    </cfRule>
  </conditionalFormatting>
  <conditionalFormatting sqref="G28 I28 K28 M28 O28 Q28 S28">
    <cfRule type="cellIs" dxfId="22" priority="23" operator="between">
      <formula>$V$28</formula>
      <formula>$W$28</formula>
    </cfRule>
  </conditionalFormatting>
  <conditionalFormatting sqref="G29 I29 K29 M29 O29 Q29 S29">
    <cfRule type="cellIs" dxfId="21" priority="22" operator="between">
      <formula>$V$29</formula>
      <formula>$W$29</formula>
    </cfRule>
  </conditionalFormatting>
  <conditionalFormatting sqref="G30 I30 K30 M30 O30 Q30 S30">
    <cfRule type="cellIs" dxfId="20" priority="21" operator="between">
      <formula>$V$30</formula>
      <formula>$W$30</formula>
    </cfRule>
  </conditionalFormatting>
  <conditionalFormatting sqref="G31 I31 K31 M31 O31 Q31 S31">
    <cfRule type="cellIs" dxfId="19" priority="20" operator="between">
      <formula>$V$31</formula>
      <formula>$W$31</formula>
    </cfRule>
  </conditionalFormatting>
  <conditionalFormatting sqref="G32 I32 K32 M32 O32 Q32 S32">
    <cfRule type="cellIs" dxfId="18" priority="19" operator="between">
      <formula>$V$32</formula>
      <formula>$W$32</formula>
    </cfRule>
  </conditionalFormatting>
  <conditionalFormatting sqref="G33 I33 K33 M33 O33 Q33 S33">
    <cfRule type="cellIs" dxfId="17" priority="18" operator="between">
      <formula>$V$33</formula>
      <formula>$W$33</formula>
    </cfRule>
  </conditionalFormatting>
  <conditionalFormatting sqref="G34 I34 K34 M34 O34 Q34 S34">
    <cfRule type="cellIs" dxfId="16" priority="17" operator="between">
      <formula>$V$34</formula>
      <formula>$W$34</formula>
    </cfRule>
  </conditionalFormatting>
  <conditionalFormatting sqref="G35 I35 K35 M35 O35 Q35 S35">
    <cfRule type="cellIs" dxfId="15" priority="16" operator="between">
      <formula>$V$35</formula>
      <formula>$W$35</formula>
    </cfRule>
  </conditionalFormatting>
  <conditionalFormatting sqref="G36 I36 K36 M36 O36 Q36 S36">
    <cfRule type="cellIs" dxfId="14" priority="15" operator="between">
      <formula>$V$36</formula>
      <formula>$W$36</formula>
    </cfRule>
  </conditionalFormatting>
  <conditionalFormatting sqref="G37 I37 K37 M37 O37 Q37 S37">
    <cfRule type="cellIs" dxfId="13" priority="14" operator="between">
      <formula>$V$37</formula>
      <formula>$W$37</formula>
    </cfRule>
  </conditionalFormatting>
  <conditionalFormatting sqref="G38 I38 K38 M38 O38 Q38 S38">
    <cfRule type="cellIs" dxfId="12" priority="13" operator="between">
      <formula>$V$38</formula>
      <formula>$W$38</formula>
    </cfRule>
  </conditionalFormatting>
  <conditionalFormatting sqref="G39 I39 K39 M39 O39 Q39 S39">
    <cfRule type="cellIs" dxfId="11" priority="12" operator="between">
      <formula>$V$39</formula>
      <formula>$W$39</formula>
    </cfRule>
  </conditionalFormatting>
  <conditionalFormatting sqref="G40 I40 K40 M40 O40 Q40 S40">
    <cfRule type="cellIs" dxfId="10" priority="11" operator="between">
      <formula>$V$40</formula>
      <formula>$W$40</formula>
    </cfRule>
  </conditionalFormatting>
  <conditionalFormatting sqref="G41 I41 K41 M41 O41 Q41 S41">
    <cfRule type="cellIs" dxfId="9" priority="10" operator="between">
      <formula>$V$41</formula>
      <formula>$W$41</formula>
    </cfRule>
  </conditionalFormatting>
  <conditionalFormatting sqref="G42 I42 K42 M42 O42 Q42 S42">
    <cfRule type="cellIs" dxfId="8" priority="9" operator="between">
      <formula>$V$42</formula>
      <formula>$W$42</formula>
    </cfRule>
  </conditionalFormatting>
  <conditionalFormatting sqref="G43 I43 K43 M43 O43 Q43 S43">
    <cfRule type="cellIs" dxfId="7" priority="8" operator="between">
      <formula>$V$43</formula>
      <formula>$W$43</formula>
    </cfRule>
  </conditionalFormatting>
  <conditionalFormatting sqref="G44 I44 K44 M44 O44 Q44 S44">
    <cfRule type="cellIs" dxfId="6" priority="7" operator="between">
      <formula>$V$44</formula>
      <formula>$W$44</formula>
    </cfRule>
  </conditionalFormatting>
  <conditionalFormatting sqref="G45 I45 K45 M45 O45 Q45 S45">
    <cfRule type="cellIs" dxfId="5" priority="6" operator="between">
      <formula>$V$45</formula>
      <formula>$W$45</formula>
    </cfRule>
  </conditionalFormatting>
  <conditionalFormatting sqref="G46 I46 K46 M46 O46 Q46 S46">
    <cfRule type="cellIs" dxfId="4" priority="5" operator="between">
      <formula>$V$46</formula>
      <formula>$W$46</formula>
    </cfRule>
  </conditionalFormatting>
  <conditionalFormatting sqref="G47 I47 K47 M47 O47 Q47 S47">
    <cfRule type="cellIs" dxfId="3" priority="4" operator="between">
      <formula>$V$47</formula>
      <formula>$W$47</formula>
    </cfRule>
  </conditionalFormatting>
  <conditionalFormatting sqref="G48 I48 K48 M48 O48 Q48 S48">
    <cfRule type="cellIs" dxfId="2" priority="3" operator="between">
      <formula>$V$48</formula>
      <formula>$W$48</formula>
    </cfRule>
  </conditionalFormatting>
  <conditionalFormatting sqref="G49 I49 K49 M49 O49 Q49 S49">
    <cfRule type="cellIs" dxfId="1" priority="2" operator="between">
      <formula>$V$49</formula>
      <formula>$W$49</formula>
    </cfRule>
  </conditionalFormatting>
  <conditionalFormatting sqref="G50 I50 K50 M50 O50 Q50 S50">
    <cfRule type="cellIs" dxfId="0" priority="1" operator="between">
      <formula>$V$50</formula>
      <formula>$W$50</formula>
    </cfRule>
  </conditionalFormatting>
  <pageMargins left="0.25" right="0.25" top="0.75" bottom="0.75" header="0.3" footer="0.3"/>
  <pageSetup paperSize="9" scale="12" fitToHeight="0" orientation="landscape" r:id="rId1"/>
  <colBreaks count="1" manualBreakCount="1">
    <brk id="27" max="26" man="1"/>
  </colBreaks>
  <ignoredErrors>
    <ignoredError sqref="F51:S51 X51 Z51:AB51"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Q50"/>
  <sheetViews>
    <sheetView showGridLines="0" zoomScale="85" zoomScaleNormal="85" workbookViewId="0">
      <selection activeCell="C18" sqref="C18:E18"/>
    </sheetView>
  </sheetViews>
  <sheetFormatPr baseColWidth="10" defaultColWidth="9.109375" defaultRowHeight="14.4" x14ac:dyDescent="0.3"/>
  <cols>
    <col min="3" max="3" width="9.109375" customWidth="1"/>
    <col min="4" max="4" width="39.6640625" style="13" customWidth="1"/>
    <col min="5" max="5" width="12.109375" customWidth="1"/>
  </cols>
  <sheetData>
    <row r="2" spans="2:17" s="1" customFormat="1" x14ac:dyDescent="0.3">
      <c r="B2" s="5"/>
      <c r="C2" s="139" t="s">
        <v>25</v>
      </c>
      <c r="D2" s="140"/>
      <c r="E2" s="140"/>
      <c r="F2" s="3"/>
      <c r="G2" s="4"/>
      <c r="H2" s="4"/>
      <c r="I2" s="4"/>
      <c r="J2" s="4"/>
      <c r="K2" s="4"/>
      <c r="L2" s="4"/>
      <c r="M2" s="4"/>
      <c r="N2" s="4"/>
      <c r="O2" s="4"/>
      <c r="P2" s="4"/>
      <c r="Q2" s="4"/>
    </row>
    <row r="3" spans="2:17" s="1" customFormat="1" x14ac:dyDescent="0.3">
      <c r="B3" s="9" t="b">
        <v>0</v>
      </c>
      <c r="C3" s="141" t="s">
        <v>26</v>
      </c>
      <c r="D3" s="141"/>
      <c r="E3" s="141"/>
      <c r="F3" s="3"/>
      <c r="G3" s="4"/>
      <c r="H3" s="4"/>
      <c r="I3" s="4"/>
      <c r="J3" s="4"/>
      <c r="K3" s="4"/>
      <c r="L3" s="4"/>
      <c r="M3" s="4"/>
      <c r="N3" s="4"/>
      <c r="O3" s="4"/>
      <c r="P3" s="4"/>
      <c r="Q3" s="4"/>
    </row>
    <row r="4" spans="2:17" s="1" customFormat="1" x14ac:dyDescent="0.3">
      <c r="B4" s="9" t="b">
        <v>0</v>
      </c>
      <c r="C4" s="141" t="s">
        <v>27</v>
      </c>
      <c r="D4" s="141"/>
      <c r="E4" s="141"/>
      <c r="F4" s="3"/>
      <c r="G4" s="4"/>
      <c r="H4" s="4"/>
      <c r="I4" s="4"/>
      <c r="J4" s="4"/>
      <c r="K4" s="4"/>
      <c r="L4" s="4"/>
      <c r="M4" s="4"/>
      <c r="N4" s="4"/>
      <c r="O4" s="4"/>
      <c r="P4" s="4"/>
      <c r="Q4" s="4"/>
    </row>
    <row r="5" spans="2:17" s="1" customFormat="1" x14ac:dyDescent="0.3">
      <c r="B5" s="9" t="b">
        <v>0</v>
      </c>
      <c r="C5" s="141" t="s">
        <v>28</v>
      </c>
      <c r="D5" s="141"/>
      <c r="E5" s="141"/>
      <c r="F5" s="3"/>
      <c r="G5" s="4"/>
      <c r="H5" s="4"/>
      <c r="I5" s="4"/>
      <c r="J5" s="4"/>
      <c r="K5" s="4"/>
      <c r="L5" s="4"/>
      <c r="M5" s="4"/>
      <c r="N5" s="4"/>
      <c r="O5" s="4"/>
      <c r="P5" s="4"/>
      <c r="Q5" s="4"/>
    </row>
    <row r="6" spans="2:17" s="1" customFormat="1" x14ac:dyDescent="0.3">
      <c r="B6" s="9" t="b">
        <v>0</v>
      </c>
      <c r="C6" s="141" t="s">
        <v>29</v>
      </c>
      <c r="D6" s="141"/>
      <c r="E6" s="141"/>
      <c r="F6" s="3"/>
      <c r="G6" s="4"/>
      <c r="H6" s="4"/>
      <c r="I6" s="4"/>
      <c r="J6" s="4"/>
      <c r="K6" s="4"/>
      <c r="L6" s="4"/>
      <c r="M6" s="4"/>
      <c r="N6" s="4"/>
      <c r="O6" s="4"/>
      <c r="P6" s="4"/>
      <c r="Q6" s="4"/>
    </row>
    <row r="7" spans="2:17" s="1" customFormat="1" x14ac:dyDescent="0.3">
      <c r="B7" s="9" t="b">
        <v>0</v>
      </c>
      <c r="C7" s="141" t="s">
        <v>30</v>
      </c>
      <c r="D7" s="141"/>
      <c r="E7" s="141"/>
      <c r="F7" s="3"/>
      <c r="G7" s="4"/>
      <c r="H7" s="4"/>
      <c r="I7" s="4"/>
      <c r="J7" s="4"/>
      <c r="K7" s="4"/>
      <c r="L7" s="4"/>
      <c r="M7" s="4"/>
      <c r="N7" s="4"/>
      <c r="O7" s="4"/>
      <c r="P7" s="4"/>
      <c r="Q7" s="4"/>
    </row>
    <row r="8" spans="2:17" s="1" customFormat="1" x14ac:dyDescent="0.3">
      <c r="B8" s="9" t="b">
        <v>0</v>
      </c>
      <c r="C8" s="141" t="s">
        <v>31</v>
      </c>
      <c r="D8" s="141"/>
      <c r="E8" s="141"/>
      <c r="F8" s="3"/>
      <c r="G8" s="4"/>
      <c r="H8" s="4"/>
      <c r="I8" s="4"/>
      <c r="J8" s="4"/>
      <c r="K8" s="4"/>
      <c r="L8" s="4"/>
      <c r="M8" s="4"/>
      <c r="N8" s="4"/>
      <c r="O8" s="4"/>
      <c r="P8" s="4"/>
      <c r="Q8" s="4"/>
    </row>
    <row r="9" spans="2:17" s="1" customFormat="1" x14ac:dyDescent="0.3">
      <c r="B9" s="9" t="b">
        <v>0</v>
      </c>
      <c r="C9" s="141" t="s">
        <v>32</v>
      </c>
      <c r="D9" s="141"/>
      <c r="E9" s="141"/>
      <c r="F9" s="3"/>
      <c r="G9" s="4"/>
      <c r="H9" s="4"/>
      <c r="I9" s="4"/>
      <c r="J9" s="4"/>
      <c r="K9" s="4"/>
      <c r="L9" s="4"/>
      <c r="M9" s="4"/>
      <c r="N9" s="4"/>
      <c r="O9" s="4"/>
      <c r="P9" s="4"/>
      <c r="Q9" s="4"/>
    </row>
    <row r="10" spans="2:17" s="1" customFormat="1" x14ac:dyDescent="0.3">
      <c r="B10" s="9" t="b">
        <v>0</v>
      </c>
      <c r="C10" s="141" t="s">
        <v>33</v>
      </c>
      <c r="D10" s="141"/>
      <c r="E10" s="141"/>
      <c r="F10" s="3"/>
      <c r="G10" s="4"/>
      <c r="H10" s="4"/>
      <c r="I10" s="4"/>
      <c r="J10" s="4"/>
      <c r="K10" s="4"/>
      <c r="L10" s="4"/>
      <c r="M10" s="4"/>
      <c r="N10" s="4"/>
      <c r="O10" s="4"/>
      <c r="P10" s="4"/>
      <c r="Q10" s="4"/>
    </row>
    <row r="11" spans="2:17" s="1" customFormat="1" x14ac:dyDescent="0.3">
      <c r="B11" s="9" t="b">
        <v>0</v>
      </c>
      <c r="C11" s="141" t="s">
        <v>34</v>
      </c>
      <c r="D11" s="141"/>
      <c r="E11" s="141"/>
      <c r="F11" s="3"/>
      <c r="G11" s="4"/>
      <c r="H11" s="4"/>
      <c r="I11" s="4"/>
      <c r="J11" s="4"/>
      <c r="K11" s="4"/>
      <c r="L11" s="4"/>
      <c r="M11" s="4"/>
      <c r="N11" s="4"/>
      <c r="O11" s="4"/>
      <c r="P11" s="4"/>
      <c r="Q11" s="4"/>
    </row>
    <row r="12" spans="2:17" s="1" customFormat="1" x14ac:dyDescent="0.3">
      <c r="B12" s="9" t="b">
        <v>0</v>
      </c>
      <c r="C12" s="141" t="s">
        <v>35</v>
      </c>
      <c r="D12" s="141"/>
      <c r="E12" s="141"/>
      <c r="F12" s="3"/>
      <c r="G12" s="4"/>
      <c r="H12" s="4"/>
      <c r="I12" s="4"/>
      <c r="J12" s="4"/>
      <c r="K12" s="4"/>
      <c r="L12" s="4"/>
      <c r="M12" s="4"/>
      <c r="N12" s="4"/>
      <c r="O12" s="4"/>
      <c r="P12" s="4"/>
      <c r="Q12" s="4"/>
    </row>
    <row r="13" spans="2:17" s="1" customFormat="1" x14ac:dyDescent="0.3">
      <c r="B13" s="9" t="b">
        <v>0</v>
      </c>
      <c r="C13" s="141" t="s">
        <v>36</v>
      </c>
      <c r="D13" s="141"/>
      <c r="E13" s="141"/>
      <c r="F13" s="3"/>
      <c r="G13" s="4"/>
      <c r="H13" s="4"/>
      <c r="I13" s="4"/>
      <c r="J13" s="4"/>
      <c r="K13" s="4"/>
      <c r="L13" s="4"/>
      <c r="M13" s="4"/>
      <c r="N13" s="4"/>
      <c r="O13" s="4"/>
      <c r="P13" s="4"/>
      <c r="Q13" s="4"/>
    </row>
    <row r="14" spans="2:17" s="1" customFormat="1" x14ac:dyDescent="0.3">
      <c r="B14" s="9" t="b">
        <v>0</v>
      </c>
      <c r="C14" s="141" t="s">
        <v>37</v>
      </c>
      <c r="D14" s="141"/>
      <c r="E14" s="141"/>
      <c r="F14" s="3"/>
      <c r="G14" s="4"/>
      <c r="H14" s="4"/>
      <c r="I14" s="4"/>
      <c r="J14" s="4"/>
      <c r="K14" s="4"/>
      <c r="L14" s="4"/>
      <c r="M14" s="4"/>
      <c r="N14" s="4"/>
      <c r="O14" s="4"/>
      <c r="P14" s="4"/>
      <c r="Q14" s="4"/>
    </row>
    <row r="15" spans="2:17" s="1" customFormat="1" x14ac:dyDescent="0.3">
      <c r="B15" s="9" t="b">
        <v>0</v>
      </c>
      <c r="C15" s="141" t="s">
        <v>38</v>
      </c>
      <c r="D15" s="141"/>
      <c r="E15" s="141"/>
      <c r="F15" s="3"/>
      <c r="G15" s="4"/>
      <c r="H15" s="4"/>
      <c r="I15" s="4"/>
      <c r="J15" s="4"/>
      <c r="K15" s="4"/>
      <c r="L15" s="4"/>
      <c r="M15" s="4"/>
      <c r="N15" s="4"/>
      <c r="O15" s="4"/>
      <c r="P15" s="4"/>
      <c r="Q15" s="4"/>
    </row>
    <row r="16" spans="2:17" s="1" customFormat="1" x14ac:dyDescent="0.3">
      <c r="B16" s="9" t="b">
        <v>0</v>
      </c>
      <c r="C16" s="141" t="s">
        <v>39</v>
      </c>
      <c r="D16" s="141"/>
      <c r="E16" s="141"/>
      <c r="F16" s="3"/>
      <c r="G16" s="4"/>
      <c r="H16" s="4"/>
      <c r="I16" s="4"/>
      <c r="J16" s="4"/>
      <c r="K16" s="4"/>
      <c r="L16" s="4"/>
      <c r="M16" s="4"/>
      <c r="N16" s="4"/>
      <c r="O16" s="4"/>
      <c r="P16" s="4"/>
      <c r="Q16" s="4"/>
    </row>
    <row r="17" spans="2:17" s="1" customFormat="1" x14ac:dyDescent="0.3">
      <c r="B17" s="9" t="b">
        <v>0</v>
      </c>
      <c r="C17" s="141" t="s">
        <v>40</v>
      </c>
      <c r="D17" s="141"/>
      <c r="E17" s="141"/>
      <c r="F17" s="3"/>
      <c r="G17" s="4"/>
      <c r="H17" s="4"/>
      <c r="I17" s="4"/>
      <c r="J17" s="4"/>
      <c r="K17" s="4"/>
      <c r="L17" s="4"/>
      <c r="M17" s="4"/>
      <c r="N17" s="4"/>
      <c r="O17" s="4"/>
      <c r="P17" s="4"/>
      <c r="Q17" s="4"/>
    </row>
    <row r="18" spans="2:17" s="1" customFormat="1" x14ac:dyDescent="0.3">
      <c r="B18" s="9" t="b">
        <v>0</v>
      </c>
      <c r="C18" s="141" t="s">
        <v>41</v>
      </c>
      <c r="D18" s="141"/>
      <c r="E18" s="141"/>
      <c r="F18" s="3"/>
      <c r="G18" s="4"/>
      <c r="H18" s="4"/>
      <c r="I18" s="4"/>
      <c r="J18" s="4"/>
      <c r="K18" s="4"/>
      <c r="L18" s="4"/>
      <c r="M18" s="4"/>
      <c r="N18" s="4"/>
      <c r="O18" s="4"/>
      <c r="P18" s="4"/>
      <c r="Q18" s="4"/>
    </row>
    <row r="19" spans="2:17" s="1" customFormat="1" x14ac:dyDescent="0.3">
      <c r="B19" s="9" t="b">
        <v>0</v>
      </c>
      <c r="C19" s="141" t="s">
        <v>42</v>
      </c>
      <c r="D19" s="141"/>
      <c r="E19" s="141"/>
      <c r="F19" s="3"/>
      <c r="G19" s="4"/>
      <c r="H19" s="4"/>
      <c r="I19" s="4"/>
      <c r="J19" s="4"/>
      <c r="K19" s="4"/>
      <c r="L19" s="4"/>
      <c r="M19" s="4"/>
      <c r="N19" s="4"/>
      <c r="O19" s="4"/>
      <c r="P19" s="4"/>
      <c r="Q19" s="4"/>
    </row>
    <row r="20" spans="2:17" s="1" customFormat="1" x14ac:dyDescent="0.3">
      <c r="B20" s="5"/>
      <c r="C20" s="2"/>
      <c r="D20" s="2"/>
      <c r="E20"/>
      <c r="F20" s="3"/>
      <c r="G20" s="4"/>
      <c r="H20" s="4"/>
      <c r="I20" s="4"/>
      <c r="J20" s="4"/>
      <c r="K20" s="4"/>
      <c r="L20" s="4"/>
      <c r="M20" s="4"/>
      <c r="N20" s="4"/>
      <c r="O20" s="4"/>
      <c r="P20" s="4"/>
      <c r="Q20" s="4"/>
    </row>
    <row r="21" spans="2:17" x14ac:dyDescent="0.3">
      <c r="C21" s="6" t="s">
        <v>9</v>
      </c>
      <c r="D21" s="11" t="s">
        <v>43</v>
      </c>
      <c r="E21" s="6" t="s">
        <v>44</v>
      </c>
    </row>
    <row r="22" spans="2:17" ht="28.8" hidden="1" x14ac:dyDescent="0.3">
      <c r="C22" s="10">
        <v>1</v>
      </c>
      <c r="D22" s="7" t="s">
        <v>45</v>
      </c>
      <c r="E22" s="8" t="b">
        <v>0</v>
      </c>
    </row>
    <row r="23" spans="2:17" hidden="1" x14ac:dyDescent="0.3">
      <c r="C23" s="10">
        <v>2</v>
      </c>
      <c r="D23" s="7" t="s">
        <v>46</v>
      </c>
      <c r="E23" s="8" t="b">
        <v>0</v>
      </c>
    </row>
    <row r="24" spans="2:17" ht="28.8" hidden="1" x14ac:dyDescent="0.3">
      <c r="C24" s="10">
        <v>3</v>
      </c>
      <c r="D24" s="7" t="s">
        <v>47</v>
      </c>
      <c r="E24" s="8" t="b">
        <v>0</v>
      </c>
    </row>
    <row r="25" spans="2:17" hidden="1" x14ac:dyDescent="0.3">
      <c r="C25" s="10">
        <v>4</v>
      </c>
      <c r="D25" s="7" t="s">
        <v>48</v>
      </c>
      <c r="E25" s="8" t="b">
        <v>0</v>
      </c>
    </row>
    <row r="26" spans="2:17" hidden="1" x14ac:dyDescent="0.3">
      <c r="C26" s="10">
        <v>5</v>
      </c>
      <c r="D26" s="7" t="s">
        <v>49</v>
      </c>
      <c r="E26" s="8" t="b">
        <v>0</v>
      </c>
    </row>
    <row r="27" spans="2:17" ht="28.8" hidden="1" x14ac:dyDescent="0.3">
      <c r="C27" s="10">
        <v>6</v>
      </c>
      <c r="D27" s="7" t="s">
        <v>50</v>
      </c>
      <c r="E27" s="8" t="b">
        <v>0</v>
      </c>
    </row>
    <row r="28" spans="2:17" ht="28.8" hidden="1" x14ac:dyDescent="0.3">
      <c r="C28" s="10">
        <v>1</v>
      </c>
      <c r="D28" s="12" t="s">
        <v>51</v>
      </c>
      <c r="E28" s="8" t="b">
        <v>0</v>
      </c>
    </row>
    <row r="29" spans="2:17" ht="28.8" hidden="1" x14ac:dyDescent="0.3">
      <c r="C29" s="10">
        <v>2</v>
      </c>
      <c r="D29" s="12" t="s">
        <v>52</v>
      </c>
      <c r="E29" s="8" t="b">
        <v>0</v>
      </c>
    </row>
    <row r="30" spans="2:17" ht="43.2" hidden="1" x14ac:dyDescent="0.3">
      <c r="C30" s="10">
        <v>3</v>
      </c>
      <c r="D30" s="7" t="s">
        <v>53</v>
      </c>
      <c r="E30" s="8" t="b">
        <v>0</v>
      </c>
    </row>
    <row r="31" spans="2:17" ht="28.8" hidden="1" x14ac:dyDescent="0.3">
      <c r="C31" s="10">
        <v>4</v>
      </c>
      <c r="D31" s="7" t="s">
        <v>54</v>
      </c>
      <c r="E31" s="8" t="b">
        <v>0</v>
      </c>
    </row>
    <row r="32" spans="2:17" ht="57.6" hidden="1" x14ac:dyDescent="0.3">
      <c r="C32" s="10">
        <v>5</v>
      </c>
      <c r="D32" s="7" t="s">
        <v>55</v>
      </c>
      <c r="E32" s="8" t="b">
        <v>0</v>
      </c>
    </row>
    <row r="33" spans="3:5" ht="28.8" hidden="1" x14ac:dyDescent="0.3">
      <c r="C33" s="10">
        <v>6</v>
      </c>
      <c r="D33" s="7" t="s">
        <v>56</v>
      </c>
      <c r="E33" s="8" t="b">
        <v>0</v>
      </c>
    </row>
    <row r="34" spans="3:5" ht="57.6" hidden="1" x14ac:dyDescent="0.3">
      <c r="C34" s="10">
        <v>7</v>
      </c>
      <c r="D34" s="7" t="s">
        <v>57</v>
      </c>
      <c r="E34" s="8" t="b">
        <v>0</v>
      </c>
    </row>
    <row r="35" spans="3:5" ht="28.8" hidden="1" x14ac:dyDescent="0.3">
      <c r="C35" s="10">
        <v>8</v>
      </c>
      <c r="D35" s="7" t="s">
        <v>58</v>
      </c>
      <c r="E35" s="8" t="b">
        <v>0</v>
      </c>
    </row>
    <row r="36" spans="3:5" ht="28.8" x14ac:dyDescent="0.3">
      <c r="C36" s="10">
        <v>1</v>
      </c>
      <c r="D36" s="7" t="s">
        <v>59</v>
      </c>
      <c r="E36" s="8" t="b">
        <v>0</v>
      </c>
    </row>
    <row r="37" spans="3:5" ht="43.2" x14ac:dyDescent="0.3">
      <c r="C37" s="10">
        <v>2</v>
      </c>
      <c r="D37" s="7" t="s">
        <v>60</v>
      </c>
      <c r="E37" s="8" t="b">
        <v>0</v>
      </c>
    </row>
    <row r="38" spans="3:5" ht="43.2" x14ac:dyDescent="0.3">
      <c r="C38" s="10">
        <v>3</v>
      </c>
      <c r="D38" s="7" t="s">
        <v>61</v>
      </c>
      <c r="E38" s="8" t="b">
        <v>0</v>
      </c>
    </row>
    <row r="41" spans="3:5" ht="55.05" customHeight="1" x14ac:dyDescent="0.3">
      <c r="C41" s="135" t="s">
        <v>62</v>
      </c>
      <c r="D41" s="138"/>
      <c r="E41" s="138"/>
    </row>
    <row r="42" spans="3:5" s="3" customFormat="1" ht="27" customHeight="1" x14ac:dyDescent="0.3">
      <c r="C42" s="135"/>
      <c r="D42" s="137" t="s">
        <v>63</v>
      </c>
      <c r="E42" s="137"/>
    </row>
    <row r="43" spans="3:5" s="3" customFormat="1" ht="55.05" customHeight="1" x14ac:dyDescent="0.3">
      <c r="C43" s="135" t="s">
        <v>64</v>
      </c>
      <c r="D43" s="136"/>
      <c r="E43" s="136"/>
    </row>
    <row r="44" spans="3:5" s="3" customFormat="1" ht="27" customHeight="1" x14ac:dyDescent="0.3">
      <c r="C44" s="135"/>
      <c r="D44" s="137" t="s">
        <v>63</v>
      </c>
      <c r="E44" s="137"/>
    </row>
    <row r="45" spans="3:5" s="3" customFormat="1" ht="55.05" customHeight="1" x14ac:dyDescent="0.3">
      <c r="C45" s="135" t="s">
        <v>65</v>
      </c>
      <c r="D45" s="136"/>
      <c r="E45" s="136"/>
    </row>
    <row r="46" spans="3:5" s="3" customFormat="1" ht="27" customHeight="1" x14ac:dyDescent="0.3">
      <c r="C46" s="135"/>
      <c r="D46" s="137" t="s">
        <v>63</v>
      </c>
      <c r="E46" s="137"/>
    </row>
    <row r="49" spans="2:17" s="1" customFormat="1" x14ac:dyDescent="0.3">
      <c r="B49" s="5"/>
      <c r="C49" s="2"/>
      <c r="D49" s="2"/>
      <c r="E49"/>
      <c r="F49" s="3"/>
      <c r="G49" s="4"/>
      <c r="H49" s="4"/>
      <c r="I49" s="4"/>
      <c r="J49" s="4"/>
      <c r="K49" s="4"/>
      <c r="L49" s="4"/>
      <c r="M49" s="4"/>
      <c r="N49" s="4"/>
      <c r="O49" s="4"/>
      <c r="P49" s="4"/>
      <c r="Q49" s="4"/>
    </row>
    <row r="50" spans="2:17" s="1" customFormat="1" x14ac:dyDescent="0.3">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1EB7A0F2-1F11-45D1-96FA-2BAEABB6E1E1}">
  <ds:schemaRefs>
    <ds:schemaRef ds:uri="http://purl.org/dc/dcmitype/"/>
    <ds:schemaRef ds:uri="http://schemas.microsoft.com/office/2006/documentManagement/types"/>
    <ds:schemaRef ds:uri="http://purl.org/dc/terms/"/>
    <ds:schemaRef ds:uri="05bb8150-b35f-46eb-b022-eb95dd0a3ceb"/>
    <ds:schemaRef ds:uri="ac9f3b94-3255-4e07-a62a-c27915f6fda4"/>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Sandra Marcela Vasquez Tinoco</cp:lastModifiedBy>
  <cp:revision/>
  <dcterms:created xsi:type="dcterms:W3CDTF">2023-05-24T19:36:50Z</dcterms:created>
  <dcterms:modified xsi:type="dcterms:W3CDTF">2026-06-10T14:50:30Z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