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3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dial/Downloads/"/>
    </mc:Choice>
  </mc:AlternateContent>
  <xr:revisionPtr revIDLastSave="0" documentId="13_ncr:1_{DDA327E8-3A1E-6146-8052-EC5C10CDEF9F}" xr6:coauthVersionLast="47" xr6:coauthVersionMax="47" xr10:uidLastSave="{00000000-0000-0000-0000-000000000000}"/>
  <bookViews>
    <workbookView xWindow="0" yWindow="660" windowWidth="29400" windowHeight="17060" xr2:uid="{B6781C5B-B879-4662-9E19-FD50B1B01609}"/>
  </bookViews>
  <sheets>
    <sheet name="1_Escen_Conc desde Enero" sheetId="1" r:id="rId1"/>
    <sheet name="2_Escen_Acuerdo Directo" sheetId="4" r:id="rId2"/>
  </sheets>
  <externalReferences>
    <externalReference r:id="rId3"/>
    <externalReference r:id="rId4"/>
  </externalReferences>
  <definedNames>
    <definedName name="_xlnm._FilterDatabase" localSheetId="0" hidden="1">'1_Escen_Conc desde Enero'!$A$8:$M$52</definedName>
    <definedName name="_xlnm._FilterDatabase" localSheetId="1" hidden="1">'2_Escen_Acuerdo Directo'!$A$8:$L$52</definedName>
    <definedName name="AUXTRANS">[1]Variables!$B$23</definedName>
    <definedName name="IPC_1">[1]Variables!$B$25</definedName>
    <definedName name="IPC_2">[1]Variables!$B$26</definedName>
    <definedName name="IPC_3">[1]Variables!$B$27</definedName>
    <definedName name="mesesfac1">[1]Variables!$B$11</definedName>
    <definedName name="mesesfac2">[1]Variables!$B$12</definedName>
    <definedName name="mesesfac3">[1]Variables!$B$13</definedName>
    <definedName name="mesesfac4">[1]Variables!$B$14</definedName>
    <definedName name="mesesfac5">[1]Variables!$B$15</definedName>
    <definedName name="SMLV">[1]Variables!$B$22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8" i="4" l="1"/>
  <c r="L52" i="4"/>
  <c r="H51" i="4"/>
  <c r="I51" i="4" s="1"/>
  <c r="J51" i="4" s="1"/>
  <c r="K51" i="4" s="1"/>
  <c r="L47" i="4"/>
  <c r="H47" i="4"/>
  <c r="I47" i="4" s="1"/>
  <c r="J47" i="4" s="1"/>
  <c r="K47" i="4" s="1"/>
  <c r="M46" i="4"/>
  <c r="L46" i="4"/>
  <c r="H46" i="4"/>
  <c r="I46" i="4" s="1"/>
  <c r="J46" i="4" s="1"/>
  <c r="K46" i="4" s="1"/>
  <c r="L45" i="4"/>
  <c r="H45" i="4"/>
  <c r="I45" i="4" s="1"/>
  <c r="J45" i="4" s="1"/>
  <c r="K45" i="4" s="1"/>
  <c r="L44" i="4"/>
  <c r="H44" i="4"/>
  <c r="I44" i="4" s="1"/>
  <c r="J44" i="4" s="1"/>
  <c r="K44" i="4" s="1"/>
  <c r="L43" i="4"/>
  <c r="H43" i="4"/>
  <c r="I43" i="4" s="1"/>
  <c r="J43" i="4" s="1"/>
  <c r="K43" i="4" s="1"/>
  <c r="M42" i="4"/>
  <c r="L42" i="4"/>
  <c r="H42" i="4"/>
  <c r="I42" i="4" s="1"/>
  <c r="J42" i="4" s="1"/>
  <c r="K42" i="4" s="1"/>
  <c r="L41" i="4"/>
  <c r="L40" i="4"/>
  <c r="H40" i="4"/>
  <c r="I40" i="4" s="1"/>
  <c r="J40" i="4" s="1"/>
  <c r="K40" i="4" s="1"/>
  <c r="L39" i="4"/>
  <c r="H39" i="4"/>
  <c r="I39" i="4" s="1"/>
  <c r="J39" i="4" s="1"/>
  <c r="K39" i="4" s="1"/>
  <c r="M38" i="4"/>
  <c r="L38" i="4"/>
  <c r="H38" i="4"/>
  <c r="I38" i="4" s="1"/>
  <c r="J38" i="4" s="1"/>
  <c r="K38" i="4" s="1"/>
  <c r="L37" i="4"/>
  <c r="H37" i="4"/>
  <c r="I37" i="4" s="1"/>
  <c r="J37" i="4" s="1"/>
  <c r="K37" i="4" s="1"/>
  <c r="L36" i="4"/>
  <c r="H36" i="4"/>
  <c r="I36" i="4" s="1"/>
  <c r="J36" i="4" s="1"/>
  <c r="K36" i="4" s="1"/>
  <c r="L35" i="4"/>
  <c r="H35" i="4"/>
  <c r="I35" i="4" s="1"/>
  <c r="J35" i="4" s="1"/>
  <c r="K35" i="4" s="1"/>
  <c r="M34" i="4"/>
  <c r="L34" i="4"/>
  <c r="H34" i="4"/>
  <c r="I34" i="4" s="1"/>
  <c r="J34" i="4" s="1"/>
  <c r="K34" i="4" s="1"/>
  <c r="L33" i="4"/>
  <c r="H33" i="4"/>
  <c r="I33" i="4" s="1"/>
  <c r="J33" i="4" s="1"/>
  <c r="K33" i="4" s="1"/>
  <c r="L32" i="4"/>
  <c r="H32" i="4"/>
  <c r="I32" i="4" s="1"/>
  <c r="J32" i="4" s="1"/>
  <c r="K32" i="4" s="1"/>
  <c r="L31" i="4"/>
  <c r="H31" i="4"/>
  <c r="I31" i="4" s="1"/>
  <c r="J31" i="4" s="1"/>
  <c r="K31" i="4" s="1"/>
  <c r="M30" i="4"/>
  <c r="L30" i="4"/>
  <c r="H30" i="4"/>
  <c r="I30" i="4" s="1"/>
  <c r="J30" i="4" s="1"/>
  <c r="K30" i="4" s="1"/>
  <c r="L29" i="4"/>
  <c r="H29" i="4"/>
  <c r="I29" i="4" s="1"/>
  <c r="J29" i="4" s="1"/>
  <c r="K29" i="4" s="1"/>
  <c r="L28" i="4"/>
  <c r="H28" i="4"/>
  <c r="I28" i="4" s="1"/>
  <c r="J28" i="4" s="1"/>
  <c r="K28" i="4" s="1"/>
  <c r="L27" i="4"/>
  <c r="H27" i="4"/>
  <c r="I27" i="4" s="1"/>
  <c r="J27" i="4" s="1"/>
  <c r="K27" i="4" s="1"/>
  <c r="M26" i="4"/>
  <c r="L26" i="4"/>
  <c r="H26" i="4"/>
  <c r="I26" i="4" s="1"/>
  <c r="J26" i="4" s="1"/>
  <c r="K26" i="4" s="1"/>
  <c r="L25" i="4"/>
  <c r="H25" i="4"/>
  <c r="I25" i="4" s="1"/>
  <c r="J25" i="4" s="1"/>
  <c r="K25" i="4" s="1"/>
  <c r="L24" i="4"/>
  <c r="L23" i="4"/>
  <c r="H23" i="4"/>
  <c r="I23" i="4" s="1"/>
  <c r="J23" i="4" s="1"/>
  <c r="K23" i="4" s="1"/>
  <c r="M22" i="4"/>
  <c r="L22" i="4"/>
  <c r="L21" i="4"/>
  <c r="H21" i="4"/>
  <c r="I21" i="4" s="1"/>
  <c r="J21" i="4" s="1"/>
  <c r="K21" i="4" s="1"/>
  <c r="L20" i="4"/>
  <c r="H20" i="4"/>
  <c r="I20" i="4" s="1"/>
  <c r="J20" i="4" s="1"/>
  <c r="K20" i="4" s="1"/>
  <c r="L19" i="4"/>
  <c r="H19" i="4"/>
  <c r="I19" i="4" s="1"/>
  <c r="J19" i="4" s="1"/>
  <c r="M18" i="4"/>
  <c r="L18" i="4"/>
  <c r="L17" i="4"/>
  <c r="H17" i="4"/>
  <c r="I17" i="4" s="1"/>
  <c r="J17" i="4" s="1"/>
  <c r="L16" i="4"/>
  <c r="L15" i="4"/>
  <c r="H15" i="4"/>
  <c r="I15" i="4" s="1"/>
  <c r="J15" i="4" s="1"/>
  <c r="M14" i="4"/>
  <c r="L14" i="4"/>
  <c r="L13" i="4"/>
  <c r="H13" i="4"/>
  <c r="I13" i="4" s="1"/>
  <c r="J13" i="4" s="1"/>
  <c r="L12" i="4"/>
  <c r="H12" i="4"/>
  <c r="I12" i="4" s="1"/>
  <c r="J12" i="4" s="1"/>
  <c r="K12" i="4" s="1"/>
  <c r="L11" i="4"/>
  <c r="H11" i="4"/>
  <c r="I11" i="4" s="1"/>
  <c r="J11" i="4" s="1"/>
  <c r="K11" i="4" s="1"/>
  <c r="M10" i="4"/>
  <c r="L10" i="4"/>
  <c r="H10" i="4"/>
  <c r="I10" i="4" s="1"/>
  <c r="J10" i="4" s="1"/>
  <c r="K10" i="4" s="1"/>
  <c r="L9" i="4"/>
  <c r="H9" i="4"/>
  <c r="I9" i="4" s="1"/>
  <c r="L8" i="4"/>
  <c r="I3" i="4"/>
  <c r="H50" i="4" s="1"/>
  <c r="I50" i="4" s="1"/>
  <c r="J50" i="4" s="1"/>
  <c r="K50" i="4" s="1"/>
  <c r="F3" i="4"/>
  <c r="M44" i="4" s="1"/>
  <c r="I2" i="4"/>
  <c r="H24" i="4" s="1"/>
  <c r="I24" i="4" s="1"/>
  <c r="J24" i="4" s="1"/>
  <c r="K24" i="4" s="1"/>
  <c r="F2" i="4"/>
  <c r="E2" i="4"/>
  <c r="I1" i="4"/>
  <c r="N63" i="1"/>
  <c r="M52" i="1"/>
  <c r="M47" i="1"/>
  <c r="H47" i="1"/>
  <c r="M46" i="1"/>
  <c r="H46" i="1"/>
  <c r="M45" i="1"/>
  <c r="M44" i="1"/>
  <c r="H44" i="1"/>
  <c r="M43" i="1"/>
  <c r="H43" i="1"/>
  <c r="M42" i="1"/>
  <c r="H42" i="1"/>
  <c r="M41" i="1"/>
  <c r="M40" i="1"/>
  <c r="H40" i="1"/>
  <c r="M39" i="1"/>
  <c r="M38" i="1"/>
  <c r="H38" i="1"/>
  <c r="M37" i="1"/>
  <c r="H37" i="1"/>
  <c r="M36" i="1"/>
  <c r="H36" i="1"/>
  <c r="M35" i="1"/>
  <c r="H35" i="1"/>
  <c r="M34" i="1"/>
  <c r="H34" i="1"/>
  <c r="M33" i="1"/>
  <c r="M32" i="1"/>
  <c r="H32" i="1"/>
  <c r="M31" i="1"/>
  <c r="M30" i="1"/>
  <c r="H30" i="1"/>
  <c r="M29" i="1"/>
  <c r="H29" i="1"/>
  <c r="M28" i="1"/>
  <c r="H28" i="1"/>
  <c r="M27" i="1"/>
  <c r="H27" i="1"/>
  <c r="M26" i="1"/>
  <c r="H26" i="1"/>
  <c r="M25" i="1"/>
  <c r="M24" i="1"/>
  <c r="M23" i="1"/>
  <c r="M22" i="1"/>
  <c r="M21" i="1"/>
  <c r="H21" i="1"/>
  <c r="M20" i="1"/>
  <c r="H20" i="1"/>
  <c r="I20" i="1" s="1"/>
  <c r="M19" i="1"/>
  <c r="M18" i="1"/>
  <c r="M17" i="1"/>
  <c r="M16" i="1"/>
  <c r="M15" i="1"/>
  <c r="M14" i="1"/>
  <c r="M13" i="1"/>
  <c r="M12" i="1"/>
  <c r="H12" i="1"/>
  <c r="M11" i="1"/>
  <c r="H11" i="1"/>
  <c r="M10" i="1"/>
  <c r="H10" i="1"/>
  <c r="M9" i="1"/>
  <c r="H9" i="1"/>
  <c r="M8" i="1"/>
  <c r="I3" i="1"/>
  <c r="H50" i="1" s="1"/>
  <c r="F3" i="1"/>
  <c r="N44" i="1" s="1"/>
  <c r="I2" i="1"/>
  <c r="H22" i="1" s="1"/>
  <c r="F2" i="1"/>
  <c r="E2" i="1"/>
  <c r="I1" i="1"/>
  <c r="N14" i="1" l="1"/>
  <c r="N43" i="1"/>
  <c r="N37" i="1"/>
  <c r="N9" i="1"/>
  <c r="N52" i="1"/>
  <c r="N26" i="1"/>
  <c r="H33" i="1"/>
  <c r="N25" i="1"/>
  <c r="N13" i="1"/>
  <c r="N8" i="1"/>
  <c r="N22" i="1"/>
  <c r="I32" i="1"/>
  <c r="J32" i="1" s="1"/>
  <c r="K32" i="1" s="1"/>
  <c r="I21" i="1"/>
  <c r="J21" i="1" s="1"/>
  <c r="K21" i="1" s="1"/>
  <c r="I9" i="1"/>
  <c r="J9" i="1" s="1"/>
  <c r="K9" i="1" s="1"/>
  <c r="N33" i="1"/>
  <c r="I12" i="1"/>
  <c r="J12" i="1" s="1"/>
  <c r="K12" i="1" s="1"/>
  <c r="J20" i="1"/>
  <c r="K20" i="1" s="1"/>
  <c r="I27" i="1"/>
  <c r="J27" i="1" s="1"/>
  <c r="K27" i="1" s="1"/>
  <c r="I44" i="1"/>
  <c r="J44" i="1" s="1"/>
  <c r="K44" i="1" s="1"/>
  <c r="I29" i="1"/>
  <c r="J29" i="1" s="1"/>
  <c r="K29" i="1" s="1"/>
  <c r="I34" i="1"/>
  <c r="J34" i="1" s="1"/>
  <c r="K34" i="1" s="1"/>
  <c r="N39" i="1"/>
  <c r="I46" i="1"/>
  <c r="J46" i="1" s="1"/>
  <c r="K46" i="1" s="1"/>
  <c r="H52" i="1"/>
  <c r="I10" i="1"/>
  <c r="J10" i="1" s="1"/>
  <c r="K10" i="1" s="1"/>
  <c r="I40" i="1"/>
  <c r="J40" i="1" s="1"/>
  <c r="K40" i="1" s="1"/>
  <c r="N15" i="1"/>
  <c r="N29" i="1"/>
  <c r="I35" i="1"/>
  <c r="J35" i="1" s="1"/>
  <c r="K35" i="1" s="1"/>
  <c r="I47" i="1"/>
  <c r="J47" i="1" s="1"/>
  <c r="K47" i="1" s="1"/>
  <c r="H23" i="1"/>
  <c r="N10" i="1"/>
  <c r="I30" i="1"/>
  <c r="J30" i="1" s="1"/>
  <c r="K30" i="1" s="1"/>
  <c r="I50" i="1"/>
  <c r="J50" i="1" s="1"/>
  <c r="K50" i="1" s="1"/>
  <c r="I33" i="1"/>
  <c r="J33" i="1" s="1"/>
  <c r="K33" i="1" s="1"/>
  <c r="I42" i="1"/>
  <c r="J42" i="1" s="1"/>
  <c r="K42" i="1" s="1"/>
  <c r="N47" i="1"/>
  <c r="I38" i="1"/>
  <c r="J38" i="1" s="1"/>
  <c r="K38" i="1" s="1"/>
  <c r="I11" i="1"/>
  <c r="J11" i="1" s="1"/>
  <c r="K11" i="1" s="1"/>
  <c r="I36" i="1"/>
  <c r="J36" i="1" s="1"/>
  <c r="K36" i="1" s="1"/>
  <c r="I22" i="1"/>
  <c r="J22" i="1" s="1"/>
  <c r="K22" i="1" s="1"/>
  <c r="I26" i="1"/>
  <c r="J26" i="1" s="1"/>
  <c r="K26" i="1" s="1"/>
  <c r="N30" i="1"/>
  <c r="H48" i="1"/>
  <c r="N11" i="1"/>
  <c r="I37" i="1"/>
  <c r="J37" i="1" s="1"/>
  <c r="K37" i="1" s="1"/>
  <c r="I43" i="1"/>
  <c r="J43" i="1" s="1"/>
  <c r="K43" i="1" s="1"/>
  <c r="H51" i="1"/>
  <c r="I28" i="1"/>
  <c r="J28" i="1" s="1"/>
  <c r="K28" i="1" s="1"/>
  <c r="M9" i="4"/>
  <c r="M41" i="4"/>
  <c r="H14" i="4"/>
  <c r="H18" i="4"/>
  <c r="K18" i="4" s="1"/>
  <c r="H22" i="4"/>
  <c r="I22" i="4" s="1"/>
  <c r="J22" i="4" s="1"/>
  <c r="K22" i="4" s="1"/>
  <c r="M52" i="4"/>
  <c r="H41" i="4"/>
  <c r="I41" i="4" s="1"/>
  <c r="J41" i="4" s="1"/>
  <c r="K41" i="4" s="1"/>
  <c r="H52" i="4"/>
  <c r="I52" i="4" s="1"/>
  <c r="J52" i="4" s="1"/>
  <c r="K52" i="4" s="1"/>
  <c r="M13" i="4"/>
  <c r="M17" i="4"/>
  <c r="M21" i="4"/>
  <c r="M25" i="4"/>
  <c r="M29" i="4"/>
  <c r="M33" i="4"/>
  <c r="M37" i="4"/>
  <c r="M45" i="4"/>
  <c r="K15" i="4"/>
  <c r="M19" i="4"/>
  <c r="M35" i="4"/>
  <c r="K13" i="4"/>
  <c r="H16" i="4"/>
  <c r="H48" i="4"/>
  <c r="I48" i="4" s="1"/>
  <c r="J48" i="4" s="1"/>
  <c r="K48" i="4" s="1"/>
  <c r="K19" i="4"/>
  <c r="M11" i="4"/>
  <c r="M23" i="4"/>
  <c r="M31" i="4"/>
  <c r="M47" i="4"/>
  <c r="H49" i="4"/>
  <c r="I49" i="4" s="1"/>
  <c r="J49" i="4" s="1"/>
  <c r="K49" i="4" s="1"/>
  <c r="K17" i="4"/>
  <c r="M15" i="4"/>
  <c r="M27" i="4"/>
  <c r="M39" i="4"/>
  <c r="M43" i="4"/>
  <c r="M8" i="4"/>
  <c r="M12" i="4"/>
  <c r="M16" i="4"/>
  <c r="M20" i="4"/>
  <c r="M24" i="4"/>
  <c r="M28" i="4"/>
  <c r="M32" i="4"/>
  <c r="M36" i="4"/>
  <c r="M40" i="4"/>
  <c r="J9" i="4"/>
  <c r="K9" i="4" s="1"/>
  <c r="H17" i="1"/>
  <c r="N17" i="1"/>
  <c r="H13" i="1"/>
  <c r="N23" i="1"/>
  <c r="N27" i="1"/>
  <c r="H49" i="1"/>
  <c r="N31" i="1"/>
  <c r="N35" i="1"/>
  <c r="N18" i="1"/>
  <c r="H24" i="1"/>
  <c r="H41" i="1"/>
  <c r="H45" i="1"/>
  <c r="N19" i="1"/>
  <c r="H25" i="1"/>
  <c r="N41" i="1"/>
  <c r="N45" i="1"/>
  <c r="H16" i="1"/>
  <c r="N42" i="1"/>
  <c r="N46" i="1"/>
  <c r="N21" i="1"/>
  <c r="N34" i="1"/>
  <c r="N38" i="1"/>
  <c r="H19" i="1"/>
  <c r="H31" i="1"/>
  <c r="H39" i="1"/>
  <c r="N12" i="1"/>
  <c r="N16" i="1"/>
  <c r="N20" i="1"/>
  <c r="N24" i="1"/>
  <c r="N28" i="1"/>
  <c r="N32" i="1"/>
  <c r="N36" i="1"/>
  <c r="N40" i="1"/>
  <c r="H15" i="1"/>
  <c r="H14" i="1"/>
  <c r="H18" i="1"/>
  <c r="I25" i="1" l="1"/>
  <c r="J25" i="1" s="1"/>
  <c r="K25" i="1" s="1"/>
  <c r="I18" i="1"/>
  <c r="J18" i="1" s="1"/>
  <c r="K18" i="1" s="1"/>
  <c r="I17" i="1"/>
  <c r="J17" i="1" s="1"/>
  <c r="K17" i="1" s="1"/>
  <c r="I13" i="1"/>
  <c r="J13" i="1" s="1"/>
  <c r="K13" i="1" s="1"/>
  <c r="I52" i="1"/>
  <c r="I31" i="1"/>
  <c r="J31" i="1" s="1"/>
  <c r="K31" i="1" s="1"/>
  <c r="I45" i="1"/>
  <c r="J45" i="1" s="1"/>
  <c r="K45" i="1" s="1"/>
  <c r="I24" i="1"/>
  <c r="J24" i="1" s="1"/>
  <c r="K24" i="1" s="1"/>
  <c r="I48" i="1"/>
  <c r="J48" i="1" s="1"/>
  <c r="K48" i="1" s="1"/>
  <c r="I19" i="1"/>
  <c r="J19" i="1" s="1"/>
  <c r="K19" i="1" s="1"/>
  <c r="I51" i="1"/>
  <c r="J51" i="1" s="1"/>
  <c r="K51" i="1" s="1"/>
  <c r="I39" i="1"/>
  <c r="J39" i="1" s="1"/>
  <c r="K39" i="1" s="1"/>
  <c r="I15" i="1"/>
  <c r="J15" i="1" s="1"/>
  <c r="K15" i="1" s="1"/>
  <c r="I14" i="1"/>
  <c r="J14" i="1" s="1"/>
  <c r="K14" i="1" s="1"/>
  <c r="I23" i="1"/>
  <c r="J23" i="1" s="1"/>
  <c r="K23" i="1" s="1"/>
  <c r="I41" i="1"/>
  <c r="J41" i="1" s="1"/>
  <c r="K41" i="1" s="1"/>
  <c r="I49" i="1"/>
  <c r="J49" i="1" s="1"/>
  <c r="K49" i="1" s="1"/>
  <c r="I16" i="1"/>
  <c r="J16" i="1" s="1"/>
  <c r="K16" i="1" s="1"/>
  <c r="I18" i="4"/>
  <c r="J18" i="4" s="1"/>
  <c r="I16" i="4"/>
  <c r="J16" i="4" s="1"/>
  <c r="K16" i="4"/>
  <c r="I14" i="4"/>
  <c r="J14" i="4" s="1"/>
  <c r="K14" i="4"/>
  <c r="J52" i="1"/>
  <c r="K52" i="1" s="1"/>
  <c r="I58" i="1" l="1"/>
  <c r="I58" i="4"/>
  <c r="K58" i="4" s="1"/>
  <c r="K60" i="4" s="1"/>
  <c r="N60" i="4" s="1"/>
  <c r="N58" i="4"/>
  <c r="I60" i="1"/>
  <c r="I62" i="1" s="1"/>
  <c r="K58" i="1"/>
  <c r="I60" i="4" l="1"/>
  <c r="I62" i="4" s="1"/>
  <c r="K62" i="4"/>
  <c r="K60" i="1"/>
  <c r="M60" i="1" s="1"/>
  <c r="M58" i="1"/>
  <c r="N62" i="4" l="1"/>
  <c r="K64" i="4"/>
  <c r="K62" i="1"/>
  <c r="K66" i="4" l="1"/>
  <c r="K64" i="1"/>
  <c r="M62" i="1"/>
  <c r="N64" i="1" l="1"/>
  <c r="K66" i="1"/>
</calcChain>
</file>

<file path=xl/sharedStrings.xml><?xml version="1.0" encoding="utf-8"?>
<sst xmlns="http://schemas.openxmlformats.org/spreadsheetml/2006/main" count="310" uniqueCount="100">
  <si>
    <t>Proyección estimada SMMLV 2026</t>
  </si>
  <si>
    <t>SMLMV 2026 Ténicos Nivel 2</t>
  </si>
  <si>
    <t>SMMLV 2026</t>
  </si>
  <si>
    <t>Variación SMLMV</t>
  </si>
  <si>
    <t>Aux. Transporte 2026</t>
  </si>
  <si>
    <t>Variación IPC</t>
  </si>
  <si>
    <t>IPC Proyectado sed 2026</t>
  </si>
  <si>
    <t>Variación Salarial Sector Tecnología</t>
  </si>
  <si>
    <t>IPC DANE 2026</t>
  </si>
  <si>
    <t>VALOR 2026</t>
  </si>
  <si>
    <t>#</t>
  </si>
  <si>
    <t>Línea de Servicio</t>
  </si>
  <si>
    <t>Línea Tecnológica</t>
  </si>
  <si>
    <t>Perfil / Elemento</t>
  </si>
  <si>
    <t xml:space="preserve">      </t>
  </si>
  <si>
    <t>Valor Unitario  Ofertado Mes Servicio SIN IVA</t>
  </si>
  <si>
    <t>Valor Mes Ofertado para los Servicios Servicio SIN IVA</t>
  </si>
  <si>
    <t>NUEVO Valor Unitario  Ofertado Mes Servicio SIN IVA</t>
  </si>
  <si>
    <t>Nuevo Valor Mes Ofertado para los Servicios Servicio SIN IVA</t>
  </si>
  <si>
    <t>Valor</t>
  </si>
  <si>
    <t>Porcentaje</t>
  </si>
  <si>
    <t>Mesa de Soluciones y Datacenter</t>
  </si>
  <si>
    <t>Gerente</t>
  </si>
  <si>
    <t xml:space="preserve">Gerente prestación del servicio </t>
  </si>
  <si>
    <t>Calidad</t>
  </si>
  <si>
    <t>Gestor de Aseguramiento de Calidad</t>
  </si>
  <si>
    <t>ITIL</t>
  </si>
  <si>
    <t>Gestor de Procesos ITIL</t>
  </si>
  <si>
    <t>Mesa de Soluciones</t>
  </si>
  <si>
    <t>Director</t>
  </si>
  <si>
    <t>Director de Mesa de Soluciones TIC</t>
  </si>
  <si>
    <t>Coordinador</t>
  </si>
  <si>
    <t xml:space="preserve">Coordinador Nivel Central </t>
  </si>
  <si>
    <t>Coordinador de Nivel Local - NL e Institucional - NI</t>
  </si>
  <si>
    <t>Soporte Nivel 3</t>
  </si>
  <si>
    <t xml:space="preserve">Ingeniero de Conectividad Nivel 3 </t>
  </si>
  <si>
    <t>Ingeniero Eléctrico Nivel 3</t>
  </si>
  <si>
    <t>Tecnólogo en redes y comunicaciones Nivel 3</t>
  </si>
  <si>
    <t>Técnico Eléctrico y de Cableado Estructurado Nivel 3</t>
  </si>
  <si>
    <t>Técnico Especialista en Impresoras Nivel 3</t>
  </si>
  <si>
    <t>Soporte Nivel 2</t>
  </si>
  <si>
    <t xml:space="preserve">Técnico Soporte de Nivel 2 </t>
  </si>
  <si>
    <t>Técnico Soporte de Nivel 2 Sumapaz</t>
  </si>
  <si>
    <t>Soporte Nivel 1</t>
  </si>
  <si>
    <t xml:space="preserve">Técnico Gestor Soporte de Nivel 1 </t>
  </si>
  <si>
    <t xml:space="preserve">Técnico Soporte de Nivel 1 </t>
  </si>
  <si>
    <t>Gestor</t>
  </si>
  <si>
    <t>Técnico Gestor de Activos y Configuración</t>
  </si>
  <si>
    <t>Técnico Gestor de Repuestos</t>
  </si>
  <si>
    <t>Datacenter</t>
  </si>
  <si>
    <t xml:space="preserve">Director de Operaciones Data Center </t>
  </si>
  <si>
    <t>Infraestructura</t>
  </si>
  <si>
    <t xml:space="preserve">Arquitecto de Soluciones de Infraestructura TI </t>
  </si>
  <si>
    <t>Ingeniero Especialista en Infraestructura Hiperconvergente (HCI)</t>
  </si>
  <si>
    <t>Ingeniero de Gestión de Infraestructura y SAN – Backup</t>
  </si>
  <si>
    <t>Especialista en Virtualización</t>
  </si>
  <si>
    <t>Tecnólogo 4 de Operación del Centro de Gestión (Infraestructura -Apoyo SAN - Back up)</t>
  </si>
  <si>
    <t>Linux</t>
  </si>
  <si>
    <t>Ingeniero Administrador de Sistemas Linux</t>
  </si>
  <si>
    <t>Tecnólogo 3 de Operación del Centro de Gestión (Apoyo Linux)</t>
  </si>
  <si>
    <t>Microsoft</t>
  </si>
  <si>
    <t xml:space="preserve">Ingeniero Administrador de Sistemas Microsoft (Hybrid – Cloud / On premise)  </t>
  </si>
  <si>
    <t xml:space="preserve">Especialista Microsoft Base Datos SQL </t>
  </si>
  <si>
    <t>Ingenieros Administrador de Sistemas Microsoft on premise </t>
  </si>
  <si>
    <t>Ingeniero Administrador de Sistemas Microsoft Cloud </t>
  </si>
  <si>
    <t>Ingeniero Administrador Dynamics y DevOps</t>
  </si>
  <si>
    <t>Tecnólogo 2 de Operación del Centro de Gestión (Apoyo Microsoft)</t>
  </si>
  <si>
    <t>Networking</t>
  </si>
  <si>
    <t xml:space="preserve">Ingeniero Administrador de Networking </t>
  </si>
  <si>
    <t>Tecnólogo 1 de Operación del Centro de Gestión (Apoyo Conectividad)</t>
  </si>
  <si>
    <t>Oracle</t>
  </si>
  <si>
    <t>Ingeniero Especialista Bases de Datos Oracle</t>
  </si>
  <si>
    <t>Ingeniero Bases de Datos Oracle (Administrador)</t>
  </si>
  <si>
    <t>Ingeniero Administrador de Capa Media Oracle (OAS, WebLogic-Java)</t>
  </si>
  <si>
    <t>Tecnólogo 5 de Operación del Centro de Gestión (Apoyo Oracle)</t>
  </si>
  <si>
    <t>Seguridad</t>
  </si>
  <si>
    <t xml:space="preserve">Ingeniero de Seguridad Interna y Perimetral </t>
  </si>
  <si>
    <t>Integración Infraestructura a servicios</t>
  </si>
  <si>
    <t>Arquitecto de Sistemas de Información y Orquestación de Aplicaciones</t>
  </si>
  <si>
    <t>Backup</t>
  </si>
  <si>
    <t>Custodia de Medios de Almacenamiento  Data Center (Incluye Unidad de Grabación LTO con mínimo dos Drives)</t>
  </si>
  <si>
    <t>Mantenimiento Datacenter</t>
  </si>
  <si>
    <t>Mantenimiento y Soporte Provisto por el CONTRATISTA pára equipos de Data Center. (ver Hoja Mto. Provisto por contratista del documento Apendice 1 plataforma Tecnológica)</t>
  </si>
  <si>
    <t>Equipamiento</t>
  </si>
  <si>
    <t xml:space="preserve">Equipamiento (Equipos de Cómputo, Impresoras, Celulares, entre otros) Numerales 5.4 y 7.1 del Documento Anexo Técnico y Apéndice 6. Herramientas y Equipos </t>
  </si>
  <si>
    <t>Equipos Backup</t>
  </si>
  <si>
    <t>Equipo portátil de backup: Procesador Core I7 de 13 generación, RAM 32 GB, SSD 500 GB, tarjeta 10/100/1000, 3 puertos USB, Guaya y mouse. Son parte integral de los equipos de la hoja de backup contemplados en el libro APÉNDICE 6 HERRAMIENTAS Y EQUIPOS 2025</t>
  </si>
  <si>
    <t>Vehículo</t>
  </si>
  <si>
    <t>Valor Ofertado Mes Servicios Sin IVA</t>
  </si>
  <si>
    <t>IVA</t>
  </si>
  <si>
    <t>Valor Ofertado Mes Servicio con IVA</t>
  </si>
  <si>
    <t>Oferta UT</t>
  </si>
  <si>
    <t>Incremento Mensual 2026</t>
  </si>
  <si>
    <t>Diferencia con Oferta UT</t>
  </si>
  <si>
    <t>Incremento Anual 2026</t>
  </si>
  <si>
    <t>Porcentaje Variación Unitario</t>
  </si>
  <si>
    <t>Escenario Acuerdo Directo</t>
  </si>
  <si>
    <t>Escenario Acuerdo Directo desde Enero 2026</t>
  </si>
  <si>
    <r>
      <rPr>
        <b/>
        <sz val="10"/>
        <rFont val="Arial"/>
        <family val="2"/>
      </rPr>
      <t>NOTA 1:</t>
    </r>
    <r>
      <rPr>
        <sz val="10"/>
        <rFont val="Arial"/>
        <family val="2"/>
      </rPr>
      <t xml:space="preserve"> Conforme a la naturaleza del contrato de prestación de servicios y la forma de pago establecida, los mismos corresponden a los servicios efectivamente prestados y los repuestos por la Secretaría de Educación del Distrito.</t>
    </r>
  </si>
  <si>
    <r>
      <rPr>
        <b/>
        <sz val="10"/>
        <rFont val="Arial"/>
        <family val="2"/>
      </rPr>
      <t>NOTA 2:</t>
    </r>
    <r>
      <rPr>
        <sz val="10"/>
        <rFont val="Arial"/>
        <family val="2"/>
      </rPr>
      <t xml:space="preserve"> Los valores indicados en la proyección financiera contenida en el subtítulo "ANALISIS AL BALANCE FINANCIERO" del numeral "5. AJUSTE EN EL PLAZO DE EJECUCIÓN" del docuemento denominado "VF 11-IF-30V3 MODIFICACION CONTRATO OPERADOR_VF.pdf" se hacen de manera indicativa y hacen parte de la estimación para la suficiencia del respaldo presupuestal del contrato con base en el reconocimiento de los valores y fijación del nuevo plazo de ejecución.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</si>
</sst>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</numFmts>
  <fonts count="1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0"/>
      <color theme="0"/>
      <name val="Calibri"/>
      <family val="2"/>
    </font>
    <font>
      <sz val="10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sz val="8"/>
      <name val="Arial"/>
      <family val="2"/>
    </font>
    <font>
      <sz val="10"/>
      <color theme="1"/>
      <name val="Calibri"/>
      <family val="2"/>
    </font>
    <font>
      <sz val="10"/>
      <name val="Arial Narrow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0"/>
      <name val="Arial Narrow"/>
      <family val="2"/>
    </font>
    <font>
      <i/>
      <sz val="9"/>
      <name val="Arial"/>
      <family val="2"/>
    </font>
    <font>
      <sz val="9"/>
      <color theme="1"/>
      <name val="Arial"/>
      <family val="2"/>
    </font>
    <font>
      <b/>
      <sz val="12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</cellStyleXfs>
  <cellXfs count="131">
    <xf numFmtId="0" fontId="0" fillId="0" borderId="0" xfId="0"/>
    <xf numFmtId="1" fontId="2" fillId="0" borderId="0" xfId="4" applyNumberFormat="1" applyAlignment="1">
      <alignment horizontal="center" vertical="center" wrapText="1"/>
    </xf>
    <xf numFmtId="1" fontId="3" fillId="2" borderId="1" xfId="4" applyNumberFormat="1" applyFont="1" applyFill="1" applyBorder="1" applyAlignment="1">
      <alignment horizontal="center" vertical="center" wrapText="1"/>
    </xf>
    <xf numFmtId="10" fontId="4" fillId="0" borderId="1" xfId="3" applyNumberFormat="1" applyFont="1" applyBorder="1" applyAlignment="1">
      <alignment horizontal="center" vertical="center" wrapText="1"/>
    </xf>
    <xf numFmtId="0" fontId="2" fillId="0" borderId="0" xfId="4" applyAlignment="1">
      <alignment vertical="center" wrapText="1"/>
    </xf>
    <xf numFmtId="10" fontId="5" fillId="3" borderId="2" xfId="3" applyNumberFormat="1" applyFont="1" applyFill="1" applyBorder="1" applyAlignment="1">
      <alignment vertical="center" wrapText="1"/>
    </xf>
    <xf numFmtId="44" fontId="6" fillId="3" borderId="2" xfId="3" applyNumberFormat="1" applyFont="1" applyFill="1" applyBorder="1" applyAlignment="1">
      <alignment vertical="center" wrapText="1"/>
    </xf>
    <xf numFmtId="9" fontId="4" fillId="0" borderId="1" xfId="3" applyFont="1" applyBorder="1" applyAlignment="1">
      <alignment horizontal="center" vertical="center" wrapText="1"/>
    </xf>
    <xf numFmtId="42" fontId="4" fillId="0" borderId="1" xfId="3" applyNumberFormat="1" applyFont="1" applyBorder="1" applyAlignment="1">
      <alignment horizontal="center" vertical="center" wrapText="1"/>
    </xf>
    <xf numFmtId="44" fontId="2" fillId="0" borderId="0" xfId="2" applyFont="1" applyAlignment="1">
      <alignment vertical="center" wrapText="1"/>
    </xf>
    <xf numFmtId="42" fontId="2" fillId="0" borderId="0" xfId="4" applyNumberFormat="1" applyAlignment="1">
      <alignment vertical="center" wrapText="1"/>
    </xf>
    <xf numFmtId="10" fontId="6" fillId="3" borderId="2" xfId="3" applyNumberFormat="1" applyFont="1" applyFill="1" applyBorder="1" applyAlignment="1">
      <alignment vertical="center" wrapText="1"/>
    </xf>
    <xf numFmtId="0" fontId="2" fillId="0" borderId="0" xfId="4" applyAlignment="1">
      <alignment horizontal="center"/>
    </xf>
    <xf numFmtId="0" fontId="3" fillId="2" borderId="1" xfId="4" applyFont="1" applyFill="1" applyBorder="1" applyAlignment="1">
      <alignment horizontal="center" vertical="center"/>
    </xf>
    <xf numFmtId="10" fontId="4" fillId="0" borderId="1" xfId="4" applyNumberFormat="1" applyFont="1" applyBorder="1" applyAlignment="1">
      <alignment horizontal="center" vertical="center"/>
    </xf>
    <xf numFmtId="44" fontId="6" fillId="3" borderId="2" xfId="2" applyFont="1" applyFill="1" applyBorder="1" applyAlignment="1">
      <alignment vertical="center" wrapText="1"/>
    </xf>
    <xf numFmtId="0" fontId="2" fillId="0" borderId="0" xfId="4"/>
    <xf numFmtId="1" fontId="7" fillId="0" borderId="0" xfId="1" applyNumberFormat="1" applyFont="1" applyFill="1" applyBorder="1" applyAlignment="1">
      <alignment horizontal="center" vertical="center" wrapText="1"/>
    </xf>
    <xf numFmtId="43" fontId="3" fillId="2" borderId="1" xfId="1" applyFont="1" applyFill="1" applyBorder="1" applyAlignment="1">
      <alignment horizontal="center" vertical="center" wrapText="1"/>
    </xf>
    <xf numFmtId="10" fontId="8" fillId="0" borderId="1" xfId="4" applyNumberFormat="1" applyFont="1" applyBorder="1" applyAlignment="1">
      <alignment horizontal="center" vertical="center"/>
    </xf>
    <xf numFmtId="0" fontId="7" fillId="0" borderId="0" xfId="4" applyFont="1" applyAlignment="1">
      <alignment vertical="center" wrapText="1"/>
    </xf>
    <xf numFmtId="42" fontId="7" fillId="0" borderId="0" xfId="4" applyNumberFormat="1" applyFont="1" applyAlignment="1">
      <alignment vertical="center" wrapText="1"/>
    </xf>
    <xf numFmtId="0" fontId="11" fillId="0" borderId="0" xfId="4" applyFont="1" applyAlignment="1">
      <alignment vertical="center" wrapText="1"/>
    </xf>
    <xf numFmtId="1" fontId="6" fillId="5" borderId="9" xfId="1" applyNumberFormat="1" applyFont="1" applyFill="1" applyBorder="1" applyAlignment="1">
      <alignment horizontal="center" vertical="center" wrapText="1"/>
    </xf>
    <xf numFmtId="43" fontId="6" fillId="5" borderId="9" xfId="1" applyFont="1" applyFill="1" applyBorder="1" applyAlignment="1">
      <alignment horizontal="center" vertical="center" wrapText="1"/>
    </xf>
    <xf numFmtId="0" fontId="5" fillId="6" borderId="10" xfId="4" applyFont="1" applyFill="1" applyBorder="1" applyAlignment="1">
      <alignment horizontal="center" vertical="center" wrapText="1"/>
    </xf>
    <xf numFmtId="0" fontId="12" fillId="0" borderId="0" xfId="4" applyFont="1" applyAlignment="1">
      <alignment vertical="center" wrapText="1"/>
    </xf>
    <xf numFmtId="1" fontId="13" fillId="0" borderId="11" xfId="2" applyNumberFormat="1" applyFont="1" applyFill="1" applyBorder="1" applyAlignment="1">
      <alignment horizontal="center" vertical="center" wrapText="1"/>
    </xf>
    <xf numFmtId="44" fontId="6" fillId="0" borderId="12" xfId="4" applyNumberFormat="1" applyFont="1" applyBorder="1" applyAlignment="1">
      <alignment horizontal="center" vertical="center" wrapText="1"/>
    </xf>
    <xf numFmtId="0" fontId="6" fillId="0" borderId="12" xfId="4" applyFont="1" applyBorder="1" applyAlignment="1">
      <alignment horizontal="left" vertical="center" wrapText="1"/>
    </xf>
    <xf numFmtId="0" fontId="13" fillId="0" borderId="12" xfId="2" applyNumberFormat="1" applyFont="1" applyFill="1" applyBorder="1" applyAlignment="1">
      <alignment vertical="center" wrapText="1"/>
    </xf>
    <xf numFmtId="0" fontId="14" fillId="0" borderId="12" xfId="4" applyFont="1" applyBorder="1" applyAlignment="1">
      <alignment horizontal="center" vertical="center" wrapText="1"/>
    </xf>
    <xf numFmtId="164" fontId="6" fillId="0" borderId="12" xfId="2" applyNumberFormat="1" applyFont="1" applyFill="1" applyBorder="1" applyAlignment="1" applyProtection="1">
      <alignment horizontal="center" vertical="center" wrapText="1"/>
      <protection locked="0"/>
    </xf>
    <xf numFmtId="164" fontId="6" fillId="0" borderId="12" xfId="2" applyNumberFormat="1" applyFont="1" applyFill="1" applyBorder="1" applyAlignment="1">
      <alignment horizontal="center" vertical="center" wrapText="1"/>
    </xf>
    <xf numFmtId="164" fontId="6" fillId="0" borderId="13" xfId="2" applyNumberFormat="1" applyFont="1" applyFill="1" applyBorder="1" applyAlignment="1">
      <alignment horizontal="center" vertical="center" wrapText="1"/>
    </xf>
    <xf numFmtId="10" fontId="6" fillId="0" borderId="13" xfId="3" applyNumberFormat="1" applyFont="1" applyFill="1" applyBorder="1" applyAlignment="1">
      <alignment horizontal="center" vertical="center" wrapText="1"/>
    </xf>
    <xf numFmtId="164" fontId="9" fillId="0" borderId="0" xfId="2" applyNumberFormat="1" applyFont="1" applyFill="1" applyBorder="1" applyAlignment="1">
      <alignment vertical="center" wrapText="1"/>
    </xf>
    <xf numFmtId="164" fontId="9" fillId="0" borderId="0" xfId="2" applyNumberFormat="1" applyFont="1" applyFill="1" applyBorder="1" applyAlignment="1">
      <alignment horizontal="left" vertical="center" wrapText="1"/>
    </xf>
    <xf numFmtId="1" fontId="13" fillId="0" borderId="14" xfId="2" applyNumberFormat="1" applyFont="1" applyFill="1" applyBorder="1" applyAlignment="1">
      <alignment horizontal="center" vertical="center" wrapText="1"/>
    </xf>
    <xf numFmtId="44" fontId="6" fillId="0" borderId="15" xfId="4" applyNumberFormat="1" applyFont="1" applyBorder="1" applyAlignment="1">
      <alignment horizontal="center" vertical="center" wrapText="1"/>
    </xf>
    <xf numFmtId="0" fontId="6" fillId="0" borderId="15" xfId="4" applyFont="1" applyBorder="1" applyAlignment="1">
      <alignment horizontal="left" vertical="center" wrapText="1"/>
    </xf>
    <xf numFmtId="0" fontId="13" fillId="0" borderId="15" xfId="2" applyNumberFormat="1" applyFont="1" applyFill="1" applyBorder="1" applyAlignment="1">
      <alignment vertical="center" wrapText="1"/>
    </xf>
    <xf numFmtId="0" fontId="14" fillId="0" borderId="15" xfId="4" applyFont="1" applyBorder="1" applyAlignment="1">
      <alignment horizontal="center" vertical="center" wrapText="1"/>
    </xf>
    <xf numFmtId="164" fontId="6" fillId="0" borderId="15" xfId="2" applyNumberFormat="1" applyFont="1" applyFill="1" applyBorder="1" applyAlignment="1" applyProtection="1">
      <alignment horizontal="center" vertical="center" wrapText="1"/>
      <protection locked="0"/>
    </xf>
    <xf numFmtId="164" fontId="6" fillId="0" borderId="15" xfId="2" applyNumberFormat="1" applyFont="1" applyFill="1" applyBorder="1" applyAlignment="1">
      <alignment horizontal="center" vertical="center" wrapText="1"/>
    </xf>
    <xf numFmtId="1" fontId="13" fillId="6" borderId="14" xfId="2" applyNumberFormat="1" applyFont="1" applyFill="1" applyBorder="1" applyAlignment="1">
      <alignment horizontal="center" vertical="center" wrapText="1"/>
    </xf>
    <xf numFmtId="44" fontId="6" fillId="6" borderId="15" xfId="4" applyNumberFormat="1" applyFont="1" applyFill="1" applyBorder="1" applyAlignment="1">
      <alignment horizontal="center" vertical="center" wrapText="1"/>
    </xf>
    <xf numFmtId="0" fontId="13" fillId="6" borderId="15" xfId="2" applyNumberFormat="1" applyFont="1" applyFill="1" applyBorder="1" applyAlignment="1">
      <alignment vertical="center" wrapText="1"/>
    </xf>
    <xf numFmtId="0" fontId="14" fillId="6" borderId="15" xfId="4" applyFont="1" applyFill="1" applyBorder="1" applyAlignment="1">
      <alignment horizontal="center" vertical="center" wrapText="1"/>
    </xf>
    <xf numFmtId="164" fontId="6" fillId="6" borderId="15" xfId="2" applyNumberFormat="1" applyFont="1" applyFill="1" applyBorder="1" applyAlignment="1" applyProtection="1">
      <alignment horizontal="center" vertical="center" wrapText="1"/>
      <protection locked="0"/>
    </xf>
    <xf numFmtId="164" fontId="6" fillId="6" borderId="15" xfId="2" applyNumberFormat="1" applyFont="1" applyFill="1" applyBorder="1" applyAlignment="1">
      <alignment horizontal="center" vertical="center" wrapText="1"/>
    </xf>
    <xf numFmtId="164" fontId="6" fillId="6" borderId="12" xfId="2" applyNumberFormat="1" applyFont="1" applyFill="1" applyBorder="1" applyAlignment="1" applyProtection="1">
      <alignment horizontal="center" vertical="center" wrapText="1"/>
      <protection locked="0"/>
    </xf>
    <xf numFmtId="164" fontId="6" fillId="6" borderId="13" xfId="2" applyNumberFormat="1" applyFont="1" applyFill="1" applyBorder="1" applyAlignment="1">
      <alignment horizontal="center" vertical="center" wrapText="1"/>
    </xf>
    <xf numFmtId="10" fontId="6" fillId="6" borderId="13" xfId="3" applyNumberFormat="1" applyFont="1" applyFill="1" applyBorder="1" applyAlignment="1">
      <alignment horizontal="center" vertical="center" wrapText="1"/>
    </xf>
    <xf numFmtId="164" fontId="9" fillId="6" borderId="0" xfId="2" applyNumberFormat="1" applyFont="1" applyFill="1" applyBorder="1" applyAlignment="1">
      <alignment vertical="center" wrapText="1"/>
    </xf>
    <xf numFmtId="1" fontId="13" fillId="3" borderId="14" xfId="2" applyNumberFormat="1" applyFont="1" applyFill="1" applyBorder="1" applyAlignment="1">
      <alignment horizontal="center" vertical="center" wrapText="1"/>
    </xf>
    <xf numFmtId="44" fontId="6" fillId="3" borderId="15" xfId="4" applyNumberFormat="1" applyFont="1" applyFill="1" applyBorder="1" applyAlignment="1">
      <alignment horizontal="center" vertical="center" wrapText="1"/>
    </xf>
    <xf numFmtId="0" fontId="13" fillId="3" borderId="15" xfId="2" applyNumberFormat="1" applyFont="1" applyFill="1" applyBorder="1" applyAlignment="1">
      <alignment vertical="center" wrapText="1"/>
    </xf>
    <xf numFmtId="0" fontId="14" fillId="3" borderId="15" xfId="4" applyFont="1" applyFill="1" applyBorder="1" applyAlignment="1">
      <alignment horizontal="center" vertical="center" wrapText="1"/>
    </xf>
    <xf numFmtId="164" fontId="6" fillId="3" borderId="15" xfId="2" applyNumberFormat="1" applyFont="1" applyFill="1" applyBorder="1" applyAlignment="1" applyProtection="1">
      <alignment horizontal="center" vertical="center" wrapText="1"/>
      <protection locked="0"/>
    </xf>
    <xf numFmtId="164" fontId="6" fillId="3" borderId="15" xfId="2" applyNumberFormat="1" applyFont="1" applyFill="1" applyBorder="1" applyAlignment="1">
      <alignment horizontal="center" vertical="center" wrapText="1"/>
    </xf>
    <xf numFmtId="164" fontId="6" fillId="3" borderId="13" xfId="2" applyNumberFormat="1" applyFont="1" applyFill="1" applyBorder="1" applyAlignment="1">
      <alignment horizontal="center" vertical="center" wrapText="1"/>
    </xf>
    <xf numFmtId="164" fontId="6" fillId="3" borderId="12" xfId="2" applyNumberFormat="1" applyFont="1" applyFill="1" applyBorder="1" applyAlignment="1" applyProtection="1">
      <alignment horizontal="center" vertical="center" wrapText="1"/>
      <protection locked="0"/>
    </xf>
    <xf numFmtId="10" fontId="6" fillId="3" borderId="13" xfId="3" applyNumberFormat="1" applyFont="1" applyFill="1" applyBorder="1" applyAlignment="1">
      <alignment horizontal="center" vertical="center" wrapText="1"/>
    </xf>
    <xf numFmtId="164" fontId="2" fillId="0" borderId="0" xfId="2" applyNumberFormat="1" applyFont="1" applyFill="1" applyBorder="1" applyAlignment="1">
      <alignment vertical="center" wrapText="1"/>
    </xf>
    <xf numFmtId="1" fontId="13" fillId="7" borderId="14" xfId="2" applyNumberFormat="1" applyFont="1" applyFill="1" applyBorder="1" applyAlignment="1">
      <alignment horizontal="center" vertical="center" wrapText="1"/>
    </xf>
    <xf numFmtId="44" fontId="6" fillId="7" borderId="15" xfId="4" applyNumberFormat="1" applyFont="1" applyFill="1" applyBorder="1" applyAlignment="1">
      <alignment horizontal="center" vertical="center" wrapText="1"/>
    </xf>
    <xf numFmtId="0" fontId="13" fillId="7" borderId="15" xfId="2" applyNumberFormat="1" applyFont="1" applyFill="1" applyBorder="1" applyAlignment="1">
      <alignment vertical="center" wrapText="1"/>
    </xf>
    <xf numFmtId="0" fontId="14" fillId="7" borderId="15" xfId="4" applyFont="1" applyFill="1" applyBorder="1" applyAlignment="1">
      <alignment horizontal="center" vertical="center" wrapText="1"/>
    </xf>
    <xf numFmtId="164" fontId="6" fillId="7" borderId="15" xfId="2" applyNumberFormat="1" applyFont="1" applyFill="1" applyBorder="1" applyAlignment="1" applyProtection="1">
      <alignment horizontal="center" vertical="center" wrapText="1"/>
      <protection locked="0"/>
    </xf>
    <xf numFmtId="164" fontId="6" fillId="7" borderId="15" xfId="2" applyNumberFormat="1" applyFont="1" applyFill="1" applyBorder="1" applyAlignment="1">
      <alignment horizontal="center" vertical="center" wrapText="1"/>
    </xf>
    <xf numFmtId="164" fontId="6" fillId="7" borderId="13" xfId="2" applyNumberFormat="1" applyFont="1" applyFill="1" applyBorder="1" applyAlignment="1">
      <alignment horizontal="center" vertical="center" wrapText="1"/>
    </xf>
    <xf numFmtId="164" fontId="6" fillId="7" borderId="12" xfId="2" applyNumberFormat="1" applyFont="1" applyFill="1" applyBorder="1" applyAlignment="1" applyProtection="1">
      <alignment horizontal="center" vertical="center" wrapText="1"/>
      <protection locked="0"/>
    </xf>
    <xf numFmtId="10" fontId="6" fillId="7" borderId="13" xfId="3" applyNumberFormat="1" applyFont="1" applyFill="1" applyBorder="1" applyAlignment="1">
      <alignment horizontal="center" vertical="center" wrapText="1"/>
    </xf>
    <xf numFmtId="164" fontId="2" fillId="7" borderId="0" xfId="2" applyNumberFormat="1" applyFont="1" applyFill="1" applyBorder="1" applyAlignment="1">
      <alignment vertical="center" wrapText="1"/>
    </xf>
    <xf numFmtId="0" fontId="2" fillId="7" borderId="0" xfId="4" applyFill="1" applyAlignment="1">
      <alignment vertical="center" wrapText="1"/>
    </xf>
    <xf numFmtId="1" fontId="13" fillId="7" borderId="18" xfId="2" applyNumberFormat="1" applyFont="1" applyFill="1" applyBorder="1" applyAlignment="1">
      <alignment horizontal="center" vertical="center" wrapText="1"/>
    </xf>
    <xf numFmtId="1" fontId="6" fillId="0" borderId="0" xfId="4" applyNumberFormat="1" applyFont="1" applyAlignment="1">
      <alignment horizontal="center" vertical="center" wrapText="1"/>
    </xf>
    <xf numFmtId="0" fontId="6" fillId="0" borderId="0" xfId="4" applyFont="1" applyAlignment="1">
      <alignment vertical="center" wrapText="1"/>
    </xf>
    <xf numFmtId="10" fontId="6" fillId="0" borderId="0" xfId="3" applyNumberFormat="1" applyFont="1" applyAlignment="1">
      <alignment vertical="center" wrapText="1"/>
    </xf>
    <xf numFmtId="164" fontId="2" fillId="0" borderId="0" xfId="4" applyNumberFormat="1" applyAlignment="1">
      <alignment vertical="center" wrapText="1"/>
    </xf>
    <xf numFmtId="44" fontId="6" fillId="0" borderId="0" xfId="2" applyFont="1" applyBorder="1" applyAlignment="1">
      <alignment horizontal="center" vertical="center" wrapText="1"/>
    </xf>
    <xf numFmtId="164" fontId="6" fillId="0" borderId="0" xfId="4" applyNumberFormat="1" applyFont="1" applyAlignment="1">
      <alignment horizontal="center" vertical="center" wrapText="1"/>
    </xf>
    <xf numFmtId="0" fontId="6" fillId="0" borderId="0" xfId="4" applyFont="1" applyAlignment="1">
      <alignment horizontal="center" vertical="center" wrapText="1"/>
    </xf>
    <xf numFmtId="10" fontId="6" fillId="0" borderId="0" xfId="3" applyNumberFormat="1" applyFont="1" applyAlignment="1">
      <alignment horizontal="center" vertical="center" wrapText="1"/>
    </xf>
    <xf numFmtId="164" fontId="6" fillId="0" borderId="2" xfId="4" applyNumberFormat="1" applyFont="1" applyBorder="1" applyAlignment="1">
      <alignment horizontal="center" vertical="center" wrapText="1"/>
    </xf>
    <xf numFmtId="164" fontId="6" fillId="8" borderId="2" xfId="4" applyNumberFormat="1" applyFont="1" applyFill="1" applyBorder="1" applyAlignment="1">
      <alignment vertical="center" wrapText="1"/>
    </xf>
    <xf numFmtId="10" fontId="6" fillId="8" borderId="2" xfId="3" applyNumberFormat="1" applyFont="1" applyFill="1" applyBorder="1" applyAlignment="1">
      <alignment vertical="center" wrapText="1"/>
    </xf>
    <xf numFmtId="43" fontId="6" fillId="0" borderId="0" xfId="1" applyFont="1" applyBorder="1" applyAlignment="1">
      <alignment horizontal="center" vertical="center" wrapText="1"/>
    </xf>
    <xf numFmtId="10" fontId="6" fillId="0" borderId="0" xfId="3" applyNumberFormat="1" applyFont="1" applyBorder="1" applyAlignment="1">
      <alignment horizontal="center" vertical="center" wrapText="1"/>
    </xf>
    <xf numFmtId="164" fontId="6" fillId="0" borderId="2" xfId="4" applyNumberFormat="1" applyFont="1" applyBorder="1" applyAlignment="1">
      <alignment vertical="center" wrapText="1"/>
    </xf>
    <xf numFmtId="10" fontId="6" fillId="0" borderId="2" xfId="3" applyNumberFormat="1" applyFont="1" applyFill="1" applyBorder="1" applyAlignment="1">
      <alignment vertical="center" wrapText="1"/>
    </xf>
    <xf numFmtId="164" fontId="6" fillId="9" borderId="2" xfId="4" applyNumberFormat="1" applyFont="1" applyFill="1" applyBorder="1" applyAlignment="1">
      <alignment vertical="center" wrapText="1"/>
    </xf>
    <xf numFmtId="164" fontId="6" fillId="3" borderId="2" xfId="4" applyNumberFormat="1" applyFont="1" applyFill="1" applyBorder="1" applyAlignment="1">
      <alignment vertical="center" wrapText="1"/>
    </xf>
    <xf numFmtId="164" fontId="6" fillId="10" borderId="2" xfId="4" applyNumberFormat="1" applyFont="1" applyFill="1" applyBorder="1" applyAlignment="1">
      <alignment vertical="center" wrapText="1"/>
    </xf>
    <xf numFmtId="0" fontId="2" fillId="11" borderId="0" xfId="4" applyFill="1" applyAlignment="1">
      <alignment vertical="center" wrapText="1"/>
    </xf>
    <xf numFmtId="3" fontId="15" fillId="0" borderId="0" xfId="0" applyNumberFormat="1" applyFont="1"/>
    <xf numFmtId="0" fontId="13" fillId="12" borderId="15" xfId="2" applyNumberFormat="1" applyFont="1" applyFill="1" applyBorder="1" applyAlignment="1">
      <alignment vertical="center" wrapText="1"/>
    </xf>
    <xf numFmtId="0" fontId="14" fillId="12" borderId="15" xfId="4" applyFont="1" applyFill="1" applyBorder="1" applyAlignment="1">
      <alignment horizontal="center" vertical="center" wrapText="1"/>
    </xf>
    <xf numFmtId="164" fontId="6" fillId="12" borderId="15" xfId="2" applyNumberFormat="1" applyFont="1" applyFill="1" applyBorder="1" applyAlignment="1" applyProtection="1">
      <alignment horizontal="center" vertical="center" wrapText="1"/>
      <protection locked="0"/>
    </xf>
    <xf numFmtId="164" fontId="6" fillId="12" borderId="15" xfId="2" applyNumberFormat="1" applyFont="1" applyFill="1" applyBorder="1" applyAlignment="1">
      <alignment horizontal="center" vertical="center" wrapText="1"/>
    </xf>
    <xf numFmtId="164" fontId="6" fillId="12" borderId="12" xfId="2" applyNumberFormat="1" applyFont="1" applyFill="1" applyBorder="1" applyAlignment="1" applyProtection="1">
      <alignment horizontal="center" vertical="center" wrapText="1"/>
      <protection locked="0"/>
    </xf>
    <xf numFmtId="164" fontId="6" fillId="12" borderId="13" xfId="2" applyNumberFormat="1" applyFont="1" applyFill="1" applyBorder="1" applyAlignment="1">
      <alignment horizontal="center" vertical="center" wrapText="1"/>
    </xf>
    <xf numFmtId="10" fontId="6" fillId="12" borderId="13" xfId="3" applyNumberFormat="1" applyFont="1" applyFill="1" applyBorder="1" applyAlignment="1">
      <alignment horizontal="center" vertical="center" wrapText="1"/>
    </xf>
    <xf numFmtId="1" fontId="13" fillId="12" borderId="14" xfId="2" applyNumberFormat="1" applyFont="1" applyFill="1" applyBorder="1" applyAlignment="1">
      <alignment horizontal="center" vertical="center" wrapText="1"/>
    </xf>
    <xf numFmtId="44" fontId="6" fillId="12" borderId="15" xfId="4" applyNumberFormat="1" applyFont="1" applyFill="1" applyBorder="1" applyAlignment="1">
      <alignment horizontal="center" vertical="center" wrapText="1"/>
    </xf>
    <xf numFmtId="2" fontId="6" fillId="0" borderId="13" xfId="3" applyNumberFormat="1" applyFont="1" applyFill="1" applyBorder="1" applyAlignment="1">
      <alignment horizontal="center" vertical="center" wrapText="1"/>
    </xf>
    <xf numFmtId="2" fontId="6" fillId="6" borderId="13" xfId="3" applyNumberFormat="1" applyFont="1" applyFill="1" applyBorder="1" applyAlignment="1">
      <alignment horizontal="center" vertical="center" wrapText="1"/>
    </xf>
    <xf numFmtId="2" fontId="6" fillId="3" borderId="13" xfId="3" applyNumberFormat="1" applyFont="1" applyFill="1" applyBorder="1" applyAlignment="1">
      <alignment horizontal="center" vertical="center" wrapText="1"/>
    </xf>
    <xf numFmtId="2" fontId="6" fillId="7" borderId="13" xfId="3" applyNumberFormat="1" applyFont="1" applyFill="1" applyBorder="1" applyAlignment="1">
      <alignment horizontal="center" vertical="center" wrapText="1"/>
    </xf>
    <xf numFmtId="164" fontId="6" fillId="13" borderId="2" xfId="4" applyNumberFormat="1" applyFont="1" applyFill="1" applyBorder="1" applyAlignment="1">
      <alignment vertical="center" wrapText="1"/>
    </xf>
    <xf numFmtId="164" fontId="5" fillId="13" borderId="2" xfId="4" applyNumberFormat="1" applyFont="1" applyFill="1" applyBorder="1" applyAlignment="1">
      <alignment vertical="center" wrapText="1"/>
    </xf>
    <xf numFmtId="164" fontId="5" fillId="0" borderId="2" xfId="4" applyNumberFormat="1" applyFont="1" applyBorder="1" applyAlignment="1">
      <alignment horizontal="center" vertical="center" wrapText="1"/>
    </xf>
    <xf numFmtId="44" fontId="6" fillId="8" borderId="2" xfId="4" applyNumberFormat="1" applyFont="1" applyFill="1" applyBorder="1" applyAlignment="1">
      <alignment vertical="center" wrapText="1"/>
    </xf>
    <xf numFmtId="164" fontId="5" fillId="0" borderId="0" xfId="4" applyNumberFormat="1" applyFont="1" applyAlignment="1">
      <alignment horizontal="center" vertical="center" wrapText="1"/>
    </xf>
    <xf numFmtId="0" fontId="6" fillId="0" borderId="9" xfId="4" applyFont="1" applyBorder="1" applyAlignment="1">
      <alignment horizontal="left" vertical="center" wrapText="1"/>
    </xf>
    <xf numFmtId="0" fontId="6" fillId="6" borderId="16" xfId="4" applyFont="1" applyFill="1" applyBorder="1" applyAlignment="1">
      <alignment horizontal="left" vertical="center" wrapText="1"/>
    </xf>
    <xf numFmtId="0" fontId="6" fillId="0" borderId="17" xfId="4" applyFont="1" applyBorder="1" applyAlignment="1">
      <alignment horizontal="left" vertical="center" wrapText="1"/>
    </xf>
    <xf numFmtId="43" fontId="9" fillId="0" borderId="3" xfId="1" applyFont="1" applyFill="1" applyBorder="1" applyAlignment="1">
      <alignment horizontal="center" vertical="center" wrapText="1"/>
    </xf>
    <xf numFmtId="43" fontId="9" fillId="0" borderId="4" xfId="1" applyFont="1" applyFill="1" applyBorder="1" applyAlignment="1">
      <alignment horizontal="center" vertical="center" wrapText="1"/>
    </xf>
    <xf numFmtId="43" fontId="9" fillId="0" borderId="5" xfId="1" applyFont="1" applyFill="1" applyBorder="1" applyAlignment="1">
      <alignment horizontal="center" vertical="center" wrapText="1"/>
    </xf>
    <xf numFmtId="0" fontId="10" fillId="0" borderId="6" xfId="4" applyFont="1" applyBorder="1" applyAlignment="1">
      <alignment horizontal="center" vertical="center" wrapText="1"/>
    </xf>
    <xf numFmtId="0" fontId="10" fillId="0" borderId="7" xfId="4" applyFont="1" applyBorder="1" applyAlignment="1">
      <alignment horizontal="center" vertical="center" wrapText="1"/>
    </xf>
    <xf numFmtId="0" fontId="10" fillId="4" borderId="8" xfId="4" applyFont="1" applyFill="1" applyBorder="1" applyAlignment="1">
      <alignment horizontal="center" vertical="center" wrapText="1"/>
    </xf>
    <xf numFmtId="0" fontId="10" fillId="4" borderId="7" xfId="4" applyFont="1" applyFill="1" applyBorder="1" applyAlignment="1">
      <alignment horizontal="center" vertical="center" wrapText="1"/>
    </xf>
    <xf numFmtId="1" fontId="2" fillId="0" borderId="0" xfId="1" applyNumberFormat="1" applyFont="1" applyFill="1" applyBorder="1" applyAlignment="1">
      <alignment horizontal="left" vertical="center" wrapText="1"/>
    </xf>
    <xf numFmtId="0" fontId="6" fillId="6" borderId="9" xfId="4" applyFont="1" applyFill="1" applyBorder="1" applyAlignment="1">
      <alignment horizontal="left" vertical="center" wrapText="1"/>
    </xf>
    <xf numFmtId="0" fontId="6" fillId="6" borderId="17" xfId="4" applyFont="1" applyFill="1" applyBorder="1" applyAlignment="1">
      <alignment horizontal="left" vertical="center" wrapText="1"/>
    </xf>
    <xf numFmtId="0" fontId="6" fillId="3" borderId="9" xfId="4" applyFont="1" applyFill="1" applyBorder="1" applyAlignment="1">
      <alignment horizontal="left" vertical="center" wrapText="1"/>
    </xf>
    <xf numFmtId="0" fontId="6" fillId="3" borderId="16" xfId="4" applyFont="1" applyFill="1" applyBorder="1" applyAlignment="1">
      <alignment horizontal="left" vertical="center" wrapText="1"/>
    </xf>
    <xf numFmtId="0" fontId="2" fillId="0" borderId="0" xfId="4" applyFont="1" applyAlignment="1">
      <alignment horizontal="center" vertical="center" wrapText="1"/>
    </xf>
  </cellXfs>
  <cellStyles count="5">
    <cellStyle name="Millares" xfId="1" builtinId="3"/>
    <cellStyle name="Moneda" xfId="2" builtinId="4"/>
    <cellStyle name="Normal" xfId="0" builtinId="0"/>
    <cellStyle name="Normal 2" xfId="4" xr:uid="{B4073CDD-9290-4E21-BB67-D1222877486F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/Users/Natalia%20Holguin/Documents/Pear%20Solutions/SED_Subsanaci&#243;n/SED/PI-FR-GC-04%20V0%20Hoja%20de%20costos%20SED%20NUEVA.xlsx" TargetMode="External"/><Relationship Id="rId1" Type="http://schemas.openxmlformats.org/officeDocument/2006/relationships/externalLinkPath" Target="https://educacionbogota-my.sharepoint.com/Users/Natalia%20Holguin/Documents/Pear%20Solutions/SED_Subsanaci&#243;n/SED/PI-FR-GC-04%20V0%20Hoja%20de%20costos%20SED%20NUEVA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/Users/orduz/Downloads/Escenario%20Concertado.xlsx" TargetMode="External"/><Relationship Id="rId1" Type="http://schemas.openxmlformats.org/officeDocument/2006/relationships/externalLinkPath" Target="https://educacionbogota-my.sharepoint.com/Users/orduz/Downloads/Escenario%20Concert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Variables"/>
      <sheetName val="escenarios"/>
      <sheetName val="PYG SMLV"/>
      <sheetName val="PYG NOMINA ADICIONAL "/>
      <sheetName val="2. RESUMEN"/>
      <sheetName val="3. PERSONAL"/>
      <sheetName val="PYG"/>
      <sheetName val="5. OFERTA ECONOMICA"/>
      <sheetName val="4. COSTOS GENERALES"/>
      <sheetName val="PYG CIFRADO"/>
      <sheetName val="Economica Cifrada"/>
      <sheetName val="Subasta"/>
      <sheetName val="6. FLUJO DE CAJA"/>
      <sheetName val="7. IMPRESION"/>
      <sheetName val="8. LEASING"/>
      <sheetName val="CONTROL DE CAMBIOS"/>
      <sheetName val="Calculadora Salaria"/>
    </sheetNames>
    <sheetDataSet>
      <sheetData sheetId="0">
        <row r="11">
          <cell r="B11">
            <v>1</v>
          </cell>
        </row>
        <row r="12">
          <cell r="B12">
            <v>0</v>
          </cell>
        </row>
        <row r="13">
          <cell r="B13">
            <v>0</v>
          </cell>
        </row>
        <row r="14">
          <cell r="B14">
            <v>0</v>
          </cell>
        </row>
        <row r="15">
          <cell r="B15">
            <v>0</v>
          </cell>
        </row>
        <row r="22">
          <cell r="B22">
            <v>1750905</v>
          </cell>
        </row>
        <row r="23">
          <cell r="B23">
            <v>249095</v>
          </cell>
        </row>
        <row r="25">
          <cell r="B25">
            <v>0</v>
          </cell>
        </row>
        <row r="26">
          <cell r="B26">
            <v>0</v>
          </cell>
        </row>
        <row r="27">
          <cell r="B27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A_Esc_Previo_a_Concertado (3)"/>
      <sheetName val="1_Esc_Concertado"/>
      <sheetName val="Hoja3"/>
      <sheetName val="2A_Esc_Previo_a_Concertado (2)"/>
      <sheetName val="2A_Esc_7%"/>
      <sheetName val="0_ UT_Esc_4 18,5_PropINICIAL"/>
      <sheetName val="1_Esc_Concertado (2)"/>
    </sheetNames>
    <sheetDataSet>
      <sheetData sheetId="0"/>
      <sheetData sheetId="1"/>
      <sheetData sheetId="2"/>
      <sheetData sheetId="3"/>
      <sheetData sheetId="4"/>
      <sheetData sheetId="5">
        <row r="64">
          <cell r="J64">
            <v>229324726.25999999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07EB0-D76B-4424-8ADD-EAB62A2BBF87}">
  <sheetPr>
    <pageSetUpPr fitToPage="1"/>
  </sheetPr>
  <dimension ref="A1:AL71"/>
  <sheetViews>
    <sheetView tabSelected="1" topLeftCell="E51" zoomScale="139" zoomScaleNormal="120" workbookViewId="0">
      <selection activeCell="F70" sqref="F70:M70"/>
    </sheetView>
  </sheetViews>
  <sheetFormatPr baseColWidth="10" defaultColWidth="7.33203125" defaultRowHeight="13" x14ac:dyDescent="0.2"/>
  <cols>
    <col min="1" max="1" width="5.5" style="1" customWidth="1"/>
    <col min="2" max="2" width="20.83203125" style="1" customWidth="1"/>
    <col min="3" max="3" width="11.6640625" style="1" customWidth="1"/>
    <col min="4" max="4" width="28.83203125" style="4" customWidth="1"/>
    <col min="5" max="5" width="14.6640625" style="4" customWidth="1"/>
    <col min="6" max="6" width="25.83203125" style="4" customWidth="1"/>
    <col min="7" max="7" width="19.1640625" style="4" customWidth="1"/>
    <col min="8" max="8" width="25.5" style="4" customWidth="1"/>
    <col min="9" max="9" width="22.1640625" style="4" customWidth="1"/>
    <col min="10" max="10" width="17.6640625" style="4" hidden="1" customWidth="1"/>
    <col min="11" max="11" width="17.6640625" style="4" customWidth="1"/>
    <col min="12" max="12" width="17.6640625" style="4" hidden="1" customWidth="1"/>
    <col min="13" max="13" width="20.5" style="4" customWidth="1"/>
    <col min="14" max="14" width="20.5" style="4" hidden="1" customWidth="1"/>
    <col min="15" max="121" width="11.5" style="4" customWidth="1"/>
    <col min="122" max="16384" width="7.33203125" style="4"/>
  </cols>
  <sheetData>
    <row r="1" spans="1:38" ht="32" thickTop="1" thickBot="1" x14ac:dyDescent="0.25">
      <c r="B1" s="2" t="s">
        <v>0</v>
      </c>
      <c r="C1" s="3">
        <v>0.09</v>
      </c>
      <c r="H1" s="5" t="s">
        <v>1</v>
      </c>
      <c r="I1" s="6">
        <f>E3</f>
        <v>2765489</v>
      </c>
    </row>
    <row r="2" spans="1:38" ht="19" customHeight="1" thickTop="1" thickBot="1" x14ac:dyDescent="0.25">
      <c r="B2" s="2" t="s">
        <v>2</v>
      </c>
      <c r="C2" s="7">
        <v>0.23</v>
      </c>
      <c r="D2" s="8">
        <v>1750905</v>
      </c>
      <c r="E2" s="9">
        <f>D2*1.52</f>
        <v>2661375.6</v>
      </c>
      <c r="F2" s="10">
        <f>D2*1.39</f>
        <v>2433757.9499999997</v>
      </c>
      <c r="H2" s="5" t="s">
        <v>3</v>
      </c>
      <c r="I2" s="11">
        <f>C2-C4</f>
        <v>0.18480000000000002</v>
      </c>
    </row>
    <row r="3" spans="1:38" s="16" customFormat="1" ht="19" customHeight="1" thickTop="1" thickBot="1" x14ac:dyDescent="0.2">
      <c r="A3" s="12"/>
      <c r="B3" s="13" t="s">
        <v>4</v>
      </c>
      <c r="C3" s="14">
        <v>0.24049999999999999</v>
      </c>
      <c r="D3" s="8">
        <v>249095</v>
      </c>
      <c r="E3" s="9">
        <v>2765489</v>
      </c>
      <c r="F3" s="15">
        <f>E3-D3</f>
        <v>2516394</v>
      </c>
      <c r="H3" s="5" t="s">
        <v>5</v>
      </c>
      <c r="I3" s="11">
        <f>C5-C4</f>
        <v>1.04E-2</v>
      </c>
    </row>
    <row r="4" spans="1:38" s="20" customFormat="1" ht="24" customHeight="1" thickTop="1" thickBot="1" x14ac:dyDescent="0.25">
      <c r="A4" s="17"/>
      <c r="B4" s="18" t="s">
        <v>6</v>
      </c>
      <c r="C4" s="19">
        <v>4.5199999999999997E-2</v>
      </c>
      <c r="H4" s="5" t="s">
        <v>7</v>
      </c>
      <c r="I4" s="11">
        <v>9.1499999999999998E-2</v>
      </c>
    </row>
    <row r="5" spans="1:38" s="20" customFormat="1" ht="19" customHeight="1" thickBot="1" x14ac:dyDescent="0.25">
      <c r="A5" s="17"/>
      <c r="B5" s="18" t="s">
        <v>8</v>
      </c>
      <c r="C5" s="19">
        <v>5.5599999999999997E-2</v>
      </c>
      <c r="D5" s="21"/>
    </row>
    <row r="6" spans="1:38" ht="27.5" customHeight="1" thickBot="1" x14ac:dyDescent="0.25">
      <c r="A6" s="125"/>
      <c r="B6" s="125"/>
      <c r="C6" s="125"/>
      <c r="D6" s="125"/>
      <c r="E6" s="125"/>
      <c r="G6" s="20"/>
      <c r="H6" s="20"/>
      <c r="I6" s="20"/>
    </row>
    <row r="7" spans="1:38" s="22" customFormat="1" ht="26.25" customHeight="1" thickBot="1" x14ac:dyDescent="0.25">
      <c r="A7" s="118"/>
      <c r="B7" s="119"/>
      <c r="C7" s="119"/>
      <c r="D7" s="119"/>
      <c r="E7" s="120"/>
      <c r="F7" s="121" t="s">
        <v>9</v>
      </c>
      <c r="G7" s="122"/>
      <c r="H7" s="123" t="s">
        <v>97</v>
      </c>
      <c r="I7" s="124"/>
    </row>
    <row r="8" spans="1:38" s="26" customFormat="1" ht="55.5" customHeight="1" thickBot="1" x14ac:dyDescent="0.25">
      <c r="A8" s="23" t="s">
        <v>10</v>
      </c>
      <c r="B8" s="24" t="s">
        <v>11</v>
      </c>
      <c r="C8" s="24" t="s">
        <v>12</v>
      </c>
      <c r="D8" s="24" t="s">
        <v>13</v>
      </c>
      <c r="E8" s="24" t="s">
        <v>14</v>
      </c>
      <c r="F8" s="25" t="s">
        <v>15</v>
      </c>
      <c r="G8" s="25" t="s">
        <v>16</v>
      </c>
      <c r="H8" s="25" t="s">
        <v>17</v>
      </c>
      <c r="I8" s="25" t="s">
        <v>18</v>
      </c>
      <c r="J8" s="25" t="s">
        <v>19</v>
      </c>
      <c r="K8" s="25" t="s">
        <v>95</v>
      </c>
      <c r="L8" s="25"/>
      <c r="M8" s="25" t="str">
        <f>CONCATENATE("Número de SMLMV: ", E3)</f>
        <v>Número de SMLMV: 2765489</v>
      </c>
      <c r="N8" s="25" t="str">
        <f>CONCATENATE("Número de SMLMV: ", F3)</f>
        <v>Número de SMLMV: 2516394</v>
      </c>
    </row>
    <row r="9" spans="1:38" s="37" customFormat="1" ht="27" thickBot="1" x14ac:dyDescent="0.25">
      <c r="A9" s="27">
        <v>1</v>
      </c>
      <c r="B9" s="28" t="s">
        <v>21</v>
      </c>
      <c r="C9" s="29" t="s">
        <v>22</v>
      </c>
      <c r="D9" s="30" t="s">
        <v>23</v>
      </c>
      <c r="E9" s="31">
        <v>1</v>
      </c>
      <c r="F9" s="32">
        <v>10981304</v>
      </c>
      <c r="G9" s="33">
        <v>10981304</v>
      </c>
      <c r="H9" s="32">
        <f>ROUND(F9*(1+$I$4),0)</f>
        <v>11986093</v>
      </c>
      <c r="I9" s="34">
        <f>H9*E9</f>
        <v>11986093</v>
      </c>
      <c r="J9" s="32">
        <f>I9-G9</f>
        <v>1004789</v>
      </c>
      <c r="K9" s="35">
        <f>J9/G9</f>
        <v>9.1499971223818227E-2</v>
      </c>
      <c r="L9" s="35"/>
      <c r="M9" s="106">
        <f>F9/$E$3</f>
        <v>3.9708362607842593</v>
      </c>
      <c r="N9" s="106">
        <f t="shared" ref="N9:N47" si="0">F9/$F$3</f>
        <v>4.3639048575064159</v>
      </c>
    </row>
    <row r="10" spans="1:38" s="36" customFormat="1" ht="27" thickBot="1" x14ac:dyDescent="0.25">
      <c r="A10" s="38">
        <v>2</v>
      </c>
      <c r="B10" s="39" t="s">
        <v>21</v>
      </c>
      <c r="C10" s="40" t="s">
        <v>24</v>
      </c>
      <c r="D10" s="41" t="s">
        <v>25</v>
      </c>
      <c r="E10" s="42">
        <v>1</v>
      </c>
      <c r="F10" s="43">
        <v>9385689</v>
      </c>
      <c r="G10" s="44">
        <v>9385689</v>
      </c>
      <c r="H10" s="32">
        <f>ROUND(F10*(1+$I$4),0)</f>
        <v>10244480</v>
      </c>
      <c r="I10" s="34">
        <f t="shared" ref="I10:I51" si="1">H10*E10</f>
        <v>10244480</v>
      </c>
      <c r="J10" s="32">
        <f t="shared" ref="J10:J52" si="2">I10-G10</f>
        <v>858791</v>
      </c>
      <c r="K10" s="35">
        <f t="shared" ref="K10:K52" si="3">J10/G10</f>
        <v>9.1500048637878376E-2</v>
      </c>
      <c r="L10" s="35"/>
      <c r="M10" s="106">
        <f t="shared" ref="M10:M52" si="4">F10/$E$3</f>
        <v>3.3938623512876025</v>
      </c>
      <c r="N10" s="106">
        <f t="shared" si="0"/>
        <v>3.7298169523532483</v>
      </c>
    </row>
    <row r="11" spans="1:38" s="36" customFormat="1" ht="27" thickBot="1" x14ac:dyDescent="0.25">
      <c r="A11" s="38">
        <v>3</v>
      </c>
      <c r="B11" s="39" t="s">
        <v>21</v>
      </c>
      <c r="C11" s="40" t="s">
        <v>26</v>
      </c>
      <c r="D11" s="41" t="s">
        <v>27</v>
      </c>
      <c r="E11" s="42">
        <v>1</v>
      </c>
      <c r="F11" s="43">
        <v>9631415</v>
      </c>
      <c r="G11" s="44">
        <v>9631415</v>
      </c>
      <c r="H11" s="32">
        <f>ROUND(F11*(1+$I$4),0)</f>
        <v>10512689</v>
      </c>
      <c r="I11" s="34">
        <f t="shared" si="1"/>
        <v>10512689</v>
      </c>
      <c r="J11" s="32">
        <f t="shared" si="2"/>
        <v>881274</v>
      </c>
      <c r="K11" s="35">
        <f t="shared" si="3"/>
        <v>9.1499950941787894E-2</v>
      </c>
      <c r="L11" s="35"/>
      <c r="M11" s="106">
        <f t="shared" si="4"/>
        <v>3.4827167998137036</v>
      </c>
      <c r="N11" s="106">
        <f t="shared" si="0"/>
        <v>3.8274670023851591</v>
      </c>
    </row>
    <row r="12" spans="1:38" s="36" customFormat="1" ht="20.25" customHeight="1" thickBot="1" x14ac:dyDescent="0.25">
      <c r="A12" s="38">
        <v>4</v>
      </c>
      <c r="B12" s="39" t="s">
        <v>28</v>
      </c>
      <c r="C12" s="40" t="s">
        <v>29</v>
      </c>
      <c r="D12" s="41" t="s">
        <v>30</v>
      </c>
      <c r="E12" s="42">
        <v>1</v>
      </c>
      <c r="F12" s="43">
        <v>8934380</v>
      </c>
      <c r="G12" s="44">
        <v>8934380</v>
      </c>
      <c r="H12" s="32">
        <f>ROUND(F12*(1+$I$4),0)</f>
        <v>9751876</v>
      </c>
      <c r="I12" s="34">
        <f t="shared" si="1"/>
        <v>9751876</v>
      </c>
      <c r="J12" s="32">
        <f t="shared" si="2"/>
        <v>817496</v>
      </c>
      <c r="K12" s="35">
        <f t="shared" si="3"/>
        <v>9.1500025743252472E-2</v>
      </c>
      <c r="L12" s="35"/>
      <c r="M12" s="106">
        <f t="shared" si="4"/>
        <v>3.2306691510976902</v>
      </c>
      <c r="N12" s="106">
        <f t="shared" si="0"/>
        <v>3.5504694415898306</v>
      </c>
    </row>
    <row r="13" spans="1:38" s="54" customFormat="1" ht="20.25" customHeight="1" thickBot="1" x14ac:dyDescent="0.25">
      <c r="A13" s="45">
        <v>5</v>
      </c>
      <c r="B13" s="46" t="s">
        <v>28</v>
      </c>
      <c r="C13" s="126" t="s">
        <v>31</v>
      </c>
      <c r="D13" s="47" t="s">
        <v>32</v>
      </c>
      <c r="E13" s="48">
        <v>1</v>
      </c>
      <c r="F13" s="49">
        <v>4775132</v>
      </c>
      <c r="G13" s="50">
        <v>4775132</v>
      </c>
      <c r="H13" s="51">
        <f>ROUND(F13*(1+$I$2),0)</f>
        <v>5657576</v>
      </c>
      <c r="I13" s="52">
        <f t="shared" si="1"/>
        <v>5657576</v>
      </c>
      <c r="J13" s="51">
        <f t="shared" si="2"/>
        <v>882444</v>
      </c>
      <c r="K13" s="53">
        <f t="shared" si="3"/>
        <v>0.18479991757295924</v>
      </c>
      <c r="L13" s="53"/>
      <c r="M13" s="107">
        <f t="shared" si="4"/>
        <v>1.7266863111731776</v>
      </c>
      <c r="N13" s="107">
        <f t="shared" si="0"/>
        <v>1.897609038966076</v>
      </c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</row>
    <row r="14" spans="1:38" s="54" customFormat="1" ht="30.5" customHeight="1" thickBot="1" x14ac:dyDescent="0.25">
      <c r="A14" s="45">
        <v>6</v>
      </c>
      <c r="B14" s="46" t="s">
        <v>28</v>
      </c>
      <c r="C14" s="116"/>
      <c r="D14" s="47" t="s">
        <v>33</v>
      </c>
      <c r="E14" s="48">
        <v>17</v>
      </c>
      <c r="F14" s="49">
        <v>4453638</v>
      </c>
      <c r="G14" s="50">
        <v>75711846</v>
      </c>
      <c r="H14" s="51">
        <f t="shared" ref="H14:H25" si="5">ROUND(F14*(1+$I$2),0)</f>
        <v>5276670</v>
      </c>
      <c r="I14" s="52">
        <f t="shared" si="1"/>
        <v>89703390</v>
      </c>
      <c r="J14" s="51">
        <f t="shared" si="2"/>
        <v>13991544</v>
      </c>
      <c r="K14" s="53">
        <f t="shared" si="3"/>
        <v>0.18479993210045362</v>
      </c>
      <c r="L14" s="53"/>
      <c r="M14" s="107">
        <f t="shared" si="4"/>
        <v>1.6104341763789334</v>
      </c>
      <c r="N14" s="107">
        <f t="shared" si="0"/>
        <v>1.7698492366457717</v>
      </c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</row>
    <row r="15" spans="1:38" s="54" customFormat="1" ht="20.25" customHeight="1" thickBot="1" x14ac:dyDescent="0.25">
      <c r="A15" s="45">
        <v>7</v>
      </c>
      <c r="B15" s="46" t="s">
        <v>28</v>
      </c>
      <c r="C15" s="126" t="s">
        <v>34</v>
      </c>
      <c r="D15" s="47" t="s">
        <v>35</v>
      </c>
      <c r="E15" s="48">
        <v>4</v>
      </c>
      <c r="F15" s="49">
        <v>4291296</v>
      </c>
      <c r="G15" s="50">
        <v>17165184</v>
      </c>
      <c r="H15" s="51">
        <f t="shared" si="5"/>
        <v>5084328</v>
      </c>
      <c r="I15" s="52">
        <f t="shared" si="1"/>
        <v>20337312</v>
      </c>
      <c r="J15" s="51">
        <f t="shared" si="2"/>
        <v>3172128</v>
      </c>
      <c r="K15" s="53">
        <f t="shared" si="3"/>
        <v>0.18480011632849377</v>
      </c>
      <c r="L15" s="53"/>
      <c r="M15" s="107">
        <f t="shared" si="4"/>
        <v>1.5517313574561316</v>
      </c>
      <c r="N15" s="107">
        <f t="shared" si="0"/>
        <v>1.7053354919778063</v>
      </c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</row>
    <row r="16" spans="1:38" s="54" customFormat="1" ht="27" customHeight="1" thickBot="1" x14ac:dyDescent="0.25">
      <c r="A16" s="45">
        <v>8</v>
      </c>
      <c r="B16" s="46" t="s">
        <v>28</v>
      </c>
      <c r="C16" s="127"/>
      <c r="D16" s="47" t="s">
        <v>36</v>
      </c>
      <c r="E16" s="48">
        <v>4</v>
      </c>
      <c r="F16" s="49">
        <v>4416854</v>
      </c>
      <c r="G16" s="50">
        <v>17667416</v>
      </c>
      <c r="H16" s="51">
        <f t="shared" si="5"/>
        <v>5233089</v>
      </c>
      <c r="I16" s="52">
        <f>H16*E16</f>
        <v>20932356</v>
      </c>
      <c r="J16" s="51">
        <f t="shared" si="2"/>
        <v>3264940</v>
      </c>
      <c r="K16" s="53">
        <f t="shared" si="3"/>
        <v>0.1848000862152111</v>
      </c>
      <c r="L16" s="53"/>
      <c r="M16" s="107">
        <f t="shared" si="4"/>
        <v>1.5971330929177443</v>
      </c>
      <c r="N16" s="107">
        <f t="shared" si="0"/>
        <v>1.7552314939552391</v>
      </c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</row>
    <row r="17" spans="1:38" s="54" customFormat="1" ht="27" thickBot="1" x14ac:dyDescent="0.25">
      <c r="A17" s="45">
        <v>9</v>
      </c>
      <c r="B17" s="46" t="s">
        <v>28</v>
      </c>
      <c r="C17" s="127"/>
      <c r="D17" s="47" t="s">
        <v>37</v>
      </c>
      <c r="E17" s="48">
        <v>20</v>
      </c>
      <c r="F17" s="49">
        <v>3209086</v>
      </c>
      <c r="G17" s="50">
        <v>64181720</v>
      </c>
      <c r="H17" s="51">
        <f t="shared" si="5"/>
        <v>3802125</v>
      </c>
      <c r="I17" s="52">
        <f t="shared" si="1"/>
        <v>76042500</v>
      </c>
      <c r="J17" s="51">
        <f t="shared" si="2"/>
        <v>11860780</v>
      </c>
      <c r="K17" s="53">
        <f t="shared" si="3"/>
        <v>0.18479997108210874</v>
      </c>
      <c r="L17" s="53"/>
      <c r="M17" s="107">
        <f t="shared" si="4"/>
        <v>1.1604045432833037</v>
      </c>
      <c r="N17" s="107">
        <f t="shared" si="0"/>
        <v>1.2752716784414524</v>
      </c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</row>
    <row r="18" spans="1:38" s="54" customFormat="1" ht="27" thickBot="1" x14ac:dyDescent="0.25">
      <c r="A18" s="45">
        <v>10</v>
      </c>
      <c r="B18" s="46" t="s">
        <v>28</v>
      </c>
      <c r="C18" s="127"/>
      <c r="D18" s="47" t="s">
        <v>38</v>
      </c>
      <c r="E18" s="48">
        <v>24</v>
      </c>
      <c r="F18" s="49">
        <v>3368300</v>
      </c>
      <c r="G18" s="50">
        <v>80839200</v>
      </c>
      <c r="H18" s="51">
        <f t="shared" si="5"/>
        <v>3990762</v>
      </c>
      <c r="I18" s="52">
        <f t="shared" si="1"/>
        <v>95778288</v>
      </c>
      <c r="J18" s="51">
        <f t="shared" si="2"/>
        <v>14939088</v>
      </c>
      <c r="K18" s="53">
        <f t="shared" si="3"/>
        <v>0.18480004750170709</v>
      </c>
      <c r="L18" s="53"/>
      <c r="M18" s="107">
        <f t="shared" si="4"/>
        <v>1.2179762783363086</v>
      </c>
      <c r="N18" s="107">
        <f t="shared" si="0"/>
        <v>1.3385423745248162</v>
      </c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</row>
    <row r="19" spans="1:38" s="54" customFormat="1" ht="27" thickBot="1" x14ac:dyDescent="0.25">
      <c r="A19" s="45">
        <v>11</v>
      </c>
      <c r="B19" s="46" t="s">
        <v>28</v>
      </c>
      <c r="C19" s="116"/>
      <c r="D19" s="47" t="s">
        <v>39</v>
      </c>
      <c r="E19" s="48">
        <v>11</v>
      </c>
      <c r="F19" s="49">
        <v>2731695</v>
      </c>
      <c r="G19" s="50">
        <v>30048645</v>
      </c>
      <c r="H19" s="51">
        <f t="shared" si="5"/>
        <v>3236512</v>
      </c>
      <c r="I19" s="52">
        <f t="shared" si="1"/>
        <v>35601632</v>
      </c>
      <c r="J19" s="51">
        <f t="shared" si="2"/>
        <v>5552987</v>
      </c>
      <c r="K19" s="53">
        <f t="shared" si="3"/>
        <v>0.18479991360675332</v>
      </c>
      <c r="L19" s="53"/>
      <c r="M19" s="107">
        <f t="shared" si="4"/>
        <v>0.98778009964964608</v>
      </c>
      <c r="N19" s="107">
        <f t="shared" si="0"/>
        <v>1.0855593360976064</v>
      </c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</row>
    <row r="20" spans="1:38" s="36" customFormat="1" ht="23.5" customHeight="1" thickBot="1" x14ac:dyDescent="0.25">
      <c r="A20" s="55">
        <v>12</v>
      </c>
      <c r="B20" s="56" t="s">
        <v>28</v>
      </c>
      <c r="C20" s="128" t="s">
        <v>40</v>
      </c>
      <c r="D20" s="57" t="s">
        <v>41</v>
      </c>
      <c r="E20" s="58">
        <v>126</v>
      </c>
      <c r="F20" s="59">
        <v>2068268</v>
      </c>
      <c r="G20" s="60">
        <v>260601768</v>
      </c>
      <c r="H20" s="60">
        <f>E3</f>
        <v>2765489</v>
      </c>
      <c r="I20" s="61">
        <f>H20*E20</f>
        <v>348451614</v>
      </c>
      <c r="J20" s="62">
        <f t="shared" si="2"/>
        <v>87849846</v>
      </c>
      <c r="K20" s="63">
        <f t="shared" si="3"/>
        <v>0.33710379892741171</v>
      </c>
      <c r="L20" s="63"/>
      <c r="M20" s="108">
        <f t="shared" si="4"/>
        <v>0.7478850937392989</v>
      </c>
      <c r="N20" s="108">
        <f t="shared" si="0"/>
        <v>0.82191739449386703</v>
      </c>
    </row>
    <row r="21" spans="1:38" s="36" customFormat="1" ht="29" customHeight="1" thickBot="1" x14ac:dyDescent="0.25">
      <c r="A21" s="45">
        <v>13</v>
      </c>
      <c r="B21" s="46" t="s">
        <v>28</v>
      </c>
      <c r="C21" s="129"/>
      <c r="D21" s="47" t="s">
        <v>42</v>
      </c>
      <c r="E21" s="48">
        <v>2</v>
      </c>
      <c r="F21" s="49">
        <v>2594053</v>
      </c>
      <c r="G21" s="50">
        <v>5188106</v>
      </c>
      <c r="H21" s="51">
        <f t="shared" si="5"/>
        <v>3073434</v>
      </c>
      <c r="I21" s="52">
        <f t="shared" si="1"/>
        <v>6146868</v>
      </c>
      <c r="J21" s="51">
        <f t="shared" si="2"/>
        <v>958762</v>
      </c>
      <c r="K21" s="53">
        <f t="shared" si="3"/>
        <v>0.18480000215878395</v>
      </c>
      <c r="L21" s="53"/>
      <c r="M21" s="107">
        <f t="shared" si="4"/>
        <v>0.93800879338156828</v>
      </c>
      <c r="N21" s="107">
        <f t="shared" si="0"/>
        <v>1.0308612244346473</v>
      </c>
    </row>
    <row r="22" spans="1:38" s="54" customFormat="1" ht="29" customHeight="1" thickBot="1" x14ac:dyDescent="0.25">
      <c r="A22" s="45">
        <v>14</v>
      </c>
      <c r="B22" s="46" t="s">
        <v>28</v>
      </c>
      <c r="C22" s="126" t="s">
        <v>43</v>
      </c>
      <c r="D22" s="47" t="s">
        <v>44</v>
      </c>
      <c r="E22" s="48">
        <v>1</v>
      </c>
      <c r="F22" s="49">
        <v>3222968</v>
      </c>
      <c r="G22" s="50">
        <v>3222968</v>
      </c>
      <c r="H22" s="51">
        <f t="shared" si="5"/>
        <v>3818572</v>
      </c>
      <c r="I22" s="52">
        <f t="shared" si="1"/>
        <v>3818572</v>
      </c>
      <c r="J22" s="51">
        <f t="shared" si="2"/>
        <v>595604</v>
      </c>
      <c r="K22" s="53">
        <f t="shared" si="3"/>
        <v>0.18479984908320529</v>
      </c>
      <c r="L22" s="53"/>
      <c r="M22" s="107">
        <f t="shared" si="4"/>
        <v>1.1654242703550801</v>
      </c>
      <c r="N22" s="107">
        <f t="shared" si="0"/>
        <v>1.2807883026266951</v>
      </c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</row>
    <row r="23" spans="1:38" s="54" customFormat="1" ht="29" customHeight="1" thickBot="1" x14ac:dyDescent="0.25">
      <c r="A23" s="45">
        <v>15</v>
      </c>
      <c r="B23" s="46" t="s">
        <v>28</v>
      </c>
      <c r="C23" s="116"/>
      <c r="D23" s="47" t="s">
        <v>45</v>
      </c>
      <c r="E23" s="48">
        <v>10</v>
      </c>
      <c r="F23" s="49">
        <v>2158142</v>
      </c>
      <c r="G23" s="50">
        <v>21581420</v>
      </c>
      <c r="H23" s="51">
        <f t="shared" si="5"/>
        <v>2556967</v>
      </c>
      <c r="I23" s="52">
        <f t="shared" si="1"/>
        <v>25569670</v>
      </c>
      <c r="J23" s="51">
        <f t="shared" si="2"/>
        <v>3988250</v>
      </c>
      <c r="K23" s="53">
        <f t="shared" si="3"/>
        <v>0.18480016606877583</v>
      </c>
      <c r="L23" s="53"/>
      <c r="M23" s="107">
        <f t="shared" si="4"/>
        <v>0.78038350541260515</v>
      </c>
      <c r="N23" s="107">
        <f t="shared" si="0"/>
        <v>0.85763278723443148</v>
      </c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</row>
    <row r="24" spans="1:38" s="54" customFormat="1" ht="29" customHeight="1" thickBot="1" x14ac:dyDescent="0.25">
      <c r="A24" s="45">
        <v>16</v>
      </c>
      <c r="B24" s="46" t="s">
        <v>28</v>
      </c>
      <c r="C24" s="126" t="s">
        <v>46</v>
      </c>
      <c r="D24" s="47" t="s">
        <v>47</v>
      </c>
      <c r="E24" s="48">
        <v>1</v>
      </c>
      <c r="F24" s="49">
        <v>2819718</v>
      </c>
      <c r="G24" s="50">
        <v>2819718</v>
      </c>
      <c r="H24" s="51">
        <f t="shared" si="5"/>
        <v>3340802</v>
      </c>
      <c r="I24" s="52">
        <f t="shared" si="1"/>
        <v>3340802</v>
      </c>
      <c r="J24" s="51">
        <f t="shared" si="2"/>
        <v>521084</v>
      </c>
      <c r="K24" s="53">
        <f t="shared" si="3"/>
        <v>0.18480004028771671</v>
      </c>
      <c r="L24" s="53"/>
      <c r="M24" s="107">
        <f t="shared" si="4"/>
        <v>1.0196091902734019</v>
      </c>
      <c r="N24" s="107">
        <f t="shared" si="0"/>
        <v>1.1205391524538686</v>
      </c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</row>
    <row r="25" spans="1:38" s="54" customFormat="1" ht="29" customHeight="1" thickBot="1" x14ac:dyDescent="0.25">
      <c r="A25" s="45">
        <v>17</v>
      </c>
      <c r="B25" s="46" t="s">
        <v>28</v>
      </c>
      <c r="C25" s="116"/>
      <c r="D25" s="47" t="s">
        <v>48</v>
      </c>
      <c r="E25" s="48">
        <v>1</v>
      </c>
      <c r="F25" s="49">
        <v>3417248</v>
      </c>
      <c r="G25" s="50">
        <v>3417248</v>
      </c>
      <c r="H25" s="51">
        <f t="shared" si="5"/>
        <v>4048755</v>
      </c>
      <c r="I25" s="52">
        <f t="shared" si="1"/>
        <v>4048755</v>
      </c>
      <c r="J25" s="51">
        <f t="shared" si="2"/>
        <v>631507</v>
      </c>
      <c r="K25" s="53">
        <f t="shared" si="3"/>
        <v>0.18479987405069812</v>
      </c>
      <c r="L25" s="53"/>
      <c r="M25" s="107">
        <f t="shared" si="4"/>
        <v>1.2356758605801723</v>
      </c>
      <c r="N25" s="107">
        <f t="shared" si="0"/>
        <v>1.3579940184247776</v>
      </c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</row>
    <row r="26" spans="1:38" s="36" customFormat="1" ht="14" thickBot="1" x14ac:dyDescent="0.25">
      <c r="A26" s="38">
        <v>18</v>
      </c>
      <c r="B26" s="39" t="s">
        <v>49</v>
      </c>
      <c r="C26" s="40" t="s">
        <v>29</v>
      </c>
      <c r="D26" s="41" t="s">
        <v>50</v>
      </c>
      <c r="E26" s="42">
        <v>1</v>
      </c>
      <c r="F26" s="43">
        <v>9944695</v>
      </c>
      <c r="G26" s="44">
        <v>9944695</v>
      </c>
      <c r="H26" s="32">
        <f>ROUND(F26*(1+$I$4),0)</f>
        <v>10854635</v>
      </c>
      <c r="I26" s="34">
        <f t="shared" si="1"/>
        <v>10854635</v>
      </c>
      <c r="J26" s="32">
        <f t="shared" si="2"/>
        <v>909940</v>
      </c>
      <c r="K26" s="35">
        <f t="shared" si="3"/>
        <v>9.1500040976621205E-2</v>
      </c>
      <c r="L26" s="35"/>
      <c r="M26" s="106">
        <f t="shared" si="4"/>
        <v>3.595998754650624</v>
      </c>
      <c r="N26" s="106">
        <f t="shared" si="0"/>
        <v>3.9519626099887377</v>
      </c>
    </row>
    <row r="27" spans="1:38" s="36" customFormat="1" ht="27" thickBot="1" x14ac:dyDescent="0.25">
      <c r="A27" s="38">
        <v>19</v>
      </c>
      <c r="B27" s="39" t="s">
        <v>49</v>
      </c>
      <c r="C27" s="115" t="s">
        <v>51</v>
      </c>
      <c r="D27" s="41" t="s">
        <v>52</v>
      </c>
      <c r="E27" s="42">
        <v>1</v>
      </c>
      <c r="F27" s="43">
        <v>9286358</v>
      </c>
      <c r="G27" s="44">
        <v>9286358</v>
      </c>
      <c r="H27" s="32">
        <f>ROUND(F27*(1+$I$4),0)</f>
        <v>10136060</v>
      </c>
      <c r="I27" s="34">
        <f t="shared" si="1"/>
        <v>10136060</v>
      </c>
      <c r="J27" s="32">
        <f t="shared" si="2"/>
        <v>849702</v>
      </c>
      <c r="K27" s="35">
        <f t="shared" si="3"/>
        <v>9.1500026167416759E-2</v>
      </c>
      <c r="L27" s="35"/>
      <c r="M27" s="106">
        <f t="shared" si="4"/>
        <v>3.3579442912266151</v>
      </c>
      <c r="N27" s="106">
        <f t="shared" si="0"/>
        <v>3.6903434040933178</v>
      </c>
    </row>
    <row r="28" spans="1:38" s="64" customFormat="1" ht="27" thickBot="1" x14ac:dyDescent="0.25">
      <c r="A28" s="38">
        <v>20</v>
      </c>
      <c r="B28" s="39" t="s">
        <v>49</v>
      </c>
      <c r="C28" s="117"/>
      <c r="D28" s="41" t="s">
        <v>53</v>
      </c>
      <c r="E28" s="42">
        <v>1</v>
      </c>
      <c r="F28" s="43">
        <v>11178713</v>
      </c>
      <c r="G28" s="44">
        <v>11178713</v>
      </c>
      <c r="H28" s="32">
        <f>ROUND(F28*(1+$I$4),0)</f>
        <v>12201565</v>
      </c>
      <c r="I28" s="34">
        <f>H28*E28</f>
        <v>12201565</v>
      </c>
      <c r="J28" s="32">
        <f t="shared" si="2"/>
        <v>1022852</v>
      </c>
      <c r="K28" s="35">
        <f t="shared" si="3"/>
        <v>9.1499978575351207E-2</v>
      </c>
      <c r="L28" s="35"/>
      <c r="M28" s="106">
        <f t="shared" si="4"/>
        <v>4.0422192964788506</v>
      </c>
      <c r="N28" s="106">
        <f t="shared" si="0"/>
        <v>4.4423540192831492</v>
      </c>
    </row>
    <row r="29" spans="1:38" s="64" customFormat="1" ht="27" thickBot="1" x14ac:dyDescent="0.25">
      <c r="A29" s="38">
        <v>21</v>
      </c>
      <c r="B29" s="39" t="s">
        <v>49</v>
      </c>
      <c r="C29" s="117"/>
      <c r="D29" s="41" t="s">
        <v>54</v>
      </c>
      <c r="E29" s="42">
        <v>1</v>
      </c>
      <c r="F29" s="43">
        <v>9822608</v>
      </c>
      <c r="G29" s="44">
        <v>9822608</v>
      </c>
      <c r="H29" s="32">
        <f>ROUND(F29*(1+$I$4),0)</f>
        <v>10721377</v>
      </c>
      <c r="I29" s="34">
        <f t="shared" si="1"/>
        <v>10721377</v>
      </c>
      <c r="J29" s="32">
        <f t="shared" si="2"/>
        <v>898769</v>
      </c>
      <c r="K29" s="35">
        <f t="shared" si="3"/>
        <v>9.1500037464591885E-2</v>
      </c>
      <c r="L29" s="35"/>
      <c r="M29" s="106">
        <f t="shared" si="4"/>
        <v>3.551852131756807</v>
      </c>
      <c r="N29" s="106">
        <f t="shared" si="0"/>
        <v>3.9034459627546401</v>
      </c>
    </row>
    <row r="30" spans="1:38" s="64" customFormat="1" ht="14" thickBot="1" x14ac:dyDescent="0.25">
      <c r="A30" s="38">
        <v>22</v>
      </c>
      <c r="B30" s="39" t="s">
        <v>49</v>
      </c>
      <c r="C30" s="117"/>
      <c r="D30" s="41" t="s">
        <v>55</v>
      </c>
      <c r="E30" s="42">
        <v>1</v>
      </c>
      <c r="F30" s="43">
        <v>10760465</v>
      </c>
      <c r="G30" s="44">
        <v>10760465</v>
      </c>
      <c r="H30" s="32">
        <f>ROUND(F30*(1+$I$4),0)</f>
        <v>11745048</v>
      </c>
      <c r="I30" s="34">
        <f t="shared" si="1"/>
        <v>11745048</v>
      </c>
      <c r="J30" s="32">
        <f t="shared" si="2"/>
        <v>984583</v>
      </c>
      <c r="K30" s="35">
        <f t="shared" si="3"/>
        <v>9.1500042052086034E-2</v>
      </c>
      <c r="L30" s="35"/>
      <c r="M30" s="106">
        <f t="shared" si="4"/>
        <v>3.8909809440572718</v>
      </c>
      <c r="N30" s="106">
        <f t="shared" si="0"/>
        <v>4.2761447531666343</v>
      </c>
    </row>
    <row r="31" spans="1:38" s="74" customFormat="1" ht="40" thickBot="1" x14ac:dyDescent="0.25">
      <c r="A31" s="65">
        <v>23</v>
      </c>
      <c r="B31" s="66" t="s">
        <v>49</v>
      </c>
      <c r="C31" s="116"/>
      <c r="D31" s="67" t="s">
        <v>56</v>
      </c>
      <c r="E31" s="68">
        <v>2</v>
      </c>
      <c r="F31" s="69">
        <v>3401672</v>
      </c>
      <c r="G31" s="70">
        <v>6803344</v>
      </c>
      <c r="H31" s="51">
        <f t="shared" ref="H31" si="6">ROUND(F31*(1+$I$2),0)</f>
        <v>4030301</v>
      </c>
      <c r="I31" s="71">
        <f t="shared" si="1"/>
        <v>8060602</v>
      </c>
      <c r="J31" s="72">
        <f t="shared" si="2"/>
        <v>1257258</v>
      </c>
      <c r="K31" s="73">
        <f t="shared" si="3"/>
        <v>0.18480000423321238</v>
      </c>
      <c r="L31" s="73"/>
      <c r="M31" s="109">
        <f t="shared" si="4"/>
        <v>1.2300435836121568</v>
      </c>
      <c r="N31" s="109">
        <f t="shared" si="0"/>
        <v>1.3518042087208919</v>
      </c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</row>
    <row r="32" spans="1:38" s="64" customFormat="1" ht="27" thickBot="1" x14ac:dyDescent="0.25">
      <c r="A32" s="38">
        <v>24</v>
      </c>
      <c r="B32" s="39" t="s">
        <v>49</v>
      </c>
      <c r="C32" s="115" t="s">
        <v>57</v>
      </c>
      <c r="D32" s="41" t="s">
        <v>58</v>
      </c>
      <c r="E32" s="42">
        <v>1</v>
      </c>
      <c r="F32" s="43">
        <v>9113761</v>
      </c>
      <c r="G32" s="44">
        <v>9113761</v>
      </c>
      <c r="H32" s="32">
        <f>ROUND(F32*(1+$I$4),0)</f>
        <v>9947670</v>
      </c>
      <c r="I32" s="34">
        <f t="shared" si="1"/>
        <v>9947670</v>
      </c>
      <c r="J32" s="32">
        <f t="shared" si="2"/>
        <v>833909</v>
      </c>
      <c r="K32" s="35">
        <f t="shared" si="3"/>
        <v>9.1499985571269649E-2</v>
      </c>
      <c r="L32" s="35"/>
      <c r="M32" s="106">
        <f t="shared" si="4"/>
        <v>3.295533267353441</v>
      </c>
      <c r="N32" s="106">
        <f t="shared" si="0"/>
        <v>3.621754383455055</v>
      </c>
    </row>
    <row r="33" spans="1:38" s="75" customFormat="1" ht="27" thickBot="1" x14ac:dyDescent="0.25">
      <c r="A33" s="65">
        <v>25</v>
      </c>
      <c r="B33" s="66" t="s">
        <v>49</v>
      </c>
      <c r="C33" s="116"/>
      <c r="D33" s="67" t="s">
        <v>59</v>
      </c>
      <c r="E33" s="68">
        <v>1</v>
      </c>
      <c r="F33" s="69">
        <v>3165411</v>
      </c>
      <c r="G33" s="70">
        <v>3165411</v>
      </c>
      <c r="H33" s="51">
        <f t="shared" ref="H33" si="7">ROUND(F33*(1+$I$2),0)</f>
        <v>3750379</v>
      </c>
      <c r="I33" s="71">
        <f t="shared" si="1"/>
        <v>3750379</v>
      </c>
      <c r="J33" s="72">
        <f t="shared" si="2"/>
        <v>584968</v>
      </c>
      <c r="K33" s="73">
        <f t="shared" si="3"/>
        <v>0.18480001491117584</v>
      </c>
      <c r="L33" s="73"/>
      <c r="M33" s="109">
        <f t="shared" si="4"/>
        <v>1.1446116762713574</v>
      </c>
      <c r="N33" s="109">
        <f t="shared" si="0"/>
        <v>1.2579154933607377</v>
      </c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</row>
    <row r="34" spans="1:38" ht="27" thickBot="1" x14ac:dyDescent="0.25">
      <c r="A34" s="38">
        <v>26</v>
      </c>
      <c r="B34" s="39" t="s">
        <v>49</v>
      </c>
      <c r="C34" s="115" t="s">
        <v>60</v>
      </c>
      <c r="D34" s="41" t="s">
        <v>61</v>
      </c>
      <c r="E34" s="42">
        <v>1</v>
      </c>
      <c r="F34" s="43">
        <v>9420143</v>
      </c>
      <c r="G34" s="44">
        <v>9420143</v>
      </c>
      <c r="H34" s="32">
        <f>ROUND(F34*(1+$I$4),0)</f>
        <v>10282086</v>
      </c>
      <c r="I34" s="34">
        <f t="shared" si="1"/>
        <v>10282086</v>
      </c>
      <c r="J34" s="32">
        <f t="shared" si="2"/>
        <v>861943</v>
      </c>
      <c r="K34" s="35">
        <f t="shared" si="3"/>
        <v>9.1499991029860159E-2</v>
      </c>
      <c r="L34" s="35"/>
      <c r="M34" s="106">
        <f t="shared" si="4"/>
        <v>3.4063209074416858</v>
      </c>
      <c r="N34" s="106">
        <f t="shared" si="0"/>
        <v>3.7435087669101104</v>
      </c>
    </row>
    <row r="35" spans="1:38" ht="14" thickBot="1" x14ac:dyDescent="0.25">
      <c r="A35" s="38">
        <v>27</v>
      </c>
      <c r="B35" s="39" t="s">
        <v>49</v>
      </c>
      <c r="C35" s="117"/>
      <c r="D35" s="41" t="s">
        <v>62</v>
      </c>
      <c r="E35" s="42">
        <v>1</v>
      </c>
      <c r="F35" s="43">
        <v>10669166</v>
      </c>
      <c r="G35" s="44">
        <v>10669166</v>
      </c>
      <c r="H35" s="32">
        <f>ROUND(F35*(1+$I$4),0)</f>
        <v>11645395</v>
      </c>
      <c r="I35" s="34">
        <f t="shared" si="1"/>
        <v>11645395</v>
      </c>
      <c r="J35" s="32">
        <f t="shared" si="2"/>
        <v>976229</v>
      </c>
      <c r="K35" s="35">
        <f t="shared" si="3"/>
        <v>9.1500029149419931E-2</v>
      </c>
      <c r="L35" s="35"/>
      <c r="M35" s="106">
        <f t="shared" si="4"/>
        <v>3.8579672528077311</v>
      </c>
      <c r="N35" s="106">
        <f t="shared" si="0"/>
        <v>4.2398630739065508</v>
      </c>
    </row>
    <row r="36" spans="1:38" ht="27" thickBot="1" x14ac:dyDescent="0.25">
      <c r="A36" s="38">
        <v>28</v>
      </c>
      <c r="B36" s="39" t="s">
        <v>49</v>
      </c>
      <c r="C36" s="117"/>
      <c r="D36" s="41" t="s">
        <v>63</v>
      </c>
      <c r="E36" s="42">
        <v>1</v>
      </c>
      <c r="F36" s="43">
        <v>9031862</v>
      </c>
      <c r="G36" s="44">
        <v>9031862</v>
      </c>
      <c r="H36" s="32">
        <f>ROUND(F36*(1+$I$4),0)</f>
        <v>9858277</v>
      </c>
      <c r="I36" s="34">
        <f t="shared" si="1"/>
        <v>9858277</v>
      </c>
      <c r="J36" s="32">
        <f t="shared" si="2"/>
        <v>826415</v>
      </c>
      <c r="K36" s="35">
        <f t="shared" si="3"/>
        <v>9.1499958701760503E-2</v>
      </c>
      <c r="L36" s="35"/>
      <c r="M36" s="106">
        <f t="shared" si="4"/>
        <v>3.2659186133085325</v>
      </c>
      <c r="N36" s="106">
        <f t="shared" si="0"/>
        <v>3.5892082082535564</v>
      </c>
    </row>
    <row r="37" spans="1:38" ht="27" thickBot="1" x14ac:dyDescent="0.25">
      <c r="A37" s="38">
        <v>29</v>
      </c>
      <c r="B37" s="39" t="s">
        <v>49</v>
      </c>
      <c r="C37" s="117"/>
      <c r="D37" s="41" t="s">
        <v>64</v>
      </c>
      <c r="E37" s="42">
        <v>2</v>
      </c>
      <c r="F37" s="43">
        <v>9062529</v>
      </c>
      <c r="G37" s="44">
        <v>18125058</v>
      </c>
      <c r="H37" s="32">
        <f>ROUND(F37*(1+$I$4),0)</f>
        <v>9891750</v>
      </c>
      <c r="I37" s="34">
        <f t="shared" si="1"/>
        <v>19783500</v>
      </c>
      <c r="J37" s="32">
        <f t="shared" si="2"/>
        <v>1658442</v>
      </c>
      <c r="K37" s="35">
        <f t="shared" si="3"/>
        <v>9.1499955476004549E-2</v>
      </c>
      <c r="L37" s="35"/>
      <c r="M37" s="106">
        <f t="shared" si="4"/>
        <v>3.2770077913887925</v>
      </c>
      <c r="N37" s="106">
        <f t="shared" si="0"/>
        <v>3.6013950915476669</v>
      </c>
    </row>
    <row r="38" spans="1:38" ht="27" thickBot="1" x14ac:dyDescent="0.25">
      <c r="A38" s="38">
        <v>30</v>
      </c>
      <c r="B38" s="39" t="s">
        <v>49</v>
      </c>
      <c r="C38" s="117"/>
      <c r="D38" s="41" t="s">
        <v>65</v>
      </c>
      <c r="E38" s="42">
        <v>1</v>
      </c>
      <c r="F38" s="43">
        <v>10573228</v>
      </c>
      <c r="G38" s="44">
        <v>10573228</v>
      </c>
      <c r="H38" s="32">
        <f>ROUND(F38*(1+$I$4),0)</f>
        <v>11540678</v>
      </c>
      <c r="I38" s="34">
        <f t="shared" si="1"/>
        <v>11540678</v>
      </c>
      <c r="J38" s="32">
        <f t="shared" si="2"/>
        <v>967450</v>
      </c>
      <c r="K38" s="35">
        <f t="shared" si="3"/>
        <v>9.1499965762584526E-2</v>
      </c>
      <c r="L38" s="35"/>
      <c r="M38" s="106">
        <f t="shared" si="4"/>
        <v>3.8232761005377349</v>
      </c>
      <c r="N38" s="106">
        <f t="shared" si="0"/>
        <v>4.2017378836541495</v>
      </c>
    </row>
    <row r="39" spans="1:38" s="75" customFormat="1" ht="27" thickBot="1" x14ac:dyDescent="0.25">
      <c r="A39" s="65">
        <v>31</v>
      </c>
      <c r="B39" s="66" t="s">
        <v>49</v>
      </c>
      <c r="C39" s="116"/>
      <c r="D39" s="67" t="s">
        <v>66</v>
      </c>
      <c r="E39" s="68">
        <v>2</v>
      </c>
      <c r="F39" s="69">
        <v>3184690</v>
      </c>
      <c r="G39" s="70">
        <v>6369380</v>
      </c>
      <c r="H39" s="51">
        <f t="shared" ref="H39" si="8">ROUND(F39*(1+$I$2),0)</f>
        <v>3773221</v>
      </c>
      <c r="I39" s="71">
        <f t="shared" si="1"/>
        <v>7546442</v>
      </c>
      <c r="J39" s="72">
        <f t="shared" si="2"/>
        <v>1177062</v>
      </c>
      <c r="K39" s="73">
        <f t="shared" si="3"/>
        <v>0.18480009043266377</v>
      </c>
      <c r="L39" s="73"/>
      <c r="M39" s="109">
        <f t="shared" si="4"/>
        <v>1.1515829569381761</v>
      </c>
      <c r="N39" s="109">
        <f t="shared" si="0"/>
        <v>1.2655768532272769</v>
      </c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</row>
    <row r="40" spans="1:38" ht="14" thickBot="1" x14ac:dyDescent="0.25">
      <c r="A40" s="38">
        <v>32</v>
      </c>
      <c r="B40" s="39" t="s">
        <v>49</v>
      </c>
      <c r="C40" s="115" t="s">
        <v>67</v>
      </c>
      <c r="D40" s="41" t="s">
        <v>68</v>
      </c>
      <c r="E40" s="42">
        <v>3</v>
      </c>
      <c r="F40" s="43">
        <v>9243349</v>
      </c>
      <c r="G40" s="44">
        <v>27730047</v>
      </c>
      <c r="H40" s="32">
        <f>ROUND(F40*(1+$I$4),0)</f>
        <v>10089115</v>
      </c>
      <c r="I40" s="34">
        <f t="shared" si="1"/>
        <v>30267345</v>
      </c>
      <c r="J40" s="32">
        <f t="shared" si="2"/>
        <v>2537298</v>
      </c>
      <c r="K40" s="35">
        <f t="shared" si="3"/>
        <v>9.1499953101413789E-2</v>
      </c>
      <c r="L40" s="35"/>
      <c r="M40" s="106">
        <f t="shared" si="4"/>
        <v>3.3423922496166139</v>
      </c>
      <c r="N40" s="106">
        <f t="shared" si="0"/>
        <v>3.6732518834490944</v>
      </c>
    </row>
    <row r="41" spans="1:38" s="75" customFormat="1" ht="27" thickBot="1" x14ac:dyDescent="0.25">
      <c r="A41" s="65">
        <v>33</v>
      </c>
      <c r="B41" s="66" t="s">
        <v>49</v>
      </c>
      <c r="C41" s="116"/>
      <c r="D41" s="67" t="s">
        <v>69</v>
      </c>
      <c r="E41" s="68">
        <v>3</v>
      </c>
      <c r="F41" s="69">
        <v>3411756</v>
      </c>
      <c r="G41" s="70">
        <v>10235268</v>
      </c>
      <c r="H41" s="51">
        <f t="shared" ref="H41" si="9">ROUND(F41*(1+$I$2),0)</f>
        <v>4042249</v>
      </c>
      <c r="I41" s="71">
        <f t="shared" si="1"/>
        <v>12126747</v>
      </c>
      <c r="J41" s="72">
        <f t="shared" si="2"/>
        <v>1891479</v>
      </c>
      <c r="K41" s="73">
        <f t="shared" si="3"/>
        <v>0.18480014397278116</v>
      </c>
      <c r="L41" s="73"/>
      <c r="M41" s="109">
        <f t="shared" si="4"/>
        <v>1.2336899550133811</v>
      </c>
      <c r="N41" s="109">
        <f t="shared" si="0"/>
        <v>1.3558115303088467</v>
      </c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</row>
    <row r="42" spans="1:38" ht="27" thickBot="1" x14ac:dyDescent="0.25">
      <c r="A42" s="38">
        <v>34</v>
      </c>
      <c r="B42" s="39" t="s">
        <v>49</v>
      </c>
      <c r="C42" s="115" t="s">
        <v>70</v>
      </c>
      <c r="D42" s="41" t="s">
        <v>71</v>
      </c>
      <c r="E42" s="42">
        <v>1</v>
      </c>
      <c r="F42" s="43">
        <v>10565476</v>
      </c>
      <c r="G42" s="44">
        <v>10565476</v>
      </c>
      <c r="H42" s="32">
        <f>ROUND(F42*(1+$I$4),0)</f>
        <v>11532217</v>
      </c>
      <c r="I42" s="34">
        <f t="shared" si="1"/>
        <v>11532217</v>
      </c>
      <c r="J42" s="32">
        <f t="shared" si="2"/>
        <v>966741</v>
      </c>
      <c r="K42" s="35">
        <f t="shared" si="3"/>
        <v>9.1499994889013989E-2</v>
      </c>
      <c r="L42" s="35"/>
      <c r="M42" s="106">
        <f t="shared" si="4"/>
        <v>3.8204729796430215</v>
      </c>
      <c r="N42" s="106">
        <f t="shared" si="0"/>
        <v>4.1986572849879629</v>
      </c>
    </row>
    <row r="43" spans="1:38" ht="27" thickBot="1" x14ac:dyDescent="0.25">
      <c r="A43" s="38">
        <v>35</v>
      </c>
      <c r="B43" s="39" t="s">
        <v>49</v>
      </c>
      <c r="C43" s="117"/>
      <c r="D43" s="41" t="s">
        <v>72</v>
      </c>
      <c r="E43" s="42">
        <v>1</v>
      </c>
      <c r="F43" s="43">
        <v>10100949</v>
      </c>
      <c r="G43" s="44">
        <v>10100949</v>
      </c>
      <c r="H43" s="32">
        <f>ROUND(F43*(1+$I$4),0)</f>
        <v>11025186</v>
      </c>
      <c r="I43" s="34">
        <f t="shared" si="1"/>
        <v>11025186</v>
      </c>
      <c r="J43" s="32">
        <f t="shared" si="2"/>
        <v>924237</v>
      </c>
      <c r="K43" s="35">
        <f t="shared" si="3"/>
        <v>9.1500016483599705E-2</v>
      </c>
      <c r="L43" s="35"/>
      <c r="M43" s="106">
        <f t="shared" si="4"/>
        <v>3.6525001545838727</v>
      </c>
      <c r="N43" s="106">
        <f t="shared" si="0"/>
        <v>4.0140570196876961</v>
      </c>
    </row>
    <row r="44" spans="1:38" ht="27" thickBot="1" x14ac:dyDescent="0.25">
      <c r="A44" s="38">
        <v>36</v>
      </c>
      <c r="B44" s="39" t="s">
        <v>49</v>
      </c>
      <c r="C44" s="117"/>
      <c r="D44" s="41" t="s">
        <v>73</v>
      </c>
      <c r="E44" s="42">
        <v>1</v>
      </c>
      <c r="F44" s="43">
        <v>10298397</v>
      </c>
      <c r="G44" s="44">
        <v>10298397</v>
      </c>
      <c r="H44" s="32">
        <f>ROUND(F44*(1+$I$4),0)</f>
        <v>11240700</v>
      </c>
      <c r="I44" s="34">
        <f t="shared" si="1"/>
        <v>11240700</v>
      </c>
      <c r="J44" s="32">
        <f t="shared" si="2"/>
        <v>942303</v>
      </c>
      <c r="K44" s="35">
        <f t="shared" si="3"/>
        <v>9.1499968393139244E-2</v>
      </c>
      <c r="L44" s="35"/>
      <c r="M44" s="106">
        <f t="shared" si="4"/>
        <v>3.7238972926668663</v>
      </c>
      <c r="N44" s="106">
        <f t="shared" si="0"/>
        <v>4.0925216798323314</v>
      </c>
    </row>
    <row r="45" spans="1:38" s="75" customFormat="1" ht="27" thickBot="1" x14ac:dyDescent="0.25">
      <c r="A45" s="65">
        <v>37</v>
      </c>
      <c r="B45" s="66" t="s">
        <v>49</v>
      </c>
      <c r="C45" s="116"/>
      <c r="D45" s="67" t="s">
        <v>74</v>
      </c>
      <c r="E45" s="68">
        <v>1</v>
      </c>
      <c r="F45" s="69">
        <v>3342776</v>
      </c>
      <c r="G45" s="70">
        <v>3342776</v>
      </c>
      <c r="H45" s="51">
        <f t="shared" ref="H45" si="10">ROUND(F45*(1+$I$2),0)</f>
        <v>3960521</v>
      </c>
      <c r="I45" s="71">
        <f t="shared" si="1"/>
        <v>3960521</v>
      </c>
      <c r="J45" s="72">
        <f t="shared" si="2"/>
        <v>617745</v>
      </c>
      <c r="K45" s="73">
        <f t="shared" si="3"/>
        <v>0.1847999985640677</v>
      </c>
      <c r="L45" s="73"/>
      <c r="M45" s="109">
        <f t="shared" si="4"/>
        <v>1.2087468075266254</v>
      </c>
      <c r="N45" s="109">
        <f t="shared" si="0"/>
        <v>1.3283992888236102</v>
      </c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</row>
    <row r="46" spans="1:38" ht="27" thickBot="1" x14ac:dyDescent="0.25">
      <c r="A46" s="38">
        <v>38</v>
      </c>
      <c r="B46" s="39" t="s">
        <v>49</v>
      </c>
      <c r="C46" s="40" t="s">
        <v>75</v>
      </c>
      <c r="D46" s="41" t="s">
        <v>76</v>
      </c>
      <c r="E46" s="42">
        <v>3</v>
      </c>
      <c r="F46" s="43">
        <v>9373503</v>
      </c>
      <c r="G46" s="44">
        <v>28120509</v>
      </c>
      <c r="H46" s="32">
        <f>ROUND(F46*(1+$I$4),0)</f>
        <v>10231179</v>
      </c>
      <c r="I46" s="34">
        <f t="shared" si="1"/>
        <v>30693537</v>
      </c>
      <c r="J46" s="32">
        <f t="shared" si="2"/>
        <v>2573028</v>
      </c>
      <c r="K46" s="35">
        <f t="shared" si="3"/>
        <v>9.150005072810026E-2</v>
      </c>
      <c r="L46" s="35"/>
      <c r="M46" s="106">
        <f t="shared" si="4"/>
        <v>3.3894558973114699</v>
      </c>
      <c r="N46" s="106">
        <f t="shared" si="0"/>
        <v>3.7249743084747462</v>
      </c>
    </row>
    <row r="47" spans="1:38" ht="40" thickBot="1" x14ac:dyDescent="0.25">
      <c r="A47" s="38">
        <v>39</v>
      </c>
      <c r="B47" s="39" t="s">
        <v>49</v>
      </c>
      <c r="C47" s="40" t="s">
        <v>77</v>
      </c>
      <c r="D47" s="41" t="s">
        <v>78</v>
      </c>
      <c r="E47" s="42">
        <v>1</v>
      </c>
      <c r="F47" s="43">
        <v>10611031</v>
      </c>
      <c r="G47" s="44">
        <v>10611031</v>
      </c>
      <c r="H47" s="32">
        <f>ROUND(F47*(1+$I$4),0)</f>
        <v>11581940</v>
      </c>
      <c r="I47" s="34">
        <f t="shared" si="1"/>
        <v>11581940</v>
      </c>
      <c r="J47" s="32">
        <f t="shared" si="2"/>
        <v>970909</v>
      </c>
      <c r="K47" s="35">
        <f t="shared" si="3"/>
        <v>9.1499968287718697E-2</v>
      </c>
      <c r="L47" s="35"/>
      <c r="M47" s="106">
        <f t="shared" si="4"/>
        <v>3.8369456540958939</v>
      </c>
      <c r="N47" s="106">
        <f t="shared" si="0"/>
        <v>4.2167605708803944</v>
      </c>
    </row>
    <row r="48" spans="1:38" ht="53" thickBot="1" x14ac:dyDescent="0.25">
      <c r="A48" s="38">
        <v>40</v>
      </c>
      <c r="B48" s="39" t="s">
        <v>49</v>
      </c>
      <c r="C48" s="40" t="s">
        <v>79</v>
      </c>
      <c r="D48" s="41" t="s">
        <v>80</v>
      </c>
      <c r="E48" s="42">
        <v>1</v>
      </c>
      <c r="F48" s="43">
        <v>6023322</v>
      </c>
      <c r="G48" s="44">
        <v>6023322</v>
      </c>
      <c r="H48" s="32">
        <f>ROUND(F48*(1+$I$3),0)</f>
        <v>6085965</v>
      </c>
      <c r="I48" s="34">
        <f t="shared" si="1"/>
        <v>6085965</v>
      </c>
      <c r="J48" s="32">
        <f t="shared" si="2"/>
        <v>62643</v>
      </c>
      <c r="K48" s="35">
        <f t="shared" si="3"/>
        <v>1.040007490882938E-2</v>
      </c>
      <c r="L48" s="35"/>
      <c r="M48" s="106"/>
      <c r="N48" s="106"/>
    </row>
    <row r="49" spans="1:14" ht="66" thickBot="1" x14ac:dyDescent="0.25">
      <c r="A49" s="38">
        <v>41</v>
      </c>
      <c r="B49" s="39" t="s">
        <v>49</v>
      </c>
      <c r="C49" s="40" t="s">
        <v>81</v>
      </c>
      <c r="D49" s="41" t="s">
        <v>82</v>
      </c>
      <c r="E49" s="42">
        <v>1</v>
      </c>
      <c r="F49" s="43">
        <v>45775032</v>
      </c>
      <c r="G49" s="44">
        <v>45775032</v>
      </c>
      <c r="H49" s="32">
        <f t="shared" ref="H49:H51" si="11">ROUND(F49*(1+$I$3),0)</f>
        <v>46251092</v>
      </c>
      <c r="I49" s="34">
        <f t="shared" si="1"/>
        <v>46251092</v>
      </c>
      <c r="J49" s="32">
        <f t="shared" si="2"/>
        <v>476060</v>
      </c>
      <c r="K49" s="35">
        <f t="shared" si="3"/>
        <v>1.0399992729661009E-2</v>
      </c>
      <c r="L49" s="35"/>
      <c r="M49" s="106"/>
      <c r="N49" s="106"/>
    </row>
    <row r="50" spans="1:14" ht="66" thickBot="1" x14ac:dyDescent="0.25">
      <c r="A50" s="38">
        <v>42</v>
      </c>
      <c r="B50" s="39" t="s">
        <v>21</v>
      </c>
      <c r="C50" s="40" t="s">
        <v>83</v>
      </c>
      <c r="D50" s="41" t="s">
        <v>84</v>
      </c>
      <c r="E50" s="42">
        <v>1</v>
      </c>
      <c r="F50" s="43">
        <v>104079707</v>
      </c>
      <c r="G50" s="44">
        <v>104079707</v>
      </c>
      <c r="H50" s="32">
        <f t="shared" si="11"/>
        <v>105162136</v>
      </c>
      <c r="I50" s="34">
        <f t="shared" si="1"/>
        <v>105162136</v>
      </c>
      <c r="J50" s="32">
        <f t="shared" si="2"/>
        <v>1082429</v>
      </c>
      <c r="K50" s="35">
        <f t="shared" si="3"/>
        <v>1.0400000453498587E-2</v>
      </c>
      <c r="L50" s="35"/>
      <c r="M50" s="106"/>
      <c r="N50" s="106"/>
    </row>
    <row r="51" spans="1:14" ht="105" thickBot="1" x14ac:dyDescent="0.25">
      <c r="A51" s="38">
        <v>43</v>
      </c>
      <c r="B51" s="39" t="s">
        <v>28</v>
      </c>
      <c r="C51" s="40" t="s">
        <v>85</v>
      </c>
      <c r="D51" s="41" t="s">
        <v>86</v>
      </c>
      <c r="E51" s="42">
        <v>40</v>
      </c>
      <c r="F51" s="43">
        <v>201572</v>
      </c>
      <c r="G51" s="44">
        <v>8062880</v>
      </c>
      <c r="H51" s="32">
        <f t="shared" si="11"/>
        <v>203668</v>
      </c>
      <c r="I51" s="34">
        <f t="shared" si="1"/>
        <v>8146720</v>
      </c>
      <c r="J51" s="32">
        <f t="shared" si="2"/>
        <v>83840</v>
      </c>
      <c r="K51" s="35">
        <f t="shared" si="3"/>
        <v>1.0398269600936637E-2</v>
      </c>
      <c r="L51" s="35"/>
      <c r="M51" s="106"/>
      <c r="N51" s="106"/>
    </row>
    <row r="52" spans="1:14" ht="27" customHeight="1" thickBot="1" x14ac:dyDescent="0.25">
      <c r="A52" s="76">
        <v>44</v>
      </c>
      <c r="B52" s="67" t="s">
        <v>28</v>
      </c>
      <c r="C52" s="67" t="s">
        <v>87</v>
      </c>
      <c r="D52" s="67" t="s">
        <v>87</v>
      </c>
      <c r="E52" s="68">
        <v>1</v>
      </c>
      <c r="F52" s="69">
        <v>7439334</v>
      </c>
      <c r="G52" s="70">
        <v>7439334</v>
      </c>
      <c r="H52" s="51">
        <f>ROUND(F52*(1+$I$2),0)</f>
        <v>8814123</v>
      </c>
      <c r="I52" s="71">
        <f>H52*E52</f>
        <v>8814123</v>
      </c>
      <c r="J52" s="72">
        <f t="shared" si="2"/>
        <v>1374789</v>
      </c>
      <c r="K52" s="73">
        <f t="shared" si="3"/>
        <v>0.18480001032350477</v>
      </c>
      <c r="L52" s="73"/>
      <c r="M52" s="109">
        <f t="shared" si="4"/>
        <v>2.6900609620938649</v>
      </c>
      <c r="N52" s="109">
        <f>F52/$F$3</f>
        <v>2.9563470585289902</v>
      </c>
    </row>
    <row r="53" spans="1:14" x14ac:dyDescent="0.2">
      <c r="A53" s="77"/>
      <c r="B53" s="77"/>
      <c r="C53" s="77"/>
      <c r="D53" s="78"/>
      <c r="E53" s="78"/>
      <c r="F53" s="78"/>
      <c r="G53" s="78"/>
      <c r="H53" s="78"/>
      <c r="I53" s="78"/>
      <c r="J53" s="78"/>
      <c r="K53" s="79"/>
      <c r="L53" s="79"/>
    </row>
    <row r="54" spans="1:14" ht="14" thickBot="1" x14ac:dyDescent="0.25">
      <c r="A54" s="77"/>
      <c r="B54" s="77"/>
      <c r="C54" s="77"/>
      <c r="D54" s="78"/>
      <c r="E54" s="78"/>
      <c r="F54" s="81"/>
      <c r="G54" s="82"/>
      <c r="H54" s="83"/>
      <c r="I54" s="83"/>
      <c r="J54" s="83"/>
      <c r="K54" s="84"/>
      <c r="L54" s="84"/>
    </row>
    <row r="55" spans="1:14" s="22" customFormat="1" ht="26.25" customHeight="1" thickBot="1" x14ac:dyDescent="0.25">
      <c r="A55" s="118"/>
      <c r="B55" s="119"/>
      <c r="C55" s="119"/>
      <c r="D55" s="119"/>
      <c r="E55" s="120"/>
      <c r="F55" s="121" t="s">
        <v>9</v>
      </c>
      <c r="G55" s="122"/>
      <c r="H55" s="123" t="s">
        <v>97</v>
      </c>
      <c r="I55" s="124"/>
    </row>
    <row r="56" spans="1:14" s="26" customFormat="1" ht="55.5" customHeight="1" x14ac:dyDescent="0.2">
      <c r="A56" s="23" t="s">
        <v>10</v>
      </c>
      <c r="B56" s="24" t="s">
        <v>11</v>
      </c>
      <c r="C56" s="24" t="s">
        <v>12</v>
      </c>
      <c r="D56" s="24" t="s">
        <v>13</v>
      </c>
      <c r="E56" s="24" t="s">
        <v>14</v>
      </c>
      <c r="F56" s="25" t="s">
        <v>15</v>
      </c>
      <c r="G56" s="25" t="s">
        <v>16</v>
      </c>
      <c r="H56" s="25" t="s">
        <v>17</v>
      </c>
      <c r="I56" s="25" t="s">
        <v>18</v>
      </c>
      <c r="K56" s="25" t="s">
        <v>19</v>
      </c>
      <c r="L56" s="25"/>
      <c r="M56" s="25" t="s">
        <v>20</v>
      </c>
    </row>
    <row r="57" spans="1:14" ht="14" thickBot="1" x14ac:dyDescent="0.25">
      <c r="A57" s="77"/>
      <c r="B57" s="77"/>
      <c r="C57" s="77"/>
      <c r="D57" s="78"/>
      <c r="E57" s="78"/>
      <c r="F57" s="81"/>
      <c r="G57" s="82"/>
      <c r="H57" s="83"/>
      <c r="I57" s="83"/>
      <c r="K57" s="83"/>
      <c r="L57" s="83"/>
      <c r="M57" s="84"/>
    </row>
    <row r="58" spans="1:14" ht="28" thickTop="1" thickBot="1" x14ac:dyDescent="0.25">
      <c r="A58" s="77"/>
      <c r="B58" s="77"/>
      <c r="C58" s="77"/>
      <c r="D58" s="78"/>
      <c r="E58" s="78"/>
      <c r="F58" s="85" t="s">
        <v>88</v>
      </c>
      <c r="G58" s="86">
        <v>1042802079</v>
      </c>
      <c r="H58" s="85" t="s">
        <v>88</v>
      </c>
      <c r="I58" s="86">
        <f>SUM(I9:I52)</f>
        <v>1222886416</v>
      </c>
      <c r="K58" s="86">
        <f>I58-G58</f>
        <v>180084337</v>
      </c>
      <c r="L58" s="86"/>
      <c r="M58" s="87">
        <f>K58/G58</f>
        <v>0.17269272916361342</v>
      </c>
    </row>
    <row r="59" spans="1:14" ht="15" thickTop="1" thickBot="1" x14ac:dyDescent="0.25">
      <c r="A59" s="77"/>
      <c r="B59" s="77"/>
      <c r="C59" s="77"/>
      <c r="D59" s="78"/>
      <c r="E59" s="78"/>
      <c r="F59" s="88"/>
      <c r="G59" s="88"/>
      <c r="H59" s="88"/>
      <c r="I59" s="88"/>
      <c r="K59" s="88"/>
      <c r="L59" s="88"/>
      <c r="M59" s="89"/>
    </row>
    <row r="60" spans="1:14" ht="15" thickTop="1" thickBot="1" x14ac:dyDescent="0.25">
      <c r="A60" s="77"/>
      <c r="B60" s="77"/>
      <c r="C60" s="77"/>
      <c r="D60" s="78"/>
      <c r="E60" s="78"/>
      <c r="F60" s="85" t="s">
        <v>89</v>
      </c>
      <c r="G60" s="90">
        <v>198132395</v>
      </c>
      <c r="H60" s="85" t="s">
        <v>89</v>
      </c>
      <c r="I60" s="90">
        <f>I58*19%</f>
        <v>232348419.03999999</v>
      </c>
      <c r="K60" s="85">
        <f>K58*19%</f>
        <v>34216024.030000001</v>
      </c>
      <c r="L60" s="85"/>
      <c r="M60" s="91">
        <f>K60/G60</f>
        <v>0.17269272917232945</v>
      </c>
    </row>
    <row r="61" spans="1:14" ht="15" thickTop="1" thickBot="1" x14ac:dyDescent="0.25">
      <c r="A61" s="77"/>
      <c r="B61" s="77"/>
      <c r="C61" s="77"/>
      <c r="D61" s="78"/>
      <c r="E61" s="78"/>
      <c r="F61" s="83"/>
      <c r="G61" s="78"/>
      <c r="H61" s="83"/>
      <c r="I61" s="78"/>
      <c r="K61" s="83"/>
      <c r="L61" s="83"/>
      <c r="M61" s="79"/>
    </row>
    <row r="62" spans="1:14" ht="28" thickTop="1" thickBot="1" x14ac:dyDescent="0.25">
      <c r="A62" s="77"/>
      <c r="B62" s="77"/>
      <c r="C62" s="77"/>
      <c r="D62" s="78"/>
      <c r="E62" s="78"/>
      <c r="F62" s="85" t="s">
        <v>90</v>
      </c>
      <c r="G62" s="92">
        <v>1240934474</v>
      </c>
      <c r="H62" s="85" t="s">
        <v>90</v>
      </c>
      <c r="I62" s="93">
        <f>SUM(I58+I60)</f>
        <v>1455234835.04</v>
      </c>
      <c r="K62" s="111">
        <f>K58+K60</f>
        <v>214300361.03</v>
      </c>
      <c r="L62" s="111"/>
      <c r="M62" s="11">
        <f>K62/G62</f>
        <v>0.17269272916500505</v>
      </c>
    </row>
    <row r="63" spans="1:14" ht="15" thickTop="1" thickBot="1" x14ac:dyDescent="0.25">
      <c r="A63" s="77"/>
      <c r="B63" s="77"/>
      <c r="C63" s="77"/>
      <c r="D63" s="78"/>
      <c r="E63" s="78"/>
      <c r="F63" s="83"/>
      <c r="G63" s="78"/>
      <c r="H63" s="83"/>
      <c r="I63" s="78"/>
      <c r="N63" s="94">
        <f>'[2]0_ UT_Esc_4 18,5_PropINICIAL'!J64</f>
        <v>229324726.25999999</v>
      </c>
    </row>
    <row r="64" spans="1:14" ht="15" hidden="1" thickTop="1" thickBot="1" x14ac:dyDescent="0.25">
      <c r="D64" s="95"/>
      <c r="E64" s="95"/>
      <c r="I64" s="90" t="s">
        <v>92</v>
      </c>
      <c r="K64" s="112">
        <f>K62</f>
        <v>214300361.03</v>
      </c>
      <c r="L64" s="114"/>
      <c r="N64" s="93">
        <f>K64-N63</f>
        <v>-15024365.229999989</v>
      </c>
    </row>
    <row r="65" spans="6:14" ht="15" hidden="1" thickTop="1" thickBot="1" x14ac:dyDescent="0.25"/>
    <row r="66" spans="6:14" ht="15" hidden="1" thickTop="1" thickBot="1" x14ac:dyDescent="0.25">
      <c r="I66" s="90" t="s">
        <v>94</v>
      </c>
      <c r="K66" s="112">
        <f>K64*12</f>
        <v>2571604332.3600001</v>
      </c>
      <c r="L66" s="114"/>
    </row>
    <row r="67" spans="6:14" ht="14" hidden="1" thickTop="1" x14ac:dyDescent="0.2"/>
    <row r="68" spans="6:14" ht="16" hidden="1" x14ac:dyDescent="0.2">
      <c r="M68" s="96"/>
      <c r="N68" s="96"/>
    </row>
    <row r="69" spans="6:14" ht="14" thickTop="1" x14ac:dyDescent="0.2">
      <c r="M69" s="80"/>
      <c r="N69" s="80"/>
    </row>
    <row r="70" spans="6:14" ht="27" customHeight="1" x14ac:dyDescent="0.2">
      <c r="F70" s="130" t="s">
        <v>98</v>
      </c>
      <c r="G70" s="130"/>
      <c r="H70" s="130"/>
      <c r="I70" s="130"/>
      <c r="J70" s="130"/>
      <c r="K70" s="130"/>
      <c r="L70" s="130"/>
      <c r="M70" s="130"/>
    </row>
    <row r="71" spans="6:14" ht="49" customHeight="1" x14ac:dyDescent="0.2">
      <c r="F71" s="130" t="s">
        <v>99</v>
      </c>
      <c r="G71" s="130"/>
      <c r="H71" s="130"/>
      <c r="I71" s="130"/>
      <c r="J71" s="130"/>
      <c r="K71" s="130"/>
      <c r="L71" s="130"/>
      <c r="M71" s="130"/>
    </row>
  </sheetData>
  <autoFilter ref="A8:M52" xr:uid="{16007EB0-D76B-4424-8ADD-EAB62A2BBF87}"/>
  <mergeCells count="19">
    <mergeCell ref="F70:M70"/>
    <mergeCell ref="F71:M71"/>
    <mergeCell ref="C34:C39"/>
    <mergeCell ref="A6:E6"/>
    <mergeCell ref="A7:E7"/>
    <mergeCell ref="F7:G7"/>
    <mergeCell ref="H7:I7"/>
    <mergeCell ref="C13:C14"/>
    <mergeCell ref="C15:C19"/>
    <mergeCell ref="C20:C21"/>
    <mergeCell ref="C22:C23"/>
    <mergeCell ref="C24:C25"/>
    <mergeCell ref="C27:C31"/>
    <mergeCell ref="C32:C33"/>
    <mergeCell ref="C40:C41"/>
    <mergeCell ref="C42:C45"/>
    <mergeCell ref="A55:E55"/>
    <mergeCell ref="F55:G55"/>
    <mergeCell ref="H55:I55"/>
  </mergeCells>
  <pageMargins left="0.70866141732283472" right="0.70866141732283472" top="0.74803149606299213" bottom="0.74803149606299213" header="0.31496062992125984" footer="0.31496062992125984"/>
  <pageSetup scale="3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56CE6-FCD1-4373-AF43-7B537BF09127}">
  <sheetPr>
    <pageSetUpPr fitToPage="1"/>
  </sheetPr>
  <dimension ref="A1:N69"/>
  <sheetViews>
    <sheetView topLeftCell="B49" zoomScale="120" zoomScaleNormal="120" workbookViewId="0">
      <selection activeCell="H55" sqref="H55:I55"/>
    </sheetView>
  </sheetViews>
  <sheetFormatPr baseColWidth="10" defaultColWidth="7.33203125" defaultRowHeight="13" x14ac:dyDescent="0.2"/>
  <cols>
    <col min="1" max="1" width="5.5" style="1" customWidth="1"/>
    <col min="2" max="2" width="20.83203125" style="1" customWidth="1"/>
    <col min="3" max="3" width="11.6640625" style="1" customWidth="1"/>
    <col min="4" max="4" width="28.83203125" style="4" customWidth="1"/>
    <col min="5" max="5" width="14.6640625" style="4" customWidth="1"/>
    <col min="6" max="6" width="25.83203125" style="4" customWidth="1"/>
    <col min="7" max="7" width="19.1640625" style="4" customWidth="1"/>
    <col min="8" max="8" width="25.5" style="4" customWidth="1"/>
    <col min="9" max="9" width="22.1640625" style="4" customWidth="1"/>
    <col min="10" max="10" width="17.6640625" style="4" hidden="1" customWidth="1"/>
    <col min="11" max="11" width="17.6640625" style="4" customWidth="1"/>
    <col min="12" max="13" width="20.5" style="4" hidden="1" customWidth="1"/>
    <col min="14" max="14" width="11.5" style="4" customWidth="1"/>
    <col min="15" max="15" width="16.5" style="4" customWidth="1"/>
    <col min="16" max="120" width="11.5" style="4" customWidth="1"/>
    <col min="121" max="16384" width="7.33203125" style="4"/>
  </cols>
  <sheetData>
    <row r="1" spans="1:13" ht="32" thickTop="1" thickBot="1" x14ac:dyDescent="0.25">
      <c r="B1" s="2" t="s">
        <v>0</v>
      </c>
      <c r="C1" s="3">
        <v>0.09</v>
      </c>
      <c r="H1" s="5" t="s">
        <v>1</v>
      </c>
      <c r="I1" s="6">
        <f>E3</f>
        <v>2765489</v>
      </c>
    </row>
    <row r="2" spans="1:13" ht="19" customHeight="1" thickTop="1" thickBot="1" x14ac:dyDescent="0.25">
      <c r="B2" s="2" t="s">
        <v>2</v>
      </c>
      <c r="C2" s="7">
        <v>0.23</v>
      </c>
      <c r="D2" s="8">
        <v>1750905</v>
      </c>
      <c r="E2" s="9">
        <f>D2*1.52</f>
        <v>2661375.6</v>
      </c>
      <c r="F2" s="10">
        <f>D2*1.39</f>
        <v>2433757.9499999997</v>
      </c>
      <c r="H2" s="5" t="s">
        <v>3</v>
      </c>
      <c r="I2" s="11">
        <f>C2-C4</f>
        <v>0.18480000000000002</v>
      </c>
    </row>
    <row r="3" spans="1:13" s="16" customFormat="1" ht="19" customHeight="1" thickTop="1" thickBot="1" x14ac:dyDescent="0.2">
      <c r="A3" s="12"/>
      <c r="B3" s="13" t="s">
        <v>4</v>
      </c>
      <c r="C3" s="14">
        <v>0.24049999999999999</v>
      </c>
      <c r="D3" s="8">
        <v>249095</v>
      </c>
      <c r="E3" s="9">
        <v>2765489</v>
      </c>
      <c r="F3" s="15">
        <f>E3-D3</f>
        <v>2516394</v>
      </c>
      <c r="H3" s="5" t="s">
        <v>5</v>
      </c>
      <c r="I3" s="11">
        <f>C5-C4</f>
        <v>1.04E-2</v>
      </c>
    </row>
    <row r="4" spans="1:13" s="20" customFormat="1" ht="24" customHeight="1" thickTop="1" thickBot="1" x14ac:dyDescent="0.25">
      <c r="A4" s="17"/>
      <c r="B4" s="18" t="s">
        <v>6</v>
      </c>
      <c r="C4" s="19">
        <v>4.5199999999999997E-2</v>
      </c>
      <c r="H4" s="5" t="s">
        <v>7</v>
      </c>
      <c r="I4" s="11">
        <v>9.1499999999999998E-2</v>
      </c>
    </row>
    <row r="5" spans="1:13" s="20" customFormat="1" ht="19" customHeight="1" thickBot="1" x14ac:dyDescent="0.25">
      <c r="A5" s="17"/>
      <c r="B5" s="18" t="s">
        <v>8</v>
      </c>
      <c r="C5" s="19">
        <v>5.5599999999999997E-2</v>
      </c>
      <c r="D5" s="21"/>
    </row>
    <row r="6" spans="1:13" ht="27.5" customHeight="1" thickBot="1" x14ac:dyDescent="0.25">
      <c r="A6" s="125"/>
      <c r="B6" s="125"/>
      <c r="C6" s="125"/>
      <c r="D6" s="125"/>
      <c r="E6" s="125"/>
      <c r="G6" s="20"/>
      <c r="H6" s="20"/>
      <c r="I6" s="20"/>
    </row>
    <row r="7" spans="1:13" s="22" customFormat="1" ht="26.25" customHeight="1" thickBot="1" x14ac:dyDescent="0.25">
      <c r="A7" s="118"/>
      <c r="B7" s="119"/>
      <c r="C7" s="119"/>
      <c r="D7" s="119"/>
      <c r="E7" s="120"/>
      <c r="F7" s="121" t="s">
        <v>9</v>
      </c>
      <c r="G7" s="122"/>
      <c r="H7" s="123" t="s">
        <v>96</v>
      </c>
      <c r="I7" s="124"/>
    </row>
    <row r="8" spans="1:13" s="26" customFormat="1" ht="55.5" customHeight="1" thickBot="1" x14ac:dyDescent="0.25">
      <c r="A8" s="23" t="s">
        <v>10</v>
      </c>
      <c r="B8" s="24" t="s">
        <v>11</v>
      </c>
      <c r="C8" s="24" t="s">
        <v>12</v>
      </c>
      <c r="D8" s="24" t="s">
        <v>13</v>
      </c>
      <c r="E8" s="24" t="s">
        <v>14</v>
      </c>
      <c r="F8" s="25" t="s">
        <v>15</v>
      </c>
      <c r="G8" s="25" t="s">
        <v>16</v>
      </c>
      <c r="H8" s="25" t="s">
        <v>17</v>
      </c>
      <c r="I8" s="25" t="s">
        <v>18</v>
      </c>
      <c r="J8" s="25" t="s">
        <v>19</v>
      </c>
      <c r="K8" s="25" t="s">
        <v>95</v>
      </c>
      <c r="L8" s="25" t="str">
        <f>CONCATENATE("Número de SMLMV: ", E3)</f>
        <v>Número de SMLMV: 2765489</v>
      </c>
      <c r="M8" s="25" t="str">
        <f>CONCATENATE("Número de SMLMV: ", F3)</f>
        <v>Número de SMLMV: 2516394</v>
      </c>
    </row>
    <row r="9" spans="1:13" s="37" customFormat="1" ht="27" thickBot="1" x14ac:dyDescent="0.25">
      <c r="A9" s="27">
        <v>1</v>
      </c>
      <c r="B9" s="28" t="s">
        <v>21</v>
      </c>
      <c r="C9" s="29" t="s">
        <v>22</v>
      </c>
      <c r="D9" s="30" t="s">
        <v>23</v>
      </c>
      <c r="E9" s="31">
        <v>1</v>
      </c>
      <c r="F9" s="32">
        <v>10981304</v>
      </c>
      <c r="G9" s="33">
        <v>10981304</v>
      </c>
      <c r="H9" s="32">
        <f>ROUND(F9*(1+$I$4),0)</f>
        <v>11986093</v>
      </c>
      <c r="I9" s="34">
        <f>H9*E9</f>
        <v>11986093</v>
      </c>
      <c r="J9" s="32">
        <f>I9-G9</f>
        <v>1004789</v>
      </c>
      <c r="K9" s="35">
        <f>J9/G9</f>
        <v>9.1499971223818227E-2</v>
      </c>
      <c r="L9" s="106">
        <f>F9/$E$3</f>
        <v>3.9708362607842593</v>
      </c>
      <c r="M9" s="106">
        <f t="shared" ref="M9:M47" si="0">F9/$F$3</f>
        <v>4.3639048575064159</v>
      </c>
    </row>
    <row r="10" spans="1:13" s="36" customFormat="1" ht="27" thickBot="1" x14ac:dyDescent="0.25">
      <c r="A10" s="38">
        <v>2</v>
      </c>
      <c r="B10" s="39" t="s">
        <v>21</v>
      </c>
      <c r="C10" s="40" t="s">
        <v>24</v>
      </c>
      <c r="D10" s="41" t="s">
        <v>25</v>
      </c>
      <c r="E10" s="42">
        <v>1</v>
      </c>
      <c r="F10" s="43">
        <v>9385689</v>
      </c>
      <c r="G10" s="44">
        <v>9385689</v>
      </c>
      <c r="H10" s="32">
        <f>ROUND(F10*(1+$I$4),0)</f>
        <v>10244480</v>
      </c>
      <c r="I10" s="34">
        <f t="shared" ref="I10:I51" si="1">H10*E10</f>
        <v>10244480</v>
      </c>
      <c r="J10" s="32">
        <f t="shared" ref="J10:J52" si="2">I10-G10</f>
        <v>858791</v>
      </c>
      <c r="K10" s="35">
        <f t="shared" ref="K10:K52" si="3">J10/G10</f>
        <v>9.1500048637878376E-2</v>
      </c>
      <c r="L10" s="106">
        <f t="shared" ref="L10:L52" si="4">F10/$E$3</f>
        <v>3.3938623512876025</v>
      </c>
      <c r="M10" s="106">
        <f t="shared" si="0"/>
        <v>3.7298169523532483</v>
      </c>
    </row>
    <row r="11" spans="1:13" s="36" customFormat="1" ht="27" thickBot="1" x14ac:dyDescent="0.25">
      <c r="A11" s="38">
        <v>3</v>
      </c>
      <c r="B11" s="39" t="s">
        <v>21</v>
      </c>
      <c r="C11" s="40" t="s">
        <v>26</v>
      </c>
      <c r="D11" s="41" t="s">
        <v>27</v>
      </c>
      <c r="E11" s="42">
        <v>1</v>
      </c>
      <c r="F11" s="43">
        <v>9631415</v>
      </c>
      <c r="G11" s="44">
        <v>9631415</v>
      </c>
      <c r="H11" s="32">
        <f>ROUND(F11*(1+$I$4),0)</f>
        <v>10512689</v>
      </c>
      <c r="I11" s="34">
        <f t="shared" si="1"/>
        <v>10512689</v>
      </c>
      <c r="J11" s="32">
        <f t="shared" si="2"/>
        <v>881274</v>
      </c>
      <c r="K11" s="35">
        <f t="shared" si="3"/>
        <v>9.1499950941787894E-2</v>
      </c>
      <c r="L11" s="106">
        <f t="shared" si="4"/>
        <v>3.4827167998137036</v>
      </c>
      <c r="M11" s="106">
        <f t="shared" si="0"/>
        <v>3.8274670023851591</v>
      </c>
    </row>
    <row r="12" spans="1:13" s="36" customFormat="1" ht="20.25" customHeight="1" thickBot="1" x14ac:dyDescent="0.25">
      <c r="A12" s="38">
        <v>4</v>
      </c>
      <c r="B12" s="39" t="s">
        <v>28</v>
      </c>
      <c r="C12" s="40" t="s">
        <v>29</v>
      </c>
      <c r="D12" s="41" t="s">
        <v>30</v>
      </c>
      <c r="E12" s="42">
        <v>1</v>
      </c>
      <c r="F12" s="43">
        <v>8934380</v>
      </c>
      <c r="G12" s="44">
        <v>8934380</v>
      </c>
      <c r="H12" s="32">
        <f>ROUND(F12*(1+$I$4),0)</f>
        <v>9751876</v>
      </c>
      <c r="I12" s="34">
        <f t="shared" si="1"/>
        <v>9751876</v>
      </c>
      <c r="J12" s="32">
        <f t="shared" si="2"/>
        <v>817496</v>
      </c>
      <c r="K12" s="35">
        <f t="shared" si="3"/>
        <v>9.1500025743252472E-2</v>
      </c>
      <c r="L12" s="106">
        <f t="shared" si="4"/>
        <v>3.2306691510976902</v>
      </c>
      <c r="M12" s="106">
        <f t="shared" si="0"/>
        <v>3.5504694415898306</v>
      </c>
    </row>
    <row r="13" spans="1:13" s="54" customFormat="1" ht="20.25" customHeight="1" thickBot="1" x14ac:dyDescent="0.25">
      <c r="A13" s="45">
        <v>5</v>
      </c>
      <c r="B13" s="46" t="s">
        <v>28</v>
      </c>
      <c r="C13" s="126" t="s">
        <v>31</v>
      </c>
      <c r="D13" s="47" t="s">
        <v>32</v>
      </c>
      <c r="E13" s="48">
        <v>1</v>
      </c>
      <c r="F13" s="49">
        <v>4775132</v>
      </c>
      <c r="G13" s="50">
        <v>4775132</v>
      </c>
      <c r="H13" s="51">
        <f>ROUND(F13*(1+$I$2),0)</f>
        <v>5657576</v>
      </c>
      <c r="I13" s="52">
        <f t="shared" si="1"/>
        <v>5657576</v>
      </c>
      <c r="J13" s="51">
        <f t="shared" si="2"/>
        <v>882444</v>
      </c>
      <c r="K13" s="53">
        <f t="shared" ref="K13:K19" si="5">H13/F13-1</f>
        <v>0.18479991757295933</v>
      </c>
      <c r="L13" s="107">
        <f t="shared" si="4"/>
        <v>1.7266863111731776</v>
      </c>
      <c r="M13" s="107">
        <f t="shared" si="0"/>
        <v>1.897609038966076</v>
      </c>
    </row>
    <row r="14" spans="1:13" s="54" customFormat="1" ht="30.5" customHeight="1" thickBot="1" x14ac:dyDescent="0.25">
      <c r="A14" s="45">
        <v>6</v>
      </c>
      <c r="B14" s="46" t="s">
        <v>28</v>
      </c>
      <c r="C14" s="116"/>
      <c r="D14" s="47" t="s">
        <v>33</v>
      </c>
      <c r="E14" s="48">
        <v>17</v>
      </c>
      <c r="F14" s="49">
        <v>4453638</v>
      </c>
      <c r="G14" s="50">
        <v>75711846</v>
      </c>
      <c r="H14" s="51">
        <f t="shared" ref="H14:H25" si="6">ROUND(F14*(1+$I$2),0)</f>
        <v>5276670</v>
      </c>
      <c r="I14" s="52">
        <f t="shared" si="1"/>
        <v>89703390</v>
      </c>
      <c r="J14" s="51">
        <f t="shared" si="2"/>
        <v>13991544</v>
      </c>
      <c r="K14" s="53">
        <f t="shared" si="5"/>
        <v>0.18479993210045365</v>
      </c>
      <c r="L14" s="107">
        <f t="shared" si="4"/>
        <v>1.6104341763789334</v>
      </c>
      <c r="M14" s="107">
        <f t="shared" si="0"/>
        <v>1.7698492366457717</v>
      </c>
    </row>
    <row r="15" spans="1:13" s="54" customFormat="1" ht="20.25" customHeight="1" thickBot="1" x14ac:dyDescent="0.25">
      <c r="A15" s="45">
        <v>7</v>
      </c>
      <c r="B15" s="46" t="s">
        <v>28</v>
      </c>
      <c r="C15" s="126" t="s">
        <v>34</v>
      </c>
      <c r="D15" s="47" t="s">
        <v>35</v>
      </c>
      <c r="E15" s="48">
        <v>4</v>
      </c>
      <c r="F15" s="49">
        <v>4291296</v>
      </c>
      <c r="G15" s="50">
        <v>17165184</v>
      </c>
      <c r="H15" s="51">
        <f t="shared" si="6"/>
        <v>5084328</v>
      </c>
      <c r="I15" s="52">
        <f t="shared" si="1"/>
        <v>20337312</v>
      </c>
      <c r="J15" s="51">
        <f t="shared" si="2"/>
        <v>3172128</v>
      </c>
      <c r="K15" s="53">
        <f t="shared" si="5"/>
        <v>0.1848001163284938</v>
      </c>
      <c r="L15" s="107">
        <f t="shared" si="4"/>
        <v>1.5517313574561316</v>
      </c>
      <c r="M15" s="107">
        <f t="shared" si="0"/>
        <v>1.7053354919778063</v>
      </c>
    </row>
    <row r="16" spans="1:13" s="54" customFormat="1" ht="27" customHeight="1" thickBot="1" x14ac:dyDescent="0.25">
      <c r="A16" s="45">
        <v>8</v>
      </c>
      <c r="B16" s="46" t="s">
        <v>28</v>
      </c>
      <c r="C16" s="127"/>
      <c r="D16" s="47" t="s">
        <v>36</v>
      </c>
      <c r="E16" s="48">
        <v>4</v>
      </c>
      <c r="F16" s="49">
        <v>4416854</v>
      </c>
      <c r="G16" s="50">
        <v>17667416</v>
      </c>
      <c r="H16" s="51">
        <f t="shared" si="6"/>
        <v>5233089</v>
      </c>
      <c r="I16" s="52">
        <f>H16*E16</f>
        <v>20932356</v>
      </c>
      <c r="J16" s="51">
        <f t="shared" si="2"/>
        <v>3264940</v>
      </c>
      <c r="K16" s="53">
        <f t="shared" si="5"/>
        <v>0.18480008621521105</v>
      </c>
      <c r="L16" s="107">
        <f t="shared" si="4"/>
        <v>1.5971330929177443</v>
      </c>
      <c r="M16" s="107">
        <f t="shared" si="0"/>
        <v>1.7552314939552391</v>
      </c>
    </row>
    <row r="17" spans="1:13" s="54" customFormat="1" ht="27" thickBot="1" x14ac:dyDescent="0.25">
      <c r="A17" s="45">
        <v>9</v>
      </c>
      <c r="B17" s="46" t="s">
        <v>28</v>
      </c>
      <c r="C17" s="127"/>
      <c r="D17" s="47" t="s">
        <v>37</v>
      </c>
      <c r="E17" s="48">
        <v>20</v>
      </c>
      <c r="F17" s="49">
        <v>3209086</v>
      </c>
      <c r="G17" s="50">
        <v>64181720</v>
      </c>
      <c r="H17" s="51">
        <f t="shared" si="6"/>
        <v>3802125</v>
      </c>
      <c r="I17" s="52">
        <f t="shared" si="1"/>
        <v>76042500</v>
      </c>
      <c r="J17" s="51">
        <f t="shared" si="2"/>
        <v>11860780</v>
      </c>
      <c r="K17" s="53">
        <f>H17/F17-1</f>
        <v>0.18479997108210866</v>
      </c>
      <c r="L17" s="107">
        <f t="shared" si="4"/>
        <v>1.1604045432833037</v>
      </c>
      <c r="M17" s="107">
        <f t="shared" si="0"/>
        <v>1.2752716784414524</v>
      </c>
    </row>
    <row r="18" spans="1:13" s="54" customFormat="1" ht="27" thickBot="1" x14ac:dyDescent="0.25">
      <c r="A18" s="104">
        <v>10</v>
      </c>
      <c r="B18" s="105" t="s">
        <v>28</v>
      </c>
      <c r="C18" s="127"/>
      <c r="D18" s="97" t="s">
        <v>38</v>
      </c>
      <c r="E18" s="98">
        <f>24-16</f>
        <v>8</v>
      </c>
      <c r="F18" s="99">
        <v>3368300</v>
      </c>
      <c r="G18" s="100">
        <v>80839200</v>
      </c>
      <c r="H18" s="101">
        <f t="shared" si="6"/>
        <v>3990762</v>
      </c>
      <c r="I18" s="102">
        <f t="shared" si="1"/>
        <v>31926096</v>
      </c>
      <c r="J18" s="101">
        <f t="shared" si="2"/>
        <v>-48913104</v>
      </c>
      <c r="K18" s="103">
        <f>H18/F18-1</f>
        <v>0.18480004750170709</v>
      </c>
      <c r="L18" s="107">
        <f t="shared" si="4"/>
        <v>1.2179762783363086</v>
      </c>
      <c r="M18" s="107">
        <f t="shared" si="0"/>
        <v>1.3385423745248162</v>
      </c>
    </row>
    <row r="19" spans="1:13" s="54" customFormat="1" ht="27" thickBot="1" x14ac:dyDescent="0.25">
      <c r="A19" s="45">
        <v>11</v>
      </c>
      <c r="B19" s="46" t="s">
        <v>28</v>
      </c>
      <c r="C19" s="116"/>
      <c r="D19" s="47" t="s">
        <v>39</v>
      </c>
      <c r="E19" s="48">
        <v>11</v>
      </c>
      <c r="F19" s="49">
        <v>2731695</v>
      </c>
      <c r="G19" s="50">
        <v>30048645</v>
      </c>
      <c r="H19" s="51">
        <f t="shared" si="6"/>
        <v>3236512</v>
      </c>
      <c r="I19" s="52">
        <f t="shared" si="1"/>
        <v>35601632</v>
      </c>
      <c r="J19" s="51">
        <f t="shared" si="2"/>
        <v>5552987</v>
      </c>
      <c r="K19" s="53">
        <f t="shared" si="5"/>
        <v>0.1847999136067533</v>
      </c>
      <c r="L19" s="107">
        <f t="shared" si="4"/>
        <v>0.98778009964964608</v>
      </c>
      <c r="M19" s="107">
        <f t="shared" si="0"/>
        <v>1.0855593360976064</v>
      </c>
    </row>
    <row r="20" spans="1:13" s="36" customFormat="1" ht="23.5" customHeight="1" thickBot="1" x14ac:dyDescent="0.25">
      <c r="A20" s="55">
        <v>12</v>
      </c>
      <c r="B20" s="56" t="s">
        <v>28</v>
      </c>
      <c r="C20" s="128" t="s">
        <v>40</v>
      </c>
      <c r="D20" s="57" t="s">
        <v>41</v>
      </c>
      <c r="E20" s="58">
        <v>126</v>
      </c>
      <c r="F20" s="59">
        <v>2068268</v>
      </c>
      <c r="G20" s="60">
        <v>260601768</v>
      </c>
      <c r="H20" s="60">
        <f>E3</f>
        <v>2765489</v>
      </c>
      <c r="I20" s="61">
        <f>H20*E20</f>
        <v>348451614</v>
      </c>
      <c r="J20" s="62">
        <f t="shared" si="2"/>
        <v>87849846</v>
      </c>
      <c r="K20" s="63">
        <f t="shared" si="3"/>
        <v>0.33710379892741171</v>
      </c>
      <c r="L20" s="108">
        <f t="shared" si="4"/>
        <v>0.7478850937392989</v>
      </c>
      <c r="M20" s="108">
        <f t="shared" si="0"/>
        <v>0.82191739449386703</v>
      </c>
    </row>
    <row r="21" spans="1:13" s="36" customFormat="1" ht="29" customHeight="1" thickBot="1" x14ac:dyDescent="0.25">
      <c r="A21" s="45">
        <v>13</v>
      </c>
      <c r="B21" s="46" t="s">
        <v>28</v>
      </c>
      <c r="C21" s="129"/>
      <c r="D21" s="47" t="s">
        <v>42</v>
      </c>
      <c r="E21" s="48">
        <v>2</v>
      </c>
      <c r="F21" s="49">
        <v>2594053</v>
      </c>
      <c r="G21" s="50">
        <v>5188106</v>
      </c>
      <c r="H21" s="51">
        <f t="shared" si="6"/>
        <v>3073434</v>
      </c>
      <c r="I21" s="52">
        <f t="shared" si="1"/>
        <v>6146868</v>
      </c>
      <c r="J21" s="51">
        <f t="shared" si="2"/>
        <v>958762</v>
      </c>
      <c r="K21" s="53">
        <f t="shared" si="3"/>
        <v>0.18480000215878395</v>
      </c>
      <c r="L21" s="107">
        <f t="shared" si="4"/>
        <v>0.93800879338156828</v>
      </c>
      <c r="M21" s="107">
        <f t="shared" si="0"/>
        <v>1.0308612244346473</v>
      </c>
    </row>
    <row r="22" spans="1:13" s="54" customFormat="1" ht="29" customHeight="1" thickBot="1" x14ac:dyDescent="0.25">
      <c r="A22" s="45">
        <v>14</v>
      </c>
      <c r="B22" s="46" t="s">
        <v>28</v>
      </c>
      <c r="C22" s="126" t="s">
        <v>43</v>
      </c>
      <c r="D22" s="47" t="s">
        <v>44</v>
      </c>
      <c r="E22" s="48">
        <v>1</v>
      </c>
      <c r="F22" s="49">
        <v>3222968</v>
      </c>
      <c r="G22" s="50">
        <v>3222968</v>
      </c>
      <c r="H22" s="51">
        <f t="shared" si="6"/>
        <v>3818572</v>
      </c>
      <c r="I22" s="52">
        <f t="shared" si="1"/>
        <v>3818572</v>
      </c>
      <c r="J22" s="51">
        <f t="shared" si="2"/>
        <v>595604</v>
      </c>
      <c r="K22" s="53">
        <f t="shared" si="3"/>
        <v>0.18479984908320529</v>
      </c>
      <c r="L22" s="107">
        <f t="shared" si="4"/>
        <v>1.1654242703550801</v>
      </c>
      <c r="M22" s="107">
        <f t="shared" si="0"/>
        <v>1.2807883026266951</v>
      </c>
    </row>
    <row r="23" spans="1:13" s="54" customFormat="1" ht="29" customHeight="1" thickBot="1" x14ac:dyDescent="0.25">
      <c r="A23" s="45">
        <v>15</v>
      </c>
      <c r="B23" s="46" t="s">
        <v>28</v>
      </c>
      <c r="C23" s="116"/>
      <c r="D23" s="47" t="s">
        <v>45</v>
      </c>
      <c r="E23" s="48">
        <v>10</v>
      </c>
      <c r="F23" s="49">
        <v>2158142</v>
      </c>
      <c r="G23" s="50">
        <v>21581420</v>
      </c>
      <c r="H23" s="51">
        <f t="shared" si="6"/>
        <v>2556967</v>
      </c>
      <c r="I23" s="52">
        <f t="shared" si="1"/>
        <v>25569670</v>
      </c>
      <c r="J23" s="51">
        <f t="shared" si="2"/>
        <v>3988250</v>
      </c>
      <c r="K23" s="53">
        <f t="shared" si="3"/>
        <v>0.18480016606877583</v>
      </c>
      <c r="L23" s="107">
        <f t="shared" si="4"/>
        <v>0.78038350541260515</v>
      </c>
      <c r="M23" s="107">
        <f t="shared" si="0"/>
        <v>0.85763278723443148</v>
      </c>
    </row>
    <row r="24" spans="1:13" s="54" customFormat="1" ht="29" customHeight="1" thickBot="1" x14ac:dyDescent="0.25">
      <c r="A24" s="45">
        <v>16</v>
      </c>
      <c r="B24" s="46" t="s">
        <v>28</v>
      </c>
      <c r="C24" s="126" t="s">
        <v>46</v>
      </c>
      <c r="D24" s="47" t="s">
        <v>47</v>
      </c>
      <c r="E24" s="48">
        <v>1</v>
      </c>
      <c r="F24" s="49">
        <v>2819718</v>
      </c>
      <c r="G24" s="50">
        <v>2819718</v>
      </c>
      <c r="H24" s="51">
        <f t="shared" si="6"/>
        <v>3340802</v>
      </c>
      <c r="I24" s="52">
        <f t="shared" si="1"/>
        <v>3340802</v>
      </c>
      <c r="J24" s="51">
        <f t="shared" si="2"/>
        <v>521084</v>
      </c>
      <c r="K24" s="53">
        <f t="shared" si="3"/>
        <v>0.18480004028771671</v>
      </c>
      <c r="L24" s="107">
        <f t="shared" si="4"/>
        <v>1.0196091902734019</v>
      </c>
      <c r="M24" s="107">
        <f t="shared" si="0"/>
        <v>1.1205391524538686</v>
      </c>
    </row>
    <row r="25" spans="1:13" s="54" customFormat="1" ht="29" customHeight="1" thickBot="1" x14ac:dyDescent="0.25">
      <c r="A25" s="45">
        <v>17</v>
      </c>
      <c r="B25" s="46" t="s">
        <v>28</v>
      </c>
      <c r="C25" s="116"/>
      <c r="D25" s="47" t="s">
        <v>48</v>
      </c>
      <c r="E25" s="48">
        <v>1</v>
      </c>
      <c r="F25" s="49">
        <v>3417248</v>
      </c>
      <c r="G25" s="50">
        <v>3417248</v>
      </c>
      <c r="H25" s="51">
        <f t="shared" si="6"/>
        <v>4048755</v>
      </c>
      <c r="I25" s="52">
        <f t="shared" si="1"/>
        <v>4048755</v>
      </c>
      <c r="J25" s="51">
        <f t="shared" si="2"/>
        <v>631507</v>
      </c>
      <c r="K25" s="53">
        <f t="shared" si="3"/>
        <v>0.18479987405069812</v>
      </c>
      <c r="L25" s="107">
        <f t="shared" si="4"/>
        <v>1.2356758605801723</v>
      </c>
      <c r="M25" s="107">
        <f t="shared" si="0"/>
        <v>1.3579940184247776</v>
      </c>
    </row>
    <row r="26" spans="1:13" s="36" customFormat="1" ht="14" thickBot="1" x14ac:dyDescent="0.25">
      <c r="A26" s="38">
        <v>18</v>
      </c>
      <c r="B26" s="39" t="s">
        <v>49</v>
      </c>
      <c r="C26" s="40" t="s">
        <v>29</v>
      </c>
      <c r="D26" s="41" t="s">
        <v>50</v>
      </c>
      <c r="E26" s="42">
        <v>1</v>
      </c>
      <c r="F26" s="43">
        <v>9944695</v>
      </c>
      <c r="G26" s="44">
        <v>9944695</v>
      </c>
      <c r="H26" s="32">
        <f>ROUND(F26*(1+$I$4),0)</f>
        <v>10854635</v>
      </c>
      <c r="I26" s="34">
        <f t="shared" si="1"/>
        <v>10854635</v>
      </c>
      <c r="J26" s="32">
        <f t="shared" si="2"/>
        <v>909940</v>
      </c>
      <c r="K26" s="35">
        <f t="shared" si="3"/>
        <v>9.1500040976621205E-2</v>
      </c>
      <c r="L26" s="106">
        <f t="shared" si="4"/>
        <v>3.595998754650624</v>
      </c>
      <c r="M26" s="106">
        <f t="shared" si="0"/>
        <v>3.9519626099887377</v>
      </c>
    </row>
    <row r="27" spans="1:13" s="36" customFormat="1" ht="27" thickBot="1" x14ac:dyDescent="0.25">
      <c r="A27" s="38">
        <v>19</v>
      </c>
      <c r="B27" s="39" t="s">
        <v>49</v>
      </c>
      <c r="C27" s="115" t="s">
        <v>51</v>
      </c>
      <c r="D27" s="41" t="s">
        <v>52</v>
      </c>
      <c r="E27" s="42">
        <v>1</v>
      </c>
      <c r="F27" s="43">
        <v>9286358</v>
      </c>
      <c r="G27" s="44">
        <v>9286358</v>
      </c>
      <c r="H27" s="32">
        <f>ROUND(F27*(1+$I$4),0)</f>
        <v>10136060</v>
      </c>
      <c r="I27" s="34">
        <f t="shared" si="1"/>
        <v>10136060</v>
      </c>
      <c r="J27" s="32">
        <f t="shared" si="2"/>
        <v>849702</v>
      </c>
      <c r="K27" s="35">
        <f t="shared" si="3"/>
        <v>9.1500026167416759E-2</v>
      </c>
      <c r="L27" s="106">
        <f t="shared" si="4"/>
        <v>3.3579442912266151</v>
      </c>
      <c r="M27" s="106">
        <f t="shared" si="0"/>
        <v>3.6903434040933178</v>
      </c>
    </row>
    <row r="28" spans="1:13" s="64" customFormat="1" ht="27" thickBot="1" x14ac:dyDescent="0.25">
      <c r="A28" s="38">
        <v>20</v>
      </c>
      <c r="B28" s="39" t="s">
        <v>49</v>
      </c>
      <c r="C28" s="117"/>
      <c r="D28" s="41" t="s">
        <v>53</v>
      </c>
      <c r="E28" s="42">
        <v>1</v>
      </c>
      <c r="F28" s="43">
        <v>11178713</v>
      </c>
      <c r="G28" s="44">
        <v>11178713</v>
      </c>
      <c r="H28" s="32">
        <f>ROUND(F28*(1+$I$4),0)</f>
        <v>12201565</v>
      </c>
      <c r="I28" s="34">
        <f>H28*E28</f>
        <v>12201565</v>
      </c>
      <c r="J28" s="32">
        <f t="shared" si="2"/>
        <v>1022852</v>
      </c>
      <c r="K28" s="35">
        <f t="shared" si="3"/>
        <v>9.1499978575351207E-2</v>
      </c>
      <c r="L28" s="106">
        <f t="shared" si="4"/>
        <v>4.0422192964788506</v>
      </c>
      <c r="M28" s="106">
        <f t="shared" si="0"/>
        <v>4.4423540192831492</v>
      </c>
    </row>
    <row r="29" spans="1:13" s="64" customFormat="1" ht="27" thickBot="1" x14ac:dyDescent="0.25">
      <c r="A29" s="38">
        <v>21</v>
      </c>
      <c r="B29" s="39" t="s">
        <v>49</v>
      </c>
      <c r="C29" s="117"/>
      <c r="D29" s="41" t="s">
        <v>54</v>
      </c>
      <c r="E29" s="42">
        <v>1</v>
      </c>
      <c r="F29" s="43">
        <v>9822608</v>
      </c>
      <c r="G29" s="44">
        <v>9822608</v>
      </c>
      <c r="H29" s="32">
        <f>ROUND(F29*(1+$I$4),0)</f>
        <v>10721377</v>
      </c>
      <c r="I29" s="34">
        <f t="shared" si="1"/>
        <v>10721377</v>
      </c>
      <c r="J29" s="32">
        <f t="shared" si="2"/>
        <v>898769</v>
      </c>
      <c r="K29" s="35">
        <f t="shared" si="3"/>
        <v>9.1500037464591885E-2</v>
      </c>
      <c r="L29" s="106">
        <f t="shared" si="4"/>
        <v>3.551852131756807</v>
      </c>
      <c r="M29" s="106">
        <f t="shared" si="0"/>
        <v>3.9034459627546401</v>
      </c>
    </row>
    <row r="30" spans="1:13" s="64" customFormat="1" ht="14" thickBot="1" x14ac:dyDescent="0.25">
      <c r="A30" s="38">
        <v>22</v>
      </c>
      <c r="B30" s="39" t="s">
        <v>49</v>
      </c>
      <c r="C30" s="117"/>
      <c r="D30" s="41" t="s">
        <v>55</v>
      </c>
      <c r="E30" s="42">
        <v>1</v>
      </c>
      <c r="F30" s="43">
        <v>10760465</v>
      </c>
      <c r="G30" s="44">
        <v>10760465</v>
      </c>
      <c r="H30" s="32">
        <f>ROUND(F30*(1+$I$4),0)</f>
        <v>11745048</v>
      </c>
      <c r="I30" s="34">
        <f t="shared" si="1"/>
        <v>11745048</v>
      </c>
      <c r="J30" s="32">
        <f t="shared" si="2"/>
        <v>984583</v>
      </c>
      <c r="K30" s="35">
        <f t="shared" si="3"/>
        <v>9.1500042052086034E-2</v>
      </c>
      <c r="L30" s="106">
        <f t="shared" si="4"/>
        <v>3.8909809440572718</v>
      </c>
      <c r="M30" s="106">
        <f t="shared" si="0"/>
        <v>4.2761447531666343</v>
      </c>
    </row>
    <row r="31" spans="1:13" s="74" customFormat="1" ht="40" thickBot="1" x14ac:dyDescent="0.25">
      <c r="A31" s="65">
        <v>23</v>
      </c>
      <c r="B31" s="66" t="s">
        <v>49</v>
      </c>
      <c r="C31" s="116"/>
      <c r="D31" s="67" t="s">
        <v>56</v>
      </c>
      <c r="E31" s="68">
        <v>2</v>
      </c>
      <c r="F31" s="69">
        <v>3401672</v>
      </c>
      <c r="G31" s="70">
        <v>6803344</v>
      </c>
      <c r="H31" s="51">
        <f t="shared" ref="H31" si="7">ROUND(F31*(1+$I$2),0)</f>
        <v>4030301</v>
      </c>
      <c r="I31" s="71">
        <f t="shared" si="1"/>
        <v>8060602</v>
      </c>
      <c r="J31" s="72">
        <f t="shared" si="2"/>
        <v>1257258</v>
      </c>
      <c r="K31" s="73">
        <f t="shared" si="3"/>
        <v>0.18480000423321238</v>
      </c>
      <c r="L31" s="109">
        <f t="shared" si="4"/>
        <v>1.2300435836121568</v>
      </c>
      <c r="M31" s="109">
        <f t="shared" si="0"/>
        <v>1.3518042087208919</v>
      </c>
    </row>
    <row r="32" spans="1:13" s="64" customFormat="1" ht="27" thickBot="1" x14ac:dyDescent="0.25">
      <c r="A32" s="38">
        <v>24</v>
      </c>
      <c r="B32" s="39" t="s">
        <v>49</v>
      </c>
      <c r="C32" s="115" t="s">
        <v>57</v>
      </c>
      <c r="D32" s="41" t="s">
        <v>58</v>
      </c>
      <c r="E32" s="42">
        <v>1</v>
      </c>
      <c r="F32" s="43">
        <v>9113761</v>
      </c>
      <c r="G32" s="44">
        <v>9113761</v>
      </c>
      <c r="H32" s="32">
        <f>ROUND(F32*(1+$I$4),0)</f>
        <v>9947670</v>
      </c>
      <c r="I32" s="34">
        <f t="shared" si="1"/>
        <v>9947670</v>
      </c>
      <c r="J32" s="32">
        <f t="shared" si="2"/>
        <v>833909</v>
      </c>
      <c r="K32" s="35">
        <f t="shared" si="3"/>
        <v>9.1499985571269649E-2</v>
      </c>
      <c r="L32" s="106">
        <f t="shared" si="4"/>
        <v>3.295533267353441</v>
      </c>
      <c r="M32" s="106">
        <f t="shared" si="0"/>
        <v>3.621754383455055</v>
      </c>
    </row>
    <row r="33" spans="1:13" s="75" customFormat="1" ht="27" thickBot="1" x14ac:dyDescent="0.25">
      <c r="A33" s="65">
        <v>25</v>
      </c>
      <c r="B33" s="66" t="s">
        <v>49</v>
      </c>
      <c r="C33" s="116"/>
      <c r="D33" s="67" t="s">
        <v>59</v>
      </c>
      <c r="E33" s="68">
        <v>1</v>
      </c>
      <c r="F33" s="69">
        <v>3165411</v>
      </c>
      <c r="G33" s="70">
        <v>3165411</v>
      </c>
      <c r="H33" s="51">
        <f t="shared" ref="H33" si="8">ROUND(F33*(1+$I$2),0)</f>
        <v>3750379</v>
      </c>
      <c r="I33" s="71">
        <f t="shared" si="1"/>
        <v>3750379</v>
      </c>
      <c r="J33" s="72">
        <f t="shared" si="2"/>
        <v>584968</v>
      </c>
      <c r="K33" s="73">
        <f t="shared" si="3"/>
        <v>0.18480001491117584</v>
      </c>
      <c r="L33" s="109">
        <f t="shared" si="4"/>
        <v>1.1446116762713574</v>
      </c>
      <c r="M33" s="109">
        <f t="shared" si="0"/>
        <v>1.2579154933607377</v>
      </c>
    </row>
    <row r="34" spans="1:13" ht="27" thickBot="1" x14ac:dyDescent="0.25">
      <c r="A34" s="38">
        <v>26</v>
      </c>
      <c r="B34" s="39" t="s">
        <v>49</v>
      </c>
      <c r="C34" s="115" t="s">
        <v>60</v>
      </c>
      <c r="D34" s="41" t="s">
        <v>61</v>
      </c>
      <c r="E34" s="42">
        <v>1</v>
      </c>
      <c r="F34" s="43">
        <v>9420143</v>
      </c>
      <c r="G34" s="44">
        <v>9420143</v>
      </c>
      <c r="H34" s="32">
        <f>ROUND(F34*(1+$I$4),0)</f>
        <v>10282086</v>
      </c>
      <c r="I34" s="34">
        <f t="shared" si="1"/>
        <v>10282086</v>
      </c>
      <c r="J34" s="32">
        <f t="shared" si="2"/>
        <v>861943</v>
      </c>
      <c r="K34" s="35">
        <f t="shared" si="3"/>
        <v>9.1499991029860159E-2</v>
      </c>
      <c r="L34" s="106">
        <f t="shared" si="4"/>
        <v>3.4063209074416858</v>
      </c>
      <c r="M34" s="106">
        <f t="shared" si="0"/>
        <v>3.7435087669101104</v>
      </c>
    </row>
    <row r="35" spans="1:13" ht="14" thickBot="1" x14ac:dyDescent="0.25">
      <c r="A35" s="38">
        <v>27</v>
      </c>
      <c r="B35" s="39" t="s">
        <v>49</v>
      </c>
      <c r="C35" s="117"/>
      <c r="D35" s="41" t="s">
        <v>62</v>
      </c>
      <c r="E35" s="42">
        <v>1</v>
      </c>
      <c r="F35" s="43">
        <v>10669166</v>
      </c>
      <c r="G35" s="44">
        <v>10669166</v>
      </c>
      <c r="H35" s="32">
        <f>ROUND(F35*(1+$I$4),0)</f>
        <v>11645395</v>
      </c>
      <c r="I35" s="34">
        <f t="shared" si="1"/>
        <v>11645395</v>
      </c>
      <c r="J35" s="32">
        <f t="shared" si="2"/>
        <v>976229</v>
      </c>
      <c r="K35" s="35">
        <f t="shared" si="3"/>
        <v>9.1500029149419931E-2</v>
      </c>
      <c r="L35" s="106">
        <f t="shared" si="4"/>
        <v>3.8579672528077311</v>
      </c>
      <c r="M35" s="106">
        <f t="shared" si="0"/>
        <v>4.2398630739065508</v>
      </c>
    </row>
    <row r="36" spans="1:13" ht="27" thickBot="1" x14ac:dyDescent="0.25">
      <c r="A36" s="38">
        <v>28</v>
      </c>
      <c r="B36" s="39" t="s">
        <v>49</v>
      </c>
      <c r="C36" s="117"/>
      <c r="D36" s="41" t="s">
        <v>63</v>
      </c>
      <c r="E36" s="42">
        <v>1</v>
      </c>
      <c r="F36" s="43">
        <v>9031862</v>
      </c>
      <c r="G36" s="44">
        <v>9031862</v>
      </c>
      <c r="H36" s="32">
        <f>ROUND(F36*(1+$I$4),0)</f>
        <v>9858277</v>
      </c>
      <c r="I36" s="34">
        <f t="shared" si="1"/>
        <v>9858277</v>
      </c>
      <c r="J36" s="32">
        <f t="shared" si="2"/>
        <v>826415</v>
      </c>
      <c r="K36" s="35">
        <f t="shared" si="3"/>
        <v>9.1499958701760503E-2</v>
      </c>
      <c r="L36" s="106">
        <f t="shared" si="4"/>
        <v>3.2659186133085325</v>
      </c>
      <c r="M36" s="106">
        <f t="shared" si="0"/>
        <v>3.5892082082535564</v>
      </c>
    </row>
    <row r="37" spans="1:13" ht="27" thickBot="1" x14ac:dyDescent="0.25">
      <c r="A37" s="38">
        <v>29</v>
      </c>
      <c r="B37" s="39" t="s">
        <v>49</v>
      </c>
      <c r="C37" s="117"/>
      <c r="D37" s="41" t="s">
        <v>64</v>
      </c>
      <c r="E37" s="42">
        <v>2</v>
      </c>
      <c r="F37" s="43">
        <v>9062529</v>
      </c>
      <c r="G37" s="44">
        <v>18125058</v>
      </c>
      <c r="H37" s="32">
        <f>ROUND(F37*(1+$I$4),0)</f>
        <v>9891750</v>
      </c>
      <c r="I37" s="34">
        <f t="shared" si="1"/>
        <v>19783500</v>
      </c>
      <c r="J37" s="32">
        <f t="shared" si="2"/>
        <v>1658442</v>
      </c>
      <c r="K37" s="35">
        <f t="shared" si="3"/>
        <v>9.1499955476004549E-2</v>
      </c>
      <c r="L37" s="106">
        <f t="shared" si="4"/>
        <v>3.2770077913887925</v>
      </c>
      <c r="M37" s="106">
        <f t="shared" si="0"/>
        <v>3.6013950915476669</v>
      </c>
    </row>
    <row r="38" spans="1:13" ht="27" thickBot="1" x14ac:dyDescent="0.25">
      <c r="A38" s="38">
        <v>30</v>
      </c>
      <c r="B38" s="39" t="s">
        <v>49</v>
      </c>
      <c r="C38" s="117"/>
      <c r="D38" s="41" t="s">
        <v>65</v>
      </c>
      <c r="E38" s="42">
        <v>1</v>
      </c>
      <c r="F38" s="43">
        <v>10573228</v>
      </c>
      <c r="G38" s="44">
        <v>10573228</v>
      </c>
      <c r="H38" s="32">
        <f>ROUND(F38*(1+$I$4),0)</f>
        <v>11540678</v>
      </c>
      <c r="I38" s="34">
        <f t="shared" si="1"/>
        <v>11540678</v>
      </c>
      <c r="J38" s="32">
        <f t="shared" si="2"/>
        <v>967450</v>
      </c>
      <c r="K38" s="35">
        <f t="shared" si="3"/>
        <v>9.1499965762584526E-2</v>
      </c>
      <c r="L38" s="106">
        <f t="shared" si="4"/>
        <v>3.8232761005377349</v>
      </c>
      <c r="M38" s="106">
        <f t="shared" si="0"/>
        <v>4.2017378836541495</v>
      </c>
    </row>
    <row r="39" spans="1:13" s="75" customFormat="1" ht="27" thickBot="1" x14ac:dyDescent="0.25">
      <c r="A39" s="65">
        <v>31</v>
      </c>
      <c r="B39" s="66" t="s">
        <v>49</v>
      </c>
      <c r="C39" s="116"/>
      <c r="D39" s="67" t="s">
        <v>66</v>
      </c>
      <c r="E39" s="68">
        <v>2</v>
      </c>
      <c r="F39" s="69">
        <v>3184690</v>
      </c>
      <c r="G39" s="70">
        <v>6369380</v>
      </c>
      <c r="H39" s="51">
        <f t="shared" ref="H39" si="9">ROUND(F39*(1+$I$2),0)</f>
        <v>3773221</v>
      </c>
      <c r="I39" s="71">
        <f t="shared" si="1"/>
        <v>7546442</v>
      </c>
      <c r="J39" s="72">
        <f t="shared" si="2"/>
        <v>1177062</v>
      </c>
      <c r="K39" s="73">
        <f t="shared" si="3"/>
        <v>0.18480009043266377</v>
      </c>
      <c r="L39" s="109">
        <f t="shared" si="4"/>
        <v>1.1515829569381761</v>
      </c>
      <c r="M39" s="109">
        <f t="shared" si="0"/>
        <v>1.2655768532272769</v>
      </c>
    </row>
    <row r="40" spans="1:13" ht="14" thickBot="1" x14ac:dyDescent="0.25">
      <c r="A40" s="38">
        <v>32</v>
      </c>
      <c r="B40" s="39" t="s">
        <v>49</v>
      </c>
      <c r="C40" s="115" t="s">
        <v>67</v>
      </c>
      <c r="D40" s="41" t="s">
        <v>68</v>
      </c>
      <c r="E40" s="42">
        <v>3</v>
      </c>
      <c r="F40" s="43">
        <v>9243349</v>
      </c>
      <c r="G40" s="44">
        <v>27730047</v>
      </c>
      <c r="H40" s="32">
        <f>ROUND(F40*(1+$I$4),0)</f>
        <v>10089115</v>
      </c>
      <c r="I40" s="34">
        <f t="shared" si="1"/>
        <v>30267345</v>
      </c>
      <c r="J40" s="32">
        <f t="shared" si="2"/>
        <v>2537298</v>
      </c>
      <c r="K40" s="35">
        <f t="shared" si="3"/>
        <v>9.1499953101413789E-2</v>
      </c>
      <c r="L40" s="106">
        <f t="shared" si="4"/>
        <v>3.3423922496166139</v>
      </c>
      <c r="M40" s="106">
        <f t="shared" si="0"/>
        <v>3.6732518834490944</v>
      </c>
    </row>
    <row r="41" spans="1:13" s="75" customFormat="1" ht="27" thickBot="1" x14ac:dyDescent="0.25">
      <c r="A41" s="65">
        <v>33</v>
      </c>
      <c r="B41" s="66" t="s">
        <v>49</v>
      </c>
      <c r="C41" s="116"/>
      <c r="D41" s="67" t="s">
        <v>69</v>
      </c>
      <c r="E41" s="68">
        <v>3</v>
      </c>
      <c r="F41" s="69">
        <v>3411756</v>
      </c>
      <c r="G41" s="70">
        <v>10235268</v>
      </c>
      <c r="H41" s="51">
        <f t="shared" ref="H41" si="10">ROUND(F41*(1+$I$2),0)</f>
        <v>4042249</v>
      </c>
      <c r="I41" s="71">
        <f t="shared" si="1"/>
        <v>12126747</v>
      </c>
      <c r="J41" s="72">
        <f t="shared" si="2"/>
        <v>1891479</v>
      </c>
      <c r="K41" s="73">
        <f t="shared" si="3"/>
        <v>0.18480014397278116</v>
      </c>
      <c r="L41" s="109">
        <f t="shared" si="4"/>
        <v>1.2336899550133811</v>
      </c>
      <c r="M41" s="109">
        <f t="shared" si="0"/>
        <v>1.3558115303088467</v>
      </c>
    </row>
    <row r="42" spans="1:13" ht="27" thickBot="1" x14ac:dyDescent="0.25">
      <c r="A42" s="38">
        <v>34</v>
      </c>
      <c r="B42" s="39" t="s">
        <v>49</v>
      </c>
      <c r="C42" s="115" t="s">
        <v>70</v>
      </c>
      <c r="D42" s="41" t="s">
        <v>71</v>
      </c>
      <c r="E42" s="42">
        <v>1</v>
      </c>
      <c r="F42" s="43">
        <v>10565476</v>
      </c>
      <c r="G42" s="44">
        <v>10565476</v>
      </c>
      <c r="H42" s="32">
        <f>ROUND(F42*(1+$I$4),0)</f>
        <v>11532217</v>
      </c>
      <c r="I42" s="34">
        <f t="shared" si="1"/>
        <v>11532217</v>
      </c>
      <c r="J42" s="32">
        <f t="shared" si="2"/>
        <v>966741</v>
      </c>
      <c r="K42" s="35">
        <f t="shared" si="3"/>
        <v>9.1499994889013989E-2</v>
      </c>
      <c r="L42" s="106">
        <f t="shared" si="4"/>
        <v>3.8204729796430215</v>
      </c>
      <c r="M42" s="106">
        <f t="shared" si="0"/>
        <v>4.1986572849879629</v>
      </c>
    </row>
    <row r="43" spans="1:13" ht="27" thickBot="1" x14ac:dyDescent="0.25">
      <c r="A43" s="38">
        <v>35</v>
      </c>
      <c r="B43" s="39" t="s">
        <v>49</v>
      </c>
      <c r="C43" s="117"/>
      <c r="D43" s="41" t="s">
        <v>72</v>
      </c>
      <c r="E43" s="42">
        <v>1</v>
      </c>
      <c r="F43" s="43">
        <v>10100949</v>
      </c>
      <c r="G43" s="44">
        <v>10100949</v>
      </c>
      <c r="H43" s="32">
        <f>ROUND(F43*(1+$I$4),0)</f>
        <v>11025186</v>
      </c>
      <c r="I43" s="34">
        <f t="shared" si="1"/>
        <v>11025186</v>
      </c>
      <c r="J43" s="32">
        <f t="shared" si="2"/>
        <v>924237</v>
      </c>
      <c r="K43" s="35">
        <f t="shared" si="3"/>
        <v>9.1500016483599705E-2</v>
      </c>
      <c r="L43" s="106">
        <f t="shared" si="4"/>
        <v>3.6525001545838727</v>
      </c>
      <c r="M43" s="106">
        <f t="shared" si="0"/>
        <v>4.0140570196876961</v>
      </c>
    </row>
    <row r="44" spans="1:13" ht="27" thickBot="1" x14ac:dyDescent="0.25">
      <c r="A44" s="38">
        <v>36</v>
      </c>
      <c r="B44" s="39" t="s">
        <v>49</v>
      </c>
      <c r="C44" s="117"/>
      <c r="D44" s="41" t="s">
        <v>73</v>
      </c>
      <c r="E44" s="42">
        <v>1</v>
      </c>
      <c r="F44" s="43">
        <v>10298397</v>
      </c>
      <c r="G44" s="44">
        <v>10298397</v>
      </c>
      <c r="H44" s="32">
        <f>ROUND(F44*(1+$I$4),0)</f>
        <v>11240700</v>
      </c>
      <c r="I44" s="34">
        <f t="shared" si="1"/>
        <v>11240700</v>
      </c>
      <c r="J44" s="32">
        <f t="shared" si="2"/>
        <v>942303</v>
      </c>
      <c r="K44" s="35">
        <f t="shared" si="3"/>
        <v>9.1499968393139244E-2</v>
      </c>
      <c r="L44" s="106">
        <f t="shared" si="4"/>
        <v>3.7238972926668663</v>
      </c>
      <c r="M44" s="106">
        <f t="shared" si="0"/>
        <v>4.0925216798323314</v>
      </c>
    </row>
    <row r="45" spans="1:13" s="75" customFormat="1" ht="27" thickBot="1" x14ac:dyDescent="0.25">
      <c r="A45" s="65">
        <v>37</v>
      </c>
      <c r="B45" s="66" t="s">
        <v>49</v>
      </c>
      <c r="C45" s="116"/>
      <c r="D45" s="67" t="s">
        <v>74</v>
      </c>
      <c r="E45" s="68">
        <v>1</v>
      </c>
      <c r="F45" s="69">
        <v>3342776</v>
      </c>
      <c r="G45" s="70">
        <v>3342776</v>
      </c>
      <c r="H45" s="51">
        <f t="shared" ref="H45" si="11">ROUND(F45*(1+$I$2),0)</f>
        <v>3960521</v>
      </c>
      <c r="I45" s="71">
        <f t="shared" si="1"/>
        <v>3960521</v>
      </c>
      <c r="J45" s="72">
        <f t="shared" si="2"/>
        <v>617745</v>
      </c>
      <c r="K45" s="73">
        <f t="shared" si="3"/>
        <v>0.1847999985640677</v>
      </c>
      <c r="L45" s="109">
        <f t="shared" si="4"/>
        <v>1.2087468075266254</v>
      </c>
      <c r="M45" s="109">
        <f t="shared" si="0"/>
        <v>1.3283992888236102</v>
      </c>
    </row>
    <row r="46" spans="1:13" ht="27" thickBot="1" x14ac:dyDescent="0.25">
      <c r="A46" s="38">
        <v>38</v>
      </c>
      <c r="B46" s="39" t="s">
        <v>49</v>
      </c>
      <c r="C46" s="40" t="s">
        <v>75</v>
      </c>
      <c r="D46" s="41" t="s">
        <v>76</v>
      </c>
      <c r="E46" s="42">
        <v>3</v>
      </c>
      <c r="F46" s="43">
        <v>9373503</v>
      </c>
      <c r="G46" s="44">
        <v>28120509</v>
      </c>
      <c r="H46" s="32">
        <f>ROUND(F46*(1+$I$4),0)</f>
        <v>10231179</v>
      </c>
      <c r="I46" s="34">
        <f t="shared" si="1"/>
        <v>30693537</v>
      </c>
      <c r="J46" s="32">
        <f t="shared" si="2"/>
        <v>2573028</v>
      </c>
      <c r="K46" s="35">
        <f t="shared" si="3"/>
        <v>9.150005072810026E-2</v>
      </c>
      <c r="L46" s="106">
        <f t="shared" si="4"/>
        <v>3.3894558973114699</v>
      </c>
      <c r="M46" s="106">
        <f t="shared" si="0"/>
        <v>3.7249743084747462</v>
      </c>
    </row>
    <row r="47" spans="1:13" ht="40" thickBot="1" x14ac:dyDescent="0.25">
      <c r="A47" s="38">
        <v>39</v>
      </c>
      <c r="B47" s="39" t="s">
        <v>49</v>
      </c>
      <c r="C47" s="40" t="s">
        <v>77</v>
      </c>
      <c r="D47" s="41" t="s">
        <v>78</v>
      </c>
      <c r="E47" s="42">
        <v>1</v>
      </c>
      <c r="F47" s="43">
        <v>10611031</v>
      </c>
      <c r="G47" s="44">
        <v>10611031</v>
      </c>
      <c r="H47" s="32">
        <f>ROUND(F47*(1+$I$4),0)</f>
        <v>11581940</v>
      </c>
      <c r="I47" s="34">
        <f t="shared" si="1"/>
        <v>11581940</v>
      </c>
      <c r="J47" s="32">
        <f t="shared" si="2"/>
        <v>970909</v>
      </c>
      <c r="K47" s="35">
        <f t="shared" si="3"/>
        <v>9.1499968287718697E-2</v>
      </c>
      <c r="L47" s="106">
        <f t="shared" si="4"/>
        <v>3.8369456540958939</v>
      </c>
      <c r="M47" s="106">
        <f t="shared" si="0"/>
        <v>4.2167605708803944</v>
      </c>
    </row>
    <row r="48" spans="1:13" ht="53" thickBot="1" x14ac:dyDescent="0.25">
      <c r="A48" s="38">
        <v>40</v>
      </c>
      <c r="B48" s="39" t="s">
        <v>49</v>
      </c>
      <c r="C48" s="40" t="s">
        <v>79</v>
      </c>
      <c r="D48" s="41" t="s">
        <v>80</v>
      </c>
      <c r="E48" s="42">
        <v>1</v>
      </c>
      <c r="F48" s="43">
        <v>6023322</v>
      </c>
      <c r="G48" s="44">
        <v>6023322</v>
      </c>
      <c r="H48" s="32">
        <f>ROUND(F48*(1+$I$3),0)</f>
        <v>6085965</v>
      </c>
      <c r="I48" s="34">
        <f t="shared" si="1"/>
        <v>6085965</v>
      </c>
      <c r="J48" s="32">
        <f t="shared" si="2"/>
        <v>62643</v>
      </c>
      <c r="K48" s="35">
        <f t="shared" si="3"/>
        <v>1.040007490882938E-2</v>
      </c>
      <c r="L48" s="106"/>
      <c r="M48" s="106"/>
    </row>
    <row r="49" spans="1:14" ht="66" thickBot="1" x14ac:dyDescent="0.25">
      <c r="A49" s="38">
        <v>41</v>
      </c>
      <c r="B49" s="39" t="s">
        <v>49</v>
      </c>
      <c r="C49" s="40" t="s">
        <v>81</v>
      </c>
      <c r="D49" s="41" t="s">
        <v>82</v>
      </c>
      <c r="E49" s="42">
        <v>1</v>
      </c>
      <c r="F49" s="43">
        <v>45775032</v>
      </c>
      <c r="G49" s="44">
        <v>45775032</v>
      </c>
      <c r="H49" s="32">
        <f t="shared" ref="H49:H51" si="12">ROUND(F49*(1+$I$3),0)</f>
        <v>46251092</v>
      </c>
      <c r="I49" s="34">
        <f t="shared" si="1"/>
        <v>46251092</v>
      </c>
      <c r="J49" s="32">
        <f t="shared" si="2"/>
        <v>476060</v>
      </c>
      <c r="K49" s="35">
        <f t="shared" si="3"/>
        <v>1.0399992729661009E-2</v>
      </c>
      <c r="L49" s="106"/>
      <c r="M49" s="106"/>
    </row>
    <row r="50" spans="1:14" ht="66" thickBot="1" x14ac:dyDescent="0.25">
      <c r="A50" s="38">
        <v>42</v>
      </c>
      <c r="B50" s="39" t="s">
        <v>21</v>
      </c>
      <c r="C50" s="40" t="s">
        <v>83</v>
      </c>
      <c r="D50" s="41" t="s">
        <v>84</v>
      </c>
      <c r="E50" s="42">
        <v>1</v>
      </c>
      <c r="F50" s="43">
        <v>104079707</v>
      </c>
      <c r="G50" s="44">
        <v>104079707</v>
      </c>
      <c r="H50" s="32">
        <f t="shared" si="12"/>
        <v>105162136</v>
      </c>
      <c r="I50" s="34">
        <f t="shared" si="1"/>
        <v>105162136</v>
      </c>
      <c r="J50" s="32">
        <f t="shared" si="2"/>
        <v>1082429</v>
      </c>
      <c r="K50" s="35">
        <f t="shared" si="3"/>
        <v>1.0400000453498587E-2</v>
      </c>
      <c r="L50" s="106"/>
      <c r="M50" s="106"/>
    </row>
    <row r="51" spans="1:14" ht="105" thickBot="1" x14ac:dyDescent="0.25">
      <c r="A51" s="38">
        <v>43</v>
      </c>
      <c r="B51" s="39" t="s">
        <v>28</v>
      </c>
      <c r="C51" s="40" t="s">
        <v>85</v>
      </c>
      <c r="D51" s="41" t="s">
        <v>86</v>
      </c>
      <c r="E51" s="42">
        <v>40</v>
      </c>
      <c r="F51" s="43">
        <v>201572</v>
      </c>
      <c r="G51" s="44">
        <v>8062880</v>
      </c>
      <c r="H51" s="32">
        <f t="shared" si="12"/>
        <v>203668</v>
      </c>
      <c r="I51" s="34">
        <f t="shared" si="1"/>
        <v>8146720</v>
      </c>
      <c r="J51" s="32">
        <f t="shared" si="2"/>
        <v>83840</v>
      </c>
      <c r="K51" s="35">
        <f t="shared" si="3"/>
        <v>1.0398269600936637E-2</v>
      </c>
      <c r="L51" s="106"/>
      <c r="M51" s="106"/>
    </row>
    <row r="52" spans="1:14" ht="27" customHeight="1" thickBot="1" x14ac:dyDescent="0.25">
      <c r="A52" s="76">
        <v>44</v>
      </c>
      <c r="B52" s="67" t="s">
        <v>28</v>
      </c>
      <c r="C52" s="67" t="s">
        <v>87</v>
      </c>
      <c r="D52" s="67" t="s">
        <v>87</v>
      </c>
      <c r="E52" s="68">
        <v>1</v>
      </c>
      <c r="F52" s="69">
        <v>7439334</v>
      </c>
      <c r="G52" s="70">
        <v>7439334</v>
      </c>
      <c r="H52" s="51">
        <f>ROUND(F52*(1+$I$2),0)</f>
        <v>8814123</v>
      </c>
      <c r="I52" s="71">
        <f>H52*E52</f>
        <v>8814123</v>
      </c>
      <c r="J52" s="72">
        <f t="shared" si="2"/>
        <v>1374789</v>
      </c>
      <c r="K52" s="73">
        <f t="shared" si="3"/>
        <v>0.18480001032350477</v>
      </c>
      <c r="L52" s="109">
        <f t="shared" si="4"/>
        <v>2.6900609620938649</v>
      </c>
      <c r="M52" s="109">
        <f>F52/$F$3</f>
        <v>2.9563470585289902</v>
      </c>
    </row>
    <row r="53" spans="1:14" x14ac:dyDescent="0.2">
      <c r="A53" s="77"/>
      <c r="B53" s="77"/>
      <c r="C53" s="77"/>
      <c r="D53" s="78"/>
      <c r="E53" s="78"/>
      <c r="F53" s="78"/>
      <c r="G53" s="78"/>
      <c r="H53" s="78"/>
      <c r="I53" s="78"/>
      <c r="J53" s="78"/>
      <c r="K53" s="79"/>
    </row>
    <row r="54" spans="1:14" ht="14" thickBot="1" x14ac:dyDescent="0.25">
      <c r="A54" s="77"/>
      <c r="B54" s="77"/>
      <c r="C54" s="77"/>
      <c r="D54" s="78"/>
      <c r="E54" s="78"/>
      <c r="F54" s="81"/>
      <c r="G54" s="82"/>
      <c r="H54" s="83"/>
      <c r="I54" s="83"/>
      <c r="J54" s="83"/>
      <c r="K54" s="84"/>
    </row>
    <row r="55" spans="1:14" s="22" customFormat="1" ht="26.25" customHeight="1" thickBot="1" x14ac:dyDescent="0.25">
      <c r="A55" s="118"/>
      <c r="B55" s="119"/>
      <c r="C55" s="119"/>
      <c r="D55" s="119"/>
      <c r="E55" s="120"/>
      <c r="F55" s="121" t="s">
        <v>9</v>
      </c>
      <c r="G55" s="122"/>
      <c r="H55" s="123" t="s">
        <v>96</v>
      </c>
      <c r="I55" s="124"/>
    </row>
    <row r="56" spans="1:14" s="26" customFormat="1" ht="55.5" customHeight="1" x14ac:dyDescent="0.2">
      <c r="A56" s="23" t="s">
        <v>10</v>
      </c>
      <c r="B56" s="24" t="s">
        <v>11</v>
      </c>
      <c r="C56" s="24" t="s">
        <v>12</v>
      </c>
      <c r="D56" s="24" t="s">
        <v>13</v>
      </c>
      <c r="E56" s="24" t="s">
        <v>14</v>
      </c>
      <c r="F56" s="25" t="s">
        <v>15</v>
      </c>
      <c r="G56" s="25" t="s">
        <v>16</v>
      </c>
      <c r="H56" s="25" t="s">
        <v>17</v>
      </c>
      <c r="I56" s="25" t="s">
        <v>18</v>
      </c>
      <c r="K56" s="25" t="s">
        <v>19</v>
      </c>
      <c r="N56" s="25" t="s">
        <v>20</v>
      </c>
    </row>
    <row r="57" spans="1:14" ht="14" thickBot="1" x14ac:dyDescent="0.25">
      <c r="A57" s="77"/>
      <c r="B57" s="77"/>
      <c r="C57" s="77"/>
      <c r="D57" s="78"/>
      <c r="E57" s="78"/>
      <c r="F57" s="81"/>
      <c r="G57" s="82"/>
      <c r="H57" s="83"/>
      <c r="I57" s="83"/>
      <c r="K57" s="83"/>
      <c r="N57" s="84"/>
    </row>
    <row r="58" spans="1:14" ht="28" thickTop="1" thickBot="1" x14ac:dyDescent="0.25">
      <c r="A58" s="77"/>
      <c r="B58" s="77"/>
      <c r="C58" s="77"/>
      <c r="D58" s="78"/>
      <c r="E58" s="78"/>
      <c r="F58" s="85" t="s">
        <v>88</v>
      </c>
      <c r="G58" s="86">
        <v>1042802079</v>
      </c>
      <c r="H58" s="85" t="s">
        <v>88</v>
      </c>
      <c r="I58" s="86">
        <f>SUM(I9:I52)</f>
        <v>1159034224</v>
      </c>
      <c r="K58" s="113">
        <f>I58-G58</f>
        <v>116232145</v>
      </c>
      <c r="N58" s="87">
        <f>K58/G58</f>
        <v>0.11146136677389575</v>
      </c>
    </row>
    <row r="59" spans="1:14" ht="15" thickTop="1" thickBot="1" x14ac:dyDescent="0.25">
      <c r="A59" s="77"/>
      <c r="B59" s="77"/>
      <c r="C59" s="77"/>
      <c r="D59" s="78"/>
      <c r="E59" s="78"/>
      <c r="F59" s="88"/>
      <c r="G59" s="88"/>
      <c r="H59" s="88"/>
      <c r="I59" s="88"/>
      <c r="K59" s="88"/>
      <c r="N59" s="89"/>
    </row>
    <row r="60" spans="1:14" ht="15" thickTop="1" thickBot="1" x14ac:dyDescent="0.25">
      <c r="A60" s="77"/>
      <c r="B60" s="77"/>
      <c r="C60" s="77"/>
      <c r="D60" s="78"/>
      <c r="E60" s="78"/>
      <c r="F60" s="85" t="s">
        <v>89</v>
      </c>
      <c r="G60" s="90">
        <v>198132395</v>
      </c>
      <c r="H60" s="85" t="s">
        <v>89</v>
      </c>
      <c r="I60" s="90">
        <f>I58*19%</f>
        <v>220216502.56</v>
      </c>
      <c r="K60" s="85">
        <f>K58*19%</f>
        <v>22084107.550000001</v>
      </c>
      <c r="N60" s="91">
        <f>K60/G60</f>
        <v>0.11146136677952134</v>
      </c>
    </row>
    <row r="61" spans="1:14" ht="15" thickTop="1" thickBot="1" x14ac:dyDescent="0.25">
      <c r="A61" s="77"/>
      <c r="B61" s="77"/>
      <c r="C61" s="77"/>
      <c r="D61" s="78"/>
      <c r="E61" s="78"/>
      <c r="F61" s="83"/>
      <c r="G61" s="78"/>
      <c r="H61" s="83"/>
      <c r="I61" s="78"/>
      <c r="K61" s="83"/>
      <c r="N61" s="79"/>
    </row>
    <row r="62" spans="1:14" ht="28" thickTop="1" thickBot="1" x14ac:dyDescent="0.25">
      <c r="A62" s="77"/>
      <c r="B62" s="77"/>
      <c r="C62" s="77"/>
      <c r="D62" s="78"/>
      <c r="E62" s="78"/>
      <c r="F62" s="85" t="s">
        <v>90</v>
      </c>
      <c r="G62" s="92">
        <v>1240934474</v>
      </c>
      <c r="H62" s="85" t="s">
        <v>90</v>
      </c>
      <c r="I62" s="93">
        <f>SUM(I58+I60)</f>
        <v>1379250726.5599999</v>
      </c>
      <c r="K62" s="110">
        <f>K58+K60</f>
        <v>138316252.55000001</v>
      </c>
      <c r="N62" s="11">
        <f>K62/G62</f>
        <v>0.11146136677479396</v>
      </c>
    </row>
    <row r="63" spans="1:14" ht="15" thickTop="1" x14ac:dyDescent="0.2">
      <c r="A63" s="77"/>
      <c r="B63" s="77"/>
      <c r="C63" s="77"/>
      <c r="D63" s="78"/>
      <c r="E63" s="78"/>
      <c r="F63" s="83"/>
      <c r="G63" s="78"/>
      <c r="H63" s="83"/>
      <c r="I63" s="78"/>
      <c r="M63" s="4" t="s">
        <v>91</v>
      </c>
    </row>
    <row r="64" spans="1:14" ht="16" hidden="1" thickTop="1" thickBot="1" x14ac:dyDescent="0.25">
      <c r="D64" s="95"/>
      <c r="E64" s="95"/>
      <c r="I64" s="90" t="s">
        <v>92</v>
      </c>
      <c r="K64" s="112">
        <f>K62</f>
        <v>138316252.55000001</v>
      </c>
      <c r="M64" s="4" t="s">
        <v>93</v>
      </c>
    </row>
    <row r="65" spans="9:12" ht="15" hidden="1" thickTop="1" thickBot="1" x14ac:dyDescent="0.25"/>
    <row r="66" spans="9:12" ht="15" hidden="1" thickTop="1" thickBot="1" x14ac:dyDescent="0.25">
      <c r="I66" s="90" t="s">
        <v>94</v>
      </c>
      <c r="K66" s="112">
        <f>K64*12</f>
        <v>1659795030.6000001</v>
      </c>
    </row>
    <row r="67" spans="9:12" ht="14" hidden="1" thickTop="1" x14ac:dyDescent="0.2"/>
    <row r="68" spans="9:12" hidden="1" x14ac:dyDescent="0.2"/>
    <row r="69" spans="9:12" x14ac:dyDescent="0.2">
      <c r="L69" s="80"/>
    </row>
  </sheetData>
  <autoFilter ref="A8:L52" xr:uid="{16007EB0-D76B-4424-8ADD-EAB62A2BBF87}"/>
  <mergeCells count="17">
    <mergeCell ref="C34:C39"/>
    <mergeCell ref="A6:E6"/>
    <mergeCell ref="A7:E7"/>
    <mergeCell ref="F7:G7"/>
    <mergeCell ref="H7:I7"/>
    <mergeCell ref="C13:C14"/>
    <mergeCell ref="C15:C19"/>
    <mergeCell ref="C20:C21"/>
    <mergeCell ref="C22:C23"/>
    <mergeCell ref="C24:C25"/>
    <mergeCell ref="C27:C31"/>
    <mergeCell ref="C32:C33"/>
    <mergeCell ref="C40:C41"/>
    <mergeCell ref="C42:C45"/>
    <mergeCell ref="A55:E55"/>
    <mergeCell ref="F55:G55"/>
    <mergeCell ref="H55:I55"/>
  </mergeCells>
  <pageMargins left="0.70866141732283472" right="0.70866141732283472" top="0.74803149606299213" bottom="0.74803149606299213" header="0.31496062992125984" footer="0.31496062992125984"/>
  <pageSetup scale="39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E4E8D6348483418ED8525D7D4FE335" ma:contentTypeVersion="18" ma:contentTypeDescription="Create a new document." ma:contentTypeScope="" ma:versionID="0eb08679b885f92c2fa54f9b7f4dbab1">
  <xsd:schema xmlns:xsd="http://www.w3.org/2001/XMLSchema" xmlns:xs="http://www.w3.org/2001/XMLSchema" xmlns:p="http://schemas.microsoft.com/office/2006/metadata/properties" xmlns:ns3="53a7f4fd-b450-44e6-82ab-bd9f28d28d18" xmlns:ns4="be6e4755-4ffe-4426-bc3d-4f7363442cfc" targetNamespace="http://schemas.microsoft.com/office/2006/metadata/properties" ma:root="true" ma:fieldsID="11eb84ec46da220b3db287ebe22f543d" ns3:_="" ns4:_="">
    <xsd:import namespace="53a7f4fd-b450-44e6-82ab-bd9f28d28d18"/>
    <xsd:import namespace="be6e4755-4ffe-4426-bc3d-4f7363442cf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MediaLengthInSeconds" minOccurs="0"/>
                <xsd:element ref="ns3:MediaServiceSearchProperties" minOccurs="0"/>
                <xsd:element ref="ns3:_activity" minOccurs="0"/>
                <xsd:element ref="ns3:MediaServiceObjectDetectorVersion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a7f4fd-b450-44e6-82ab-bd9f28d28d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3" nillable="true" ma:displayName="_activity" ma:hidden="true" ma:internalName="_activity">
      <xsd:simpleType>
        <xsd:restriction base="dms:Note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5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6e4755-4ffe-4426-bc3d-4f7363442cf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3a7f4fd-b450-44e6-82ab-bd9f28d28d18" xsi:nil="true"/>
  </documentManagement>
</p:properties>
</file>

<file path=customXml/itemProps1.xml><?xml version="1.0" encoding="utf-8"?>
<ds:datastoreItem xmlns:ds="http://schemas.openxmlformats.org/officeDocument/2006/customXml" ds:itemID="{95FBC49D-7257-4CEC-8B31-897F79D3A2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3a7f4fd-b450-44e6-82ab-bd9f28d28d18"/>
    <ds:schemaRef ds:uri="be6e4755-4ffe-4426-bc3d-4f7363442cf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566A1A2-1C3C-4440-97C7-7FD52A538BA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58C43CA-0D8B-4835-B627-740C93F0FAE3}">
  <ds:schemaRefs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purl.org/dc/elements/1.1/"/>
    <ds:schemaRef ds:uri="http://schemas.microsoft.com/office/2006/metadata/properties"/>
    <ds:schemaRef ds:uri="53a7f4fd-b450-44e6-82ab-bd9f28d28d18"/>
    <ds:schemaRef ds:uri="http://www.w3.org/XML/1998/namespace"/>
    <ds:schemaRef ds:uri="http://schemas.microsoft.com/office/infopath/2007/PartnerControls"/>
    <ds:schemaRef ds:uri="be6e4755-4ffe-4426-bc3d-4f7363442cfc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1_Escen_Conc desde Enero</vt:lpstr>
      <vt:lpstr>2_Escen_Acuerdo Directo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JAIRO ALBERTO ORDUZ SALAMANCA</dc:creator>
  <cp:lastModifiedBy>Helbert Alfonso Suárez Gómez </cp:lastModifiedBy>
  <dcterms:created xsi:type="dcterms:W3CDTF">2026-04-17T13:06:56Z</dcterms:created>
  <dcterms:modified xsi:type="dcterms:W3CDTF">2026-06-17T17:21:14Z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0x0101008CE4E8D6348483418ED8525D7D4FE335</vt:lpwstr>
  </property>
</Properties>
</file>