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3df74571ff920c86/Documentos/Alcaldia RUU/Ejecución/Vigilancia/Licitación/rev. contratacion/"/>
    </mc:Choice>
  </mc:AlternateContent>
  <xr:revisionPtr revIDLastSave="31" documentId="8_{0597C1AE-9A25-46D7-A71C-AF549798C680}" xr6:coauthVersionLast="47" xr6:coauthVersionMax="47" xr10:uidLastSave="{928324F4-8E25-4538-82B1-974C899BA9A9}"/>
  <bookViews>
    <workbookView xWindow="-108" yWindow="-108" windowWidth="23256" windowHeight="12456" xr2:uid="{32B44AF4-0128-46FC-A2F7-AC4DF401F7A0}"/>
  </bookViews>
  <sheets>
    <sheet name="FÍSICA" sheetId="3" r:id="rId1"/>
    <sheet name="MEDIOS TECNOLÓGICOS" sheetId="2" r:id="rId2"/>
  </sheets>
  <definedNames>
    <definedName name="_xlnm.Print_Area" localSheetId="0">FÍSICA!$A$1:$AE$17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E5" i="3" l="1"/>
  <c r="AE6" i="3"/>
  <c r="AE7" i="3"/>
  <c r="AE8" i="3"/>
  <c r="AE9" i="3"/>
  <c r="AE10" i="3"/>
  <c r="AE11" i="3"/>
  <c r="AE12" i="3"/>
  <c r="AE13" i="3"/>
  <c r="AE14" i="3"/>
  <c r="AE15" i="3"/>
  <c r="AE4" i="3"/>
  <c r="AB13" i="2"/>
  <c r="AB4" i="2"/>
  <c r="AB5" i="2"/>
  <c r="AB6" i="2"/>
  <c r="AB7" i="2"/>
  <c r="AB8" i="2"/>
  <c r="AB9" i="2"/>
  <c r="AB10" i="2"/>
  <c r="AB11" i="2"/>
  <c r="AB12" i="2"/>
  <c r="AB3" i="2"/>
  <c r="AA4" i="2"/>
  <c r="AA5" i="2"/>
  <c r="AA6" i="2"/>
  <c r="AA7" i="2"/>
  <c r="AA8" i="2"/>
  <c r="AA9" i="2"/>
  <c r="AA10" i="2"/>
  <c r="AA11" i="2"/>
  <c r="AA12" i="2"/>
  <c r="AA3" i="2"/>
  <c r="T4" i="3"/>
  <c r="AE16" i="3" l="1"/>
  <c r="AE17" i="3"/>
  <c r="H4" i="3"/>
  <c r="H11" i="3" l="1"/>
  <c r="N11" i="3"/>
  <c r="Z15" i="3" l="1"/>
  <c r="AA15" i="3" s="1"/>
  <c r="Z14" i="3"/>
  <c r="AA14" i="3" s="1"/>
  <c r="Z13" i="3"/>
  <c r="AA13" i="3" s="1"/>
  <c r="AB13" i="3" s="1"/>
  <c r="AC13" i="3" s="1"/>
  <c r="Z12" i="3"/>
  <c r="AA12" i="3" s="1"/>
  <c r="AB12" i="3" s="1"/>
  <c r="AC12" i="3" s="1"/>
  <c r="AD12" i="3" s="1"/>
  <c r="Z11" i="3"/>
  <c r="AA11" i="3" s="1"/>
  <c r="AB11" i="3" s="1"/>
  <c r="AC11" i="3" s="1"/>
  <c r="AD11" i="3" s="1"/>
  <c r="Z10" i="3"/>
  <c r="AA10" i="3" s="1"/>
  <c r="Z9" i="3"/>
  <c r="AA9" i="3" s="1"/>
  <c r="AB9" i="3" s="1"/>
  <c r="AC9" i="3" s="1"/>
  <c r="Z8" i="3"/>
  <c r="AA8" i="3" s="1"/>
  <c r="AB8" i="3" s="1"/>
  <c r="AC8" i="3" s="1"/>
  <c r="AD8" i="3" s="1"/>
  <c r="Z7" i="3"/>
  <c r="AA7" i="3" s="1"/>
  <c r="Z6" i="3"/>
  <c r="AA6" i="3" s="1"/>
  <c r="Z5" i="3"/>
  <c r="AA5" i="3" s="1"/>
  <c r="AB5" i="3" s="1"/>
  <c r="AC5" i="3" s="1"/>
  <c r="Z4" i="3"/>
  <c r="AA4" i="3" s="1"/>
  <c r="AB4" i="3" s="1"/>
  <c r="AC4" i="3" s="1"/>
  <c r="AD4" i="3" s="1"/>
  <c r="AD9" i="3" l="1"/>
  <c r="AD13" i="3"/>
  <c r="AD5" i="3"/>
  <c r="AB6" i="3"/>
  <c r="AC6" i="3" s="1"/>
  <c r="AD6" i="3" s="1"/>
  <c r="AB14" i="3"/>
  <c r="AC14" i="3" s="1"/>
  <c r="AD14" i="3" s="1"/>
  <c r="AB7" i="3"/>
  <c r="AC7" i="3" s="1"/>
  <c r="AD7" i="3" s="1"/>
  <c r="AB15" i="3"/>
  <c r="AC15" i="3" s="1"/>
  <c r="AD15" i="3" s="1"/>
  <c r="AB10" i="3"/>
  <c r="AC10" i="3" s="1"/>
  <c r="AD10" i="3" s="1"/>
  <c r="AD16" i="3" l="1"/>
  <c r="U10" i="2" l="1"/>
  <c r="V10" i="2" s="1"/>
  <c r="U7" i="2"/>
  <c r="V7" i="2" s="1"/>
  <c r="U3" i="2"/>
  <c r="V3" i="2" s="1"/>
  <c r="U4" i="2"/>
  <c r="V4" i="2" s="1"/>
  <c r="U6" i="2"/>
  <c r="V6" i="2" s="1"/>
  <c r="W10" i="2" l="1"/>
  <c r="X10" i="2" s="1"/>
  <c r="Y10" i="2" s="1"/>
  <c r="W4" i="2"/>
  <c r="X4" i="2" s="1"/>
  <c r="Y4" i="2" s="1"/>
  <c r="W7" i="2"/>
  <c r="X7" i="2" s="1"/>
  <c r="Y7" i="2" s="1"/>
  <c r="W6" i="2"/>
  <c r="X6" i="2" s="1"/>
  <c r="Y6" i="2" s="1"/>
  <c r="W3" i="2"/>
  <c r="X3" i="2" s="1"/>
  <c r="Y3" i="2" s="1"/>
  <c r="Z3" i="2" s="1"/>
  <c r="Z4" i="2" l="1"/>
  <c r="Z10" i="2"/>
  <c r="Z6" i="2"/>
  <c r="Z7" i="2"/>
  <c r="T15" i="3" l="1"/>
  <c r="U15" i="3" s="1"/>
  <c r="T14" i="3"/>
  <c r="U14" i="3" s="1"/>
  <c r="T13" i="3"/>
  <c r="U13" i="3" s="1"/>
  <c r="T12" i="3"/>
  <c r="U12" i="3" s="1"/>
  <c r="T11" i="3"/>
  <c r="U11" i="3" s="1"/>
  <c r="T10" i="3"/>
  <c r="U10" i="3" s="1"/>
  <c r="T9" i="3"/>
  <c r="U9" i="3" s="1"/>
  <c r="T8" i="3"/>
  <c r="U8" i="3" s="1"/>
  <c r="T7" i="3"/>
  <c r="U7" i="3" s="1"/>
  <c r="T6" i="3"/>
  <c r="U6" i="3" s="1"/>
  <c r="T5" i="3"/>
  <c r="U5" i="3" s="1"/>
  <c r="U4" i="3"/>
  <c r="N15" i="3"/>
  <c r="O15" i="3" s="1"/>
  <c r="N14" i="3"/>
  <c r="O14" i="3" s="1"/>
  <c r="N13" i="3"/>
  <c r="O13" i="3" s="1"/>
  <c r="N12" i="3"/>
  <c r="O12" i="3" s="1"/>
  <c r="O11" i="3"/>
  <c r="N10" i="3"/>
  <c r="O10" i="3" s="1"/>
  <c r="N9" i="3"/>
  <c r="O9" i="3" s="1"/>
  <c r="N8" i="3"/>
  <c r="O8" i="3" s="1"/>
  <c r="N7" i="3"/>
  <c r="O7" i="3" s="1"/>
  <c r="N6" i="3"/>
  <c r="O6" i="3" s="1"/>
  <c r="N5" i="3"/>
  <c r="O5" i="3" s="1"/>
  <c r="N4" i="3"/>
  <c r="O4" i="3" s="1"/>
  <c r="H15" i="3"/>
  <c r="I15" i="3" s="1"/>
  <c r="J15" i="3" s="1"/>
  <c r="H14" i="3"/>
  <c r="I14" i="3" s="1"/>
  <c r="H13" i="3"/>
  <c r="I13" i="3" s="1"/>
  <c r="J13" i="3" s="1"/>
  <c r="K13" i="3" s="1"/>
  <c r="L13" i="3" s="1"/>
  <c r="H12" i="3"/>
  <c r="I12" i="3" s="1"/>
  <c r="I11" i="3"/>
  <c r="H10" i="3"/>
  <c r="I10" i="3" s="1"/>
  <c r="H9" i="3"/>
  <c r="I9" i="3" s="1"/>
  <c r="H8" i="3"/>
  <c r="I8" i="3" s="1"/>
  <c r="H7" i="3"/>
  <c r="I7" i="3" s="1"/>
  <c r="J7" i="3" s="1"/>
  <c r="H6" i="3"/>
  <c r="I6" i="3" s="1"/>
  <c r="H5" i="3"/>
  <c r="I5" i="3" s="1"/>
  <c r="I4" i="3"/>
  <c r="J5" i="3" l="1"/>
  <c r="K5" i="3" s="1"/>
  <c r="V10" i="3"/>
  <c r="W10" i="3" s="1"/>
  <c r="X10" i="3" s="1"/>
  <c r="V9" i="3"/>
  <c r="W9" i="3" s="1"/>
  <c r="X9" i="3" s="1"/>
  <c r="V12" i="3"/>
  <c r="W12" i="3" s="1"/>
  <c r="X12" i="3" s="1"/>
  <c r="V5" i="3"/>
  <c r="W5" i="3" s="1"/>
  <c r="X5" i="3" s="1"/>
  <c r="V13" i="3"/>
  <c r="W13" i="3" s="1"/>
  <c r="X13" i="3" s="1"/>
  <c r="V6" i="3"/>
  <c r="W6" i="3" s="1"/>
  <c r="X6" i="3" s="1"/>
  <c r="V14" i="3"/>
  <c r="W14" i="3" s="1"/>
  <c r="X14" i="3" s="1"/>
  <c r="V11" i="3"/>
  <c r="W11" i="3" s="1"/>
  <c r="X11" i="3" s="1"/>
  <c r="V4" i="3"/>
  <c r="W4" i="3" s="1"/>
  <c r="X4" i="3" s="1"/>
  <c r="V7" i="3"/>
  <c r="W7" i="3" s="1"/>
  <c r="X7" i="3" s="1"/>
  <c r="V15" i="3"/>
  <c r="W15" i="3" s="1"/>
  <c r="X15" i="3" s="1"/>
  <c r="V8" i="3"/>
  <c r="W8" i="3" s="1"/>
  <c r="X8" i="3" s="1"/>
  <c r="P13" i="3"/>
  <c r="Q13" i="3" s="1"/>
  <c r="R13" i="3" s="1"/>
  <c r="P6" i="3"/>
  <c r="Q6" i="3" s="1"/>
  <c r="R6" i="3" s="1"/>
  <c r="P15" i="3"/>
  <c r="Q15" i="3" s="1"/>
  <c r="R15" i="3" s="1"/>
  <c r="P5" i="3"/>
  <c r="Q5" i="3" s="1"/>
  <c r="R5" i="3" s="1"/>
  <c r="J10" i="3"/>
  <c r="K10" i="3" s="1"/>
  <c r="J11" i="3"/>
  <c r="K11" i="3" s="1"/>
  <c r="P7" i="3"/>
  <c r="Q7" i="3" s="1"/>
  <c r="R7" i="3" s="1"/>
  <c r="J12" i="3"/>
  <c r="K12" i="3" s="1"/>
  <c r="P8" i="3"/>
  <c r="Q8" i="3" s="1"/>
  <c r="R8" i="3" s="1"/>
  <c r="J6" i="3"/>
  <c r="K6" i="3" s="1"/>
  <c r="J14" i="3"/>
  <c r="K14" i="3" s="1"/>
  <c r="P10" i="3"/>
  <c r="Q10" i="3" s="1"/>
  <c r="R10" i="3" s="1"/>
  <c r="J9" i="3"/>
  <c r="K9" i="3" s="1"/>
  <c r="P14" i="3"/>
  <c r="Q14" i="3" s="1"/>
  <c r="R14" i="3" s="1"/>
  <c r="J4" i="3"/>
  <c r="K4" i="3" s="1"/>
  <c r="P9" i="3"/>
  <c r="Q9" i="3" s="1"/>
  <c r="R9" i="3" s="1"/>
  <c r="K7" i="3"/>
  <c r="L7" i="3" s="1"/>
  <c r="K15" i="3"/>
  <c r="L15" i="3" s="1"/>
  <c r="P11" i="3"/>
  <c r="Q11" i="3" s="1"/>
  <c r="R11" i="3" s="1"/>
  <c r="J8" i="3"/>
  <c r="K8" i="3" s="1"/>
  <c r="P4" i="3"/>
  <c r="Q4" i="3" s="1"/>
  <c r="R4" i="3" s="1"/>
  <c r="P12" i="3"/>
  <c r="Q12" i="3" s="1"/>
  <c r="R12" i="3" s="1"/>
  <c r="Q12" i="2"/>
  <c r="R12" i="2" s="1"/>
  <c r="S12" i="2" s="1"/>
  <c r="Q11" i="2"/>
  <c r="R11" i="2" s="1"/>
  <c r="S11" i="2" s="1"/>
  <c r="Q10" i="2"/>
  <c r="R10" i="2" s="1"/>
  <c r="S10" i="2" s="1"/>
  <c r="Q9" i="2"/>
  <c r="R9" i="2" s="1"/>
  <c r="S9" i="2" s="1"/>
  <c r="Q8" i="2"/>
  <c r="R8" i="2" s="1"/>
  <c r="S8" i="2" s="1"/>
  <c r="Q7" i="2"/>
  <c r="R7" i="2" s="1"/>
  <c r="S7" i="2" s="1"/>
  <c r="Q6" i="2"/>
  <c r="R6" i="2" s="1"/>
  <c r="S6" i="2" s="1"/>
  <c r="Q5" i="2"/>
  <c r="R5" i="2" s="1"/>
  <c r="S5" i="2" s="1"/>
  <c r="Q4" i="2"/>
  <c r="R4" i="2" s="1"/>
  <c r="S4" i="2" s="1"/>
  <c r="Q3" i="2"/>
  <c r="R3" i="2" s="1"/>
  <c r="S3" i="2" s="1"/>
  <c r="L4" i="3" l="1"/>
  <c r="L5" i="3"/>
  <c r="T11" i="2"/>
  <c r="L8" i="3"/>
  <c r="L11" i="3"/>
  <c r="L14" i="3"/>
  <c r="L10" i="3"/>
  <c r="L9" i="3"/>
  <c r="X16" i="3"/>
  <c r="L12" i="3"/>
  <c r="L6" i="3"/>
  <c r="R16" i="3"/>
  <c r="T6" i="2"/>
  <c r="T3" i="2"/>
  <c r="T4" i="2"/>
  <c r="T5" i="2"/>
  <c r="T12" i="2"/>
  <c r="T9" i="2"/>
  <c r="T8" i="2"/>
  <c r="T10" i="2"/>
  <c r="T7" i="2"/>
  <c r="G12" i="2"/>
  <c r="G11" i="2"/>
  <c r="G10" i="2"/>
  <c r="G9" i="2"/>
  <c r="G8" i="2"/>
  <c r="G7" i="2"/>
  <c r="G6" i="2"/>
  <c r="G5" i="2"/>
  <c r="G4" i="2"/>
  <c r="G3" i="2"/>
  <c r="H9" i="2" l="1"/>
  <c r="I9" i="2" s="1"/>
  <c r="J9" i="2" s="1"/>
  <c r="H7" i="2"/>
  <c r="I7" i="2" s="1"/>
  <c r="H3" i="2"/>
  <c r="I3" i="2" s="1"/>
  <c r="H11" i="2"/>
  <c r="I11" i="2"/>
  <c r="H5" i="2"/>
  <c r="I5" i="2" s="1"/>
  <c r="J5" i="2" s="1"/>
  <c r="L16" i="3"/>
  <c r="T13" i="2"/>
  <c r="L4" i="2"/>
  <c r="M4" i="2" s="1"/>
  <c r="N4" i="2" s="1"/>
  <c r="L8" i="2"/>
  <c r="M8" i="2" s="1"/>
  <c r="N8" i="2" s="1"/>
  <c r="L9" i="2"/>
  <c r="M9" i="2" s="1"/>
  <c r="N9" i="2" s="1"/>
  <c r="L12" i="2"/>
  <c r="M12" i="2" s="1"/>
  <c r="N12" i="2" s="1"/>
  <c r="L6" i="2"/>
  <c r="M6" i="2" s="1"/>
  <c r="N6" i="2" s="1"/>
  <c r="L10" i="2"/>
  <c r="M10" i="2" s="1"/>
  <c r="N10" i="2" s="1"/>
  <c r="L7" i="2"/>
  <c r="M7" i="2" s="1"/>
  <c r="L5" i="2"/>
  <c r="M5" i="2" s="1"/>
  <c r="N5" i="2" s="1"/>
  <c r="L11" i="2"/>
  <c r="M11" i="2" s="1"/>
  <c r="N11" i="2" s="1"/>
  <c r="L3" i="2"/>
  <c r="M3" i="2" s="1"/>
  <c r="N3" i="2" s="1"/>
  <c r="H12" i="2"/>
  <c r="I12" i="2" s="1"/>
  <c r="H4" i="2"/>
  <c r="I4" i="2" s="1"/>
  <c r="H6" i="2"/>
  <c r="I6" i="2" s="1"/>
  <c r="H8" i="2"/>
  <c r="I8" i="2" s="1"/>
  <c r="H10" i="2"/>
  <c r="I10" i="2" s="1"/>
  <c r="J3" i="2" l="1"/>
  <c r="N7" i="2"/>
  <c r="J11" i="2"/>
  <c r="J7" i="2"/>
  <c r="J6" i="2"/>
  <c r="J12" i="2"/>
  <c r="J4" i="2"/>
  <c r="J10" i="2"/>
  <c r="O4" i="2"/>
  <c r="O6" i="2"/>
  <c r="O8" i="2"/>
  <c r="J8" i="2"/>
  <c r="O12" i="2"/>
  <c r="O9" i="2"/>
  <c r="O3" i="2"/>
  <c r="O5" i="2"/>
  <c r="AB14" i="2" l="1"/>
  <c r="O7" i="2"/>
  <c r="J13" i="2"/>
  <c r="O11" i="2"/>
  <c r="O10" i="2"/>
  <c r="O13" i="2" s="1"/>
</calcChain>
</file>

<file path=xl/sharedStrings.xml><?xml version="1.0" encoding="utf-8"?>
<sst xmlns="http://schemas.openxmlformats.org/spreadsheetml/2006/main" count="140" uniqueCount="71">
  <si>
    <t>TORONTO</t>
  </si>
  <si>
    <t>MEDIANA</t>
  </si>
  <si>
    <t>BUHO SEGURIDAD LTDA</t>
  </si>
  <si>
    <t>1. MEDIOS TECNOLÓGICOS</t>
  </si>
  <si>
    <t>ÍTEM</t>
  </si>
  <si>
    <t>CÓDIGO UNSPSC</t>
  </si>
  <si>
    <t>DESCRIPCIÓN</t>
  </si>
  <si>
    <t>UNIDAD</t>
  </si>
  <si>
    <r>
      <rPr>
        <b/>
        <u/>
        <sz val="10"/>
        <rFont val="Garamond"/>
        <family val="1"/>
      </rPr>
      <t>SISTEMA INTEGRADO DE CIRCUITO CERRADO DE TELEVISIÓN (CCTV), que incluya: 
a) Cámaras de 4mp tipo domo para interior y bala impermeable para exterior</t>
    </r>
    <r>
      <rPr>
        <sz val="10"/>
        <rFont val="Garamond"/>
        <family val="1"/>
      </rPr>
      <t>, con analítica y visión infrarroja (visión nocturna); turbo HD-TVI; varifocal lente 3.6 - 12 mm, 1/3 CMOS, HD720 42 PCS IR Leds IP66 40 m. Incluye base</t>
    </r>
  </si>
  <si>
    <t>UNIDADES</t>
  </si>
  <si>
    <r>
      <rPr>
        <b/>
        <u/>
        <sz val="10"/>
        <rFont val="Garamond"/>
        <family val="1"/>
      </rPr>
      <t>b) Cámaras de 2mp tipo domo para interior y bala impermeable para exterior</t>
    </r>
    <r>
      <rPr>
        <sz val="10"/>
        <rFont val="Garamond"/>
        <family val="1"/>
      </rPr>
      <t>, con analítica y visión infrarroja (visión nocturna); turbo HD-TVI; varifocal lente 3.6 - 12 mm, 1/3 CMOS, HD720 42 PCS IR Leds IP66 40m</t>
    </r>
  </si>
  <si>
    <r>
      <rPr>
        <b/>
        <u/>
        <sz val="10"/>
        <rFont val="Garamond"/>
        <family val="1"/>
      </rPr>
      <t>c) Cámaras tipo domo PTZ turbo IR</t>
    </r>
    <r>
      <rPr>
        <sz val="10"/>
        <rFont val="Garamond"/>
        <family val="1"/>
      </rPr>
      <t>, resolución de mínima de 4 megapíxeles (1920 x 1080).  Función día / noche real con filtro ICR, de 23X, Longitud focal de 4 a 92 mm.  Función Digital Wide Dynamic Range (DWDR).</t>
    </r>
  </si>
  <si>
    <r>
      <rPr>
        <b/>
        <u/>
        <sz val="10"/>
        <rFont val="Garamond"/>
        <family val="1"/>
      </rPr>
      <t xml:space="preserve">d) Sistemas de grabación digital permanente y continuo (24x7) durante el tiempo del contrato.
</t>
    </r>
    <r>
      <rPr>
        <sz val="10"/>
        <rFont val="Garamond"/>
        <family val="1"/>
      </rPr>
      <t>Sistema de almacenamiento con NVR de 32 canales IP con analítica de video, 16 puertos PoE + ANPR - 2 tarjetas de red / 4 bahías de entrada USB para Discos Duros, compactible para conexión de Alarmas y dispositivos de CCTV.
El sistema grabación debe permitir el monitoreo remoto de las cámaras y en tiempo real.  De ser necesario instalar transceptor de video para cámaras turbo HD, con el fin de realizar copia de seguridad de las grabaciones que realizan los equipos de grabación digital, para ser entregadas a la entidad en Disco Duro - de mínimo 4 TB, para su respectiva custodia.</t>
    </r>
  </si>
  <si>
    <r>
      <rPr>
        <b/>
        <u/>
        <sz val="10"/>
        <rFont val="Garamond"/>
        <family val="1"/>
      </rPr>
      <t>e) Switch Poe</t>
    </r>
    <r>
      <rPr>
        <b/>
        <sz val="10"/>
        <rFont val="Garamond"/>
        <family val="1"/>
      </rPr>
      <t>:</t>
    </r>
    <r>
      <rPr>
        <sz val="10"/>
        <rFont val="Garamond"/>
        <family val="1"/>
      </rPr>
      <t xml:space="preserve"> de 16 Puertos de conexión, con capacidad de Switching 36Gbps</t>
    </r>
  </si>
  <si>
    <r>
      <rPr>
        <b/>
        <u/>
        <sz val="10"/>
        <rFont val="Garamond"/>
        <family val="1"/>
      </rPr>
      <t>f) Monitores TV de mínimo 32” Pulgadas</t>
    </r>
    <r>
      <rPr>
        <sz val="10"/>
        <rFont val="Garamond"/>
        <family val="1"/>
      </rPr>
      <t xml:space="preserve"> (pantalla plana) o de mayores características técnicas; que permita visualizar el monitoreo de las cámaras agrupadas en mínimo diez cámaras, según la secuencia de ubicación de las mismas. Incuye soporte a pared e instalación</t>
    </r>
  </si>
  <si>
    <r>
      <rPr>
        <b/>
        <u/>
        <sz val="10"/>
        <rFont val="Garamond"/>
        <family val="1"/>
      </rPr>
      <t>g) Disco duro de 16 Teras</t>
    </r>
    <r>
      <rPr>
        <sz val="10"/>
        <rFont val="Garamond"/>
        <family val="1"/>
      </rPr>
      <t xml:space="preserve"> para soportar el almacenamiento de grabaciones durante </t>
    </r>
    <r>
      <rPr>
        <b/>
        <sz val="10"/>
        <rFont val="Garamond"/>
        <family val="1"/>
      </rPr>
      <t>6 meses.</t>
    </r>
  </si>
  <si>
    <r>
      <rPr>
        <b/>
        <u/>
        <sz val="10"/>
        <rFont val="Garamond"/>
        <family val="1"/>
      </rPr>
      <t>SISTEMAS DE SEGURIDAD – ALARMAS (PARA SEDE 1 Y SEDE 2):</t>
    </r>
    <r>
      <rPr>
        <sz val="10"/>
        <rFont val="Garamond"/>
        <family val="1"/>
      </rPr>
      <t xml:space="preserve">
Cada uno compuesto por: control de alarma, sirena, mínimo dos* sensores infrarrojos de movimiento, mínimo dos* sensores de apertura de puertas, fuente de poder, batería de respaldo, cableado, instalación, programación, capacitación, monitoreo, reporte en tiempo real por correo electrónico, de alerta de eventos y de activación – desactivación e integrados al centro de monitoreo de la entidad (ALRUU) y la central de seguridad del contratista.
Los sistemas de seguridad de alarmas, deben ser compactibles e integrados al sistema general de administración de alertas contra incendios existente en la ALRUU y configurado. Debe incluir la revisión, el mantenimiento preventivo y correctivo, con niveles de atención de servicio menores a cuatro (4) horas hábiles (o las que queden establecidas en el contrato) desde su requerimiento por parte de la ALRUU.
(*) Pueden variar entre dos y cinco por cada sistema de alarma, de acuerdo, a cada área donde se ubicarán, pero no se superará la cantidad de dieciocho (18) sensores en total.</t>
    </r>
  </si>
  <si>
    <r>
      <rPr>
        <b/>
        <u/>
        <sz val="10"/>
        <rFont val="Garamond"/>
        <family val="1"/>
      </rPr>
      <t>COMPUTADORES</t>
    </r>
    <r>
      <rPr>
        <sz val="10"/>
        <rFont val="Garamond"/>
        <family val="1"/>
      </rPr>
      <t xml:space="preserve">
Equipos de cómputo para recepción (implementación del control de acceso de visitante) y centro de monitoreo, con las siguientes características técnicas mínimas:  
- Procesador: Core i5, Memoria RAM: 16 GB, Disco duro: 1 TB, Monitor: entre 20 y 24 pulgadas, Teclado y mouse, Sistema operativo Windows, de 64 bits, con licencia y programas actualizados y Antivirus.
- Bloqueo selectivo de aplicaciones de software y páginas de Internet no autorizadas por la ALRUU para el desarrollo de los servicios contratados, tales como: redes sociales (WhatsApp; Facebook; Instagram, etc.); YouTube; páginas con contenido para adultos; apuestas; etc.; (El Supervisor del contrato de la ALRUU informará las páginas que se deben restringir).
- CPU y/o UPS para cada computador.
- El equipo para recepción (control de acceso de visitante) debe incluir cámara, impresora de autoadhesivos, pistola lectora código de barras para cédulas nuevas y antiguas, (software - aplicativo) control de registro con fotografía a usuarios, suministro de rollos de autoadhesivos (según la necesidad).</t>
    </r>
  </si>
  <si>
    <r>
      <rPr>
        <b/>
        <u/>
        <sz val="10"/>
        <rFont val="Garamond"/>
        <family val="1"/>
      </rPr>
      <t>CONTROL DE RONDAS ELECTRÓNICO:</t>
    </r>
    <r>
      <rPr>
        <sz val="10"/>
        <rFont val="Garamond"/>
        <family val="1"/>
      </rPr>
      <t xml:space="preserve">
Sistema de marcación para el control de rondas con mínimo quince (15) puntos distribuidos en el perímetro de la entidad (servicio recorredor), en la cual se registre la fecha (horas, minutos y segundos) de cada marcación, se debe presentar informe semanalmente por escrito a la supervisión del servicio.</t>
    </r>
  </si>
  <si>
    <t>GLOBAL</t>
  </si>
  <si>
    <t>TOTAL MENSUAL MEDIOS TECNOLÓGICOS</t>
  </si>
  <si>
    <t>IVA SOBRE AIU</t>
  </si>
  <si>
    <t xml:space="preserve">VALOR UNITARIO MENSUAL </t>
  </si>
  <si>
    <t xml:space="preserve">VALOR TOTAL MENSUAL </t>
  </si>
  <si>
    <t>AIU 10%</t>
  </si>
  <si>
    <t>VALOR UNITARIO MENSUAL (ANTES DE IMPUESTOS)</t>
  </si>
  <si>
    <t>CANTIDAD REQUERIDA</t>
  </si>
  <si>
    <t>TOP GUARD LTDA.</t>
  </si>
  <si>
    <t>ITEM</t>
  </si>
  <si>
    <t>UBICACIÓN</t>
  </si>
  <si>
    <t>MODALIDAD</t>
  </si>
  <si>
    <t>HORARIO-TURNO(S)</t>
  </si>
  <si>
    <t>PUESTOS DE VIGILANCIA REQUERIDOS</t>
  </si>
  <si>
    <t>VALOR MENSUAL DEL SERVICIO A PARTIR DEL 15 DE JULIO DE 2026 (FACTOR MULTIPLICADOR 10,21)</t>
  </si>
  <si>
    <t>TARIFA MENSUAL</t>
  </si>
  <si>
    <t>AYS
(8%, 10%, 11%)</t>
  </si>
  <si>
    <t>TARIFA + AYS</t>
  </si>
  <si>
    <t>Alcaldía Local y JAL Rafael Uribe Uribe
CL 32 SUR 23 62
Barrio: Quiroga</t>
  </si>
  <si>
    <t>Lunes a Sábado. (NO INCLUYE FESTIVOS). Turno de 12 horas Diurno: 6:00 am a 6:00 pm</t>
  </si>
  <si>
    <t>Domingo a Domingo. 
Tripleta de guardas, 24 horas. 30 días al mes.</t>
  </si>
  <si>
    <t>Lunes a Viernes. (NO INCLUYE FESTIVOS). 
Turno de 12 horas Diurno: 6:00 am a 6:00 pm.</t>
  </si>
  <si>
    <t>Domingo a Domingo. 
Turno de 12 horas Nocturno: 6:00 pm a 6:00 am.</t>
  </si>
  <si>
    <t>Casa Amarilla
CL 48P BIS A SUR 5 30
Barrio: Bosques de Molinos</t>
  </si>
  <si>
    <t>Parqueadero Máquinas
TV 44 13 25 SUR 
Barrio: San Jorge</t>
  </si>
  <si>
    <t>Casa San José
KR 12F 22B 49 SUR
Barrio: San José Sur</t>
  </si>
  <si>
    <t>Domingo a Domingo. 
Turno de 12 horas Diurno: 6:00 am a 6:00 pm.</t>
  </si>
  <si>
    <t xml:space="preserve">BASE GRAVABLE IVA Art. 462 E.T. </t>
  </si>
  <si>
    <t>ANALISIS FDLRUU</t>
  </si>
  <si>
    <t>SUBTOTAL</t>
  </si>
  <si>
    <t xml:space="preserve">IVA 19% SOBRE BASE GRAVABLE </t>
  </si>
  <si>
    <t>INDEX</t>
  </si>
  <si>
    <t>VALOR CONTRATO</t>
  </si>
  <si>
    <t>TOTAL SERVICIO MENSUAL</t>
  </si>
  <si>
    <t>MEDIANA VALOR UNITARIO</t>
  </si>
  <si>
    <r>
      <t xml:space="preserve">Puesto de vigilancia, con radio de comunicación punto a punto. [Supervisor].
</t>
    </r>
    <r>
      <rPr>
        <b/>
        <sz val="11"/>
        <rFont val="Garamond"/>
        <family val="1"/>
      </rPr>
      <t>Sin armamento</t>
    </r>
  </si>
  <si>
    <r>
      <t xml:space="preserve">Operador de medios tecnológicos -CCTV, con radio de comunicación punto a punto. [Centro de Monitoreo]
</t>
    </r>
    <r>
      <rPr>
        <b/>
        <sz val="11"/>
        <rFont val="Garamond"/>
        <family val="1"/>
      </rPr>
      <t>Sin armamento</t>
    </r>
  </si>
  <si>
    <r>
      <t xml:space="preserve">Puesto de vigilancia, (mujer) con radio de comunicación punto a punto. [Recepción].
</t>
    </r>
    <r>
      <rPr>
        <b/>
        <sz val="11"/>
        <rFont val="Garamond"/>
        <family val="1"/>
      </rPr>
      <t>Sin armamento</t>
    </r>
  </si>
  <si>
    <r>
      <t xml:space="preserve">Puesto de vigilancia, con radio de comunicación punto a punto. [JAL].
</t>
    </r>
    <r>
      <rPr>
        <b/>
        <sz val="11"/>
        <rFont val="Garamond"/>
        <family val="1"/>
      </rPr>
      <t>Sin armamento</t>
    </r>
  </si>
  <si>
    <r>
      <rPr>
        <sz val="11"/>
        <rFont val="Garamond"/>
        <family val="1"/>
      </rPr>
      <t>Lunes a Sábado. (NO INCLUYE FESTIVOS). 
Turno de 12 horas Diurno: 6:00 am a 6:00 pm</t>
    </r>
    <r>
      <rPr>
        <sz val="11"/>
        <color indexed="8"/>
        <rFont val="Garamond"/>
        <family val="1"/>
      </rPr>
      <t>.</t>
    </r>
  </si>
  <si>
    <r>
      <t xml:space="preserve">Puesto de vigilancia, (mujer) con radio de comunicación punto a punto. [Primer piso Inspección]
</t>
    </r>
    <r>
      <rPr>
        <b/>
        <sz val="11"/>
        <rFont val="Garamond"/>
        <family val="1"/>
      </rPr>
      <t>Sin armamento</t>
    </r>
  </si>
  <si>
    <r>
      <t xml:space="preserve">Puesto de vigilancia, (mujer) con radio de comunicación punto a punto. [Segundo piso]
</t>
    </r>
    <r>
      <rPr>
        <b/>
        <sz val="11"/>
        <rFont val="Garamond"/>
        <family val="1"/>
      </rPr>
      <t>Sin armamento</t>
    </r>
  </si>
  <si>
    <r>
      <t xml:space="preserve">Puesto de vigilancia, con radio de comunicación punto a punto. [Recorredor]
</t>
    </r>
    <r>
      <rPr>
        <b/>
        <sz val="11"/>
        <rFont val="Garamond"/>
        <family val="1"/>
      </rPr>
      <t>Sin armamento</t>
    </r>
  </si>
  <si>
    <r>
      <t>Puesto de vigilancia,</t>
    </r>
    <r>
      <rPr>
        <b/>
        <sz val="11"/>
        <rFont val="Garamond"/>
        <family val="1"/>
      </rPr>
      <t xml:space="preserve"> </t>
    </r>
    <r>
      <rPr>
        <sz val="11"/>
        <rFont val="Garamond"/>
        <family val="1"/>
      </rPr>
      <t xml:space="preserve">con radio de comunicación punto a punto. [Anfitrión].
</t>
    </r>
    <r>
      <rPr>
        <b/>
        <sz val="11"/>
        <rFont val="Garamond"/>
        <family val="1"/>
      </rPr>
      <t xml:space="preserve">Con armamento </t>
    </r>
  </si>
  <si>
    <r>
      <t xml:space="preserve">Manejador canino y canino con especialidad en olfato (búsqueda de explosivos) con radio de comunicación punto a punto [Parqueadero Alcaldía].
</t>
    </r>
    <r>
      <rPr>
        <b/>
        <sz val="11"/>
        <rFont val="Garamond"/>
        <family val="1"/>
      </rPr>
      <t xml:space="preserve">Sin armamento </t>
    </r>
  </si>
  <si>
    <r>
      <t xml:space="preserve">Puesto de vigilancia, con radio de comunicación punto a punto. 
</t>
    </r>
    <r>
      <rPr>
        <b/>
        <sz val="11"/>
        <rFont val="Garamond"/>
        <family val="1"/>
      </rPr>
      <t xml:space="preserve">Con armamento </t>
    </r>
  </si>
  <si>
    <r>
      <t>Puesto de vigilancia,</t>
    </r>
    <r>
      <rPr>
        <b/>
        <sz val="11"/>
        <rFont val="Garamond"/>
        <family val="1"/>
      </rPr>
      <t xml:space="preserve"> </t>
    </r>
    <r>
      <rPr>
        <sz val="11"/>
        <rFont val="Garamond"/>
        <family val="1"/>
      </rPr>
      <t xml:space="preserve">con radio de comunicación punto a punto. 
</t>
    </r>
    <r>
      <rPr>
        <b/>
        <sz val="11"/>
        <rFont val="Garamond"/>
        <family val="1"/>
      </rPr>
      <t xml:space="preserve">Con armamento </t>
    </r>
  </si>
  <si>
    <t>VALOR MENSUAL (incluye costos directos, indirectos e IVA)</t>
  </si>
  <si>
    <t>COMPONENTE VIGILANCIA FÍSICA</t>
  </si>
  <si>
    <t>VALORES INDEXADOS OMA 81799529 de 2025</t>
  </si>
  <si>
    <t>TOTAL X6 MESES  MEDIOS TECNOLÓGICOS</t>
  </si>
  <si>
    <t>TOTAL X 6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</si>
</sst>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0_ ;[Red]\-0\ "/>
    <numFmt numFmtId="165" formatCode="_-&quot;$&quot;\ * #,##0_-;\-&quot;$&quot;\ * #,##0_-;_-&quot;$&quot;\ * &quot;-&quot;??_-;_-@_-"/>
    <numFmt numFmtId="166" formatCode="_-[$$-240A]\ * #,##0_ ;_-[$$-240A]\ * \-#,##0\ ;_-[$$-240A]\ * &quot;-&quot;_ ;_-@_ "/>
  </numFmts>
  <fonts count="15" x14ac:knownFonts="1">
    <font>
      <sz val="11"/>
      <color theme="1"/>
      <name val="Calibri"/>
      <family val="2"/>
      <scheme val="minor"/>
    </font>
    <font>
      <b/>
      <sz val="10"/>
      <name val="Garamond"/>
      <family val="1"/>
    </font>
    <font>
      <sz val="11"/>
      <color theme="1"/>
      <name val="Calibri"/>
      <family val="2"/>
      <scheme val="minor"/>
    </font>
    <font>
      <b/>
      <sz val="12"/>
      <name val="Garamond"/>
      <family val="1"/>
    </font>
    <font>
      <sz val="11"/>
      <color theme="1"/>
      <name val="Garamond"/>
      <family val="1"/>
    </font>
    <font>
      <sz val="10"/>
      <name val="Garamond"/>
      <family val="1"/>
    </font>
    <font>
      <b/>
      <sz val="10"/>
      <color theme="1"/>
      <name val="Verdana"/>
      <family val="2"/>
    </font>
    <font>
      <b/>
      <u/>
      <sz val="10"/>
      <name val="Garamond"/>
      <family val="1"/>
    </font>
    <font>
      <b/>
      <sz val="10"/>
      <color rgb="FFFF0000"/>
      <name val="Garamond"/>
      <family val="1"/>
    </font>
    <font>
      <sz val="11"/>
      <name val="Garamond"/>
      <family val="1"/>
    </font>
    <font>
      <sz val="10"/>
      <color rgb="FFFF0000"/>
      <name val="Garamond"/>
      <family val="1"/>
    </font>
    <font>
      <b/>
      <sz val="11"/>
      <name val="Garamond"/>
      <family val="1"/>
    </font>
    <font>
      <b/>
      <sz val="11"/>
      <color indexed="8"/>
      <name val="Garamond"/>
      <family val="1"/>
    </font>
    <font>
      <sz val="11"/>
      <color indexed="8"/>
      <name val="Garamond"/>
      <family val="1"/>
    </font>
    <font>
      <b/>
      <sz val="11"/>
      <color theme="1"/>
      <name val="Garamond"/>
      <family val="1"/>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DBE5F1"/>
        <bgColor indexed="64"/>
      </patternFill>
    </fill>
    <fill>
      <patternFill patternType="solid">
        <fgColor theme="0"/>
        <bgColor indexed="64"/>
      </patternFill>
    </fill>
    <fill>
      <patternFill patternType="solid">
        <fgColor theme="4" tint="0.59999389629810485"/>
        <bgColor indexed="64"/>
      </patternFill>
    </fill>
    <fill>
      <patternFill patternType="solid">
        <fgColor rgb="FF00B050"/>
        <bgColor indexed="64"/>
      </patternFill>
    </fill>
  </fills>
  <borders count="14">
    <border>
      <left/>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4" fontId="2" fillId="0" borderId="0" applyFont="0" applyFill="0" applyBorder="0" applyAlignment="0" applyProtection="0"/>
    <xf numFmtId="0" fontId="6" fillId="4" borderId="0" applyNumberFormat="0" applyBorder="0" applyProtection="0">
      <alignment horizontal="center" vertical="center"/>
    </xf>
  </cellStyleXfs>
  <cellXfs count="65">
    <xf numFmtId="0" fontId="0" fillId="0" borderId="0" xfId="0"/>
    <xf numFmtId="0" fontId="4" fillId="0" borderId="0" xfId="0" applyFont="1" applyAlignment="1">
      <alignment horizontal="center" vertical="center" wrapText="1"/>
    </xf>
    <xf numFmtId="0" fontId="4" fillId="0" borderId="0" xfId="0" applyFont="1" applyAlignment="1">
      <alignment wrapText="1"/>
    </xf>
    <xf numFmtId="0" fontId="5" fillId="0" borderId="8" xfId="2" applyFont="1" applyFill="1" applyBorder="1" applyAlignment="1" applyProtection="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readingOrder="1"/>
    </xf>
    <xf numFmtId="0" fontId="5" fillId="0" borderId="5" xfId="0" applyFont="1" applyBorder="1" applyAlignment="1">
      <alignment horizontal="center" vertical="center" wrapText="1" readingOrder="1"/>
    </xf>
    <xf numFmtId="0" fontId="5" fillId="5" borderId="5" xfId="0" applyFont="1" applyFill="1" applyBorder="1" applyAlignment="1">
      <alignment horizontal="center" vertical="center" wrapText="1" readingOrder="1"/>
    </xf>
    <xf numFmtId="3" fontId="5" fillId="3" borderId="5" xfId="0" applyNumberFormat="1" applyFont="1" applyFill="1" applyBorder="1" applyAlignment="1">
      <alignment horizontal="center" vertical="center" wrapText="1"/>
    </xf>
    <xf numFmtId="0" fontId="5" fillId="0" borderId="5" xfId="0" applyFont="1" applyBorder="1" applyAlignment="1">
      <alignment vertical="center" wrapText="1" readingOrder="1"/>
    </xf>
    <xf numFmtId="3" fontId="1" fillId="3" borderId="1" xfId="0" applyNumberFormat="1" applyFont="1" applyFill="1" applyBorder="1" applyAlignment="1">
      <alignment horizontal="center" vertical="center" wrapText="1"/>
    </xf>
    <xf numFmtId="0" fontId="0" fillId="0" borderId="0" xfId="0" applyAlignment="1">
      <alignment wrapText="1"/>
    </xf>
    <xf numFmtId="0" fontId="8" fillId="0" borderId="7" xfId="0" applyFont="1" applyBorder="1" applyAlignment="1">
      <alignment vertical="top" wrapText="1"/>
    </xf>
    <xf numFmtId="0" fontId="8" fillId="0" borderId="0" xfId="0" applyFont="1" applyAlignment="1">
      <alignment vertical="top" wrapText="1"/>
    </xf>
    <xf numFmtId="3" fontId="1" fillId="3" borderId="5" xfId="0" applyNumberFormat="1" applyFont="1" applyFill="1" applyBorder="1" applyAlignment="1">
      <alignment horizontal="center" vertical="center" wrapText="1"/>
    </xf>
    <xf numFmtId="3" fontId="5" fillId="0" borderId="5" xfId="0" applyNumberFormat="1" applyFont="1" applyFill="1" applyBorder="1" applyAlignment="1">
      <alignment horizontal="center" vertical="center" wrapText="1"/>
    </xf>
    <xf numFmtId="165" fontId="5" fillId="0" borderId="5" xfId="1" applyNumberFormat="1" applyFont="1" applyFill="1" applyBorder="1" applyAlignment="1">
      <alignment horizontal="center" vertical="center" wrapText="1"/>
    </xf>
    <xf numFmtId="3" fontId="9" fillId="0" borderId="5" xfId="1" applyNumberFormat="1" applyFont="1" applyFill="1" applyBorder="1" applyAlignment="1" applyProtection="1">
      <alignment horizontal="center" vertical="center" wrapText="1"/>
      <protection locked="0"/>
    </xf>
    <xf numFmtId="165" fontId="5" fillId="7" borderId="5" xfId="1" applyNumberFormat="1" applyFont="1" applyFill="1" applyBorder="1" applyAlignment="1">
      <alignment horizontal="center" vertical="center" wrapText="1"/>
    </xf>
    <xf numFmtId="165" fontId="10" fillId="0" borderId="5" xfId="1" applyNumberFormat="1" applyFont="1" applyFill="1" applyBorder="1" applyAlignment="1">
      <alignment horizontal="center" vertical="center" wrapText="1"/>
    </xf>
    <xf numFmtId="3" fontId="10" fillId="0" borderId="5" xfId="0" applyNumberFormat="1" applyFont="1" applyFill="1" applyBorder="1" applyAlignment="1">
      <alignment horizontal="center" vertical="center" wrapText="1"/>
    </xf>
    <xf numFmtId="3" fontId="9" fillId="0" borderId="4" xfId="1" applyNumberFormat="1" applyFont="1" applyFill="1" applyBorder="1" applyAlignment="1" applyProtection="1">
      <alignment horizontal="center" vertical="center" wrapText="1"/>
      <protection locked="0"/>
    </xf>
    <xf numFmtId="0" fontId="11" fillId="3" borderId="6"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2" fillId="0" borderId="8"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5" xfId="0" applyFont="1" applyBorder="1" applyAlignment="1">
      <alignment horizontal="left" vertical="center" wrapText="1"/>
    </xf>
    <xf numFmtId="0" fontId="9" fillId="0" borderId="5" xfId="0" applyFont="1" applyBorder="1" applyAlignment="1">
      <alignment vertical="center" wrapText="1"/>
    </xf>
    <xf numFmtId="0" fontId="13" fillId="0" borderId="6" xfId="0" applyFont="1" applyBorder="1" applyAlignment="1">
      <alignment horizontal="center" vertical="center" wrapText="1"/>
    </xf>
    <xf numFmtId="3" fontId="9" fillId="0" borderId="5" xfId="0" applyNumberFormat="1" applyFont="1" applyFill="1" applyBorder="1" applyAlignment="1">
      <alignment horizontal="center" vertical="center" wrapText="1"/>
    </xf>
    <xf numFmtId="3" fontId="9" fillId="3" borderId="5" xfId="0" applyNumberFormat="1" applyFont="1" applyFill="1" applyBorder="1" applyAlignment="1">
      <alignment horizontal="center" vertical="center" wrapText="1"/>
    </xf>
    <xf numFmtId="165" fontId="9" fillId="0" borderId="5" xfId="1" applyNumberFormat="1" applyFont="1" applyFill="1" applyBorder="1" applyAlignment="1">
      <alignment horizontal="center" vertical="center" wrapText="1"/>
    </xf>
    <xf numFmtId="3" fontId="9" fillId="0" borderId="6" xfId="0" applyNumberFormat="1" applyFont="1" applyFill="1" applyBorder="1" applyAlignment="1">
      <alignment horizontal="center" vertical="center" wrapText="1"/>
    </xf>
    <xf numFmtId="165" fontId="9" fillId="3" borderId="5" xfId="1" applyNumberFormat="1" applyFont="1" applyFill="1" applyBorder="1" applyAlignment="1">
      <alignment horizontal="center" vertical="center" wrapText="1"/>
    </xf>
    <xf numFmtId="166" fontId="9" fillId="0" borderId="5" xfId="1" applyNumberFormat="1" applyFont="1" applyFill="1" applyBorder="1" applyAlignment="1">
      <alignment horizontal="center" vertical="center" wrapText="1"/>
    </xf>
    <xf numFmtId="165" fontId="9" fillId="0" borderId="4" xfId="1" applyNumberFormat="1"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166" fontId="9" fillId="0" borderId="4" xfId="1" applyNumberFormat="1" applyFont="1" applyFill="1" applyBorder="1" applyAlignment="1">
      <alignment horizontal="center" vertical="center" wrapText="1"/>
    </xf>
    <xf numFmtId="3" fontId="11" fillId="3" borderId="5" xfId="0" applyNumberFormat="1" applyFont="1" applyFill="1" applyBorder="1" applyAlignment="1">
      <alignment horizontal="center" vertical="center" wrapText="1"/>
    </xf>
    <xf numFmtId="165" fontId="11" fillId="3" borderId="5" xfId="1" applyNumberFormat="1" applyFont="1" applyFill="1" applyBorder="1" applyAlignment="1">
      <alignment horizontal="center" vertical="center" wrapText="1"/>
    </xf>
    <xf numFmtId="0" fontId="1" fillId="6" borderId="8" xfId="2" applyFont="1" applyFill="1" applyBorder="1" applyAlignment="1" applyProtection="1">
      <alignment horizontal="center" vertical="center" wrapText="1"/>
    </xf>
    <xf numFmtId="0" fontId="1" fillId="6" borderId="5" xfId="2" applyFont="1" applyFill="1" applyBorder="1" applyAlignment="1" applyProtection="1">
      <alignment horizontal="center" vertical="center" wrapText="1"/>
    </xf>
    <xf numFmtId="164" fontId="1" fillId="6" borderId="5" xfId="2" applyNumberFormat="1" applyFont="1" applyFill="1" applyBorder="1" applyAlignment="1" applyProtection="1">
      <alignment horizontal="center" vertical="center" wrapText="1"/>
    </xf>
    <xf numFmtId="0" fontId="1" fillId="6" borderId="5" xfId="0"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3" borderId="5" xfId="0" applyFont="1" applyFill="1" applyBorder="1" applyAlignment="1">
      <alignment horizontal="center" vertical="center" wrapText="1"/>
    </xf>
    <xf numFmtId="3" fontId="11" fillId="3" borderId="5" xfId="0" applyNumberFormat="1" applyFont="1" applyFill="1" applyBorder="1" applyAlignment="1">
      <alignment horizontal="center" vertical="center" wrapText="1"/>
    </xf>
    <xf numFmtId="0" fontId="11" fillId="2" borderId="5"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 fillId="6" borderId="2" xfId="2" applyFont="1" applyFill="1" applyBorder="1" applyAlignment="1" applyProtection="1">
      <alignment horizontal="center" vertical="center" wrapText="1"/>
    </xf>
    <xf numFmtId="0" fontId="1" fillId="6" borderId="3" xfId="2" applyFont="1" applyFill="1" applyBorder="1" applyAlignment="1" applyProtection="1">
      <alignment horizontal="center" vertical="center" wrapText="1"/>
    </xf>
    <xf numFmtId="0" fontId="1" fillId="6" borderId="4" xfId="2" applyFont="1" applyFill="1" applyBorder="1" applyAlignment="1" applyProtection="1">
      <alignment horizontal="center" vertical="center" wrapText="1"/>
    </xf>
    <xf numFmtId="0" fontId="1" fillId="6" borderId="6"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6" fontId="4" fillId="0" borderId="0" xfId="0" applyNumberFormat="1" applyFont="1" applyAlignment="1">
      <alignment wrapText="1"/>
    </xf>
    <xf numFmtId="0" fontId="11" fillId="6" borderId="11"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3">
    <cellStyle name="HeaderStyle" xfId="2" xr:uid="{9D361C23-D7C0-4E34-854A-67DB507E959B}"/>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22FF6-427A-496B-A5DE-9463931A93B2}">
  <sheetPr>
    <pageSetUpPr fitToPage="1"/>
  </sheetPr>
  <dimension ref="A1:AE30"/>
  <sheetViews>
    <sheetView tabSelected="1" view="pageBreakPreview" topLeftCell="C1" zoomScale="60" zoomScaleNormal="55" workbookViewId="0">
      <pane xSplit="4" ySplit="3" topLeftCell="R4" activePane="bottomRight" state="frozen"/>
      <selection activeCell="C1" sqref="C1"/>
      <selection pane="topRight" activeCell="G1" sqref="G1"/>
      <selection pane="bottomLeft" activeCell="C4" sqref="C4"/>
      <selection pane="bottomRight" activeCell="AH16" sqref="AH16"/>
    </sheetView>
  </sheetViews>
  <sheetFormatPr baseColWidth="10" defaultRowHeight="14.4" x14ac:dyDescent="0.3"/>
  <cols>
    <col min="1" max="2" width="11.5546875" style="2"/>
    <col min="3" max="3" width="18.21875" style="2" customWidth="1"/>
    <col min="4" max="4" width="32.77734375" style="2" customWidth="1"/>
    <col min="5" max="5" width="17.5546875" style="2" customWidth="1"/>
    <col min="6" max="6" width="11.5546875" style="2"/>
    <col min="7" max="7" width="11.5546875" style="2" customWidth="1"/>
    <col min="8" max="8" width="14" style="2" customWidth="1"/>
    <col min="9" max="11" width="13.44140625" style="2" customWidth="1"/>
    <col min="12" max="12" width="17.6640625" style="2" customWidth="1"/>
    <col min="13" max="13" width="12.44140625" style="2" customWidth="1"/>
    <col min="14" max="14" width="11.5546875" style="2" customWidth="1"/>
    <col min="15" max="15" width="18.6640625" style="2" customWidth="1"/>
    <col min="16" max="16" width="13.44140625" style="2" customWidth="1"/>
    <col min="17" max="17" width="13.21875" style="2" customWidth="1"/>
    <col min="18" max="18" width="15.6640625" style="2" customWidth="1"/>
    <col min="19" max="19" width="12.44140625" style="2" customWidth="1"/>
    <col min="20" max="20" width="11.5546875" style="2" customWidth="1"/>
    <col min="21" max="21" width="16.6640625" style="2" customWidth="1"/>
    <col min="22" max="22" width="12.44140625" style="2" customWidth="1"/>
    <col min="23" max="23" width="9.5546875" style="2" customWidth="1"/>
    <col min="24" max="24" width="14.88671875" style="2" customWidth="1"/>
    <col min="25" max="25" width="12.44140625" style="2" customWidth="1"/>
    <col min="26" max="26" width="12.21875" style="2" customWidth="1"/>
    <col min="27" max="27" width="16.6640625" style="2" customWidth="1"/>
    <col min="28" max="29" width="13.44140625" style="2" customWidth="1"/>
    <col min="30" max="30" width="14.77734375" style="2" customWidth="1"/>
    <col min="31" max="31" width="18.88671875" style="2" bestFit="1" customWidth="1"/>
    <col min="32" max="32" width="11.5546875" style="2"/>
    <col min="33" max="33" width="12.88671875" style="2" bestFit="1" customWidth="1"/>
    <col min="34" max="38" width="11.5546875" style="2"/>
    <col min="39" max="39" width="27.109375" style="2" customWidth="1"/>
    <col min="40" max="16384" width="11.5546875" style="2"/>
  </cols>
  <sheetData>
    <row r="1" spans="1:31" ht="56.4" customHeight="1" thickBot="1" x14ac:dyDescent="0.35">
      <c r="C1" s="48" t="s">
        <v>67</v>
      </c>
      <c r="D1" s="48"/>
      <c r="E1" s="48"/>
      <c r="F1" s="48"/>
      <c r="G1" s="47" t="s">
        <v>2</v>
      </c>
      <c r="H1" s="47"/>
      <c r="I1" s="47"/>
      <c r="J1" s="47"/>
      <c r="K1" s="47"/>
      <c r="L1" s="47"/>
      <c r="M1" s="47" t="s">
        <v>27</v>
      </c>
      <c r="N1" s="47"/>
      <c r="O1" s="47"/>
      <c r="P1" s="47"/>
      <c r="Q1" s="47"/>
      <c r="R1" s="47"/>
      <c r="S1" s="47" t="s">
        <v>0</v>
      </c>
      <c r="T1" s="47"/>
      <c r="U1" s="47"/>
      <c r="V1" s="47"/>
      <c r="W1" s="47"/>
      <c r="X1" s="47"/>
      <c r="Y1" s="47" t="s">
        <v>47</v>
      </c>
      <c r="Z1" s="47"/>
      <c r="AA1" s="47"/>
      <c r="AB1" s="47"/>
      <c r="AC1" s="47"/>
      <c r="AD1" s="47"/>
    </row>
    <row r="2" spans="1:31" ht="14.4" customHeight="1" x14ac:dyDescent="0.3">
      <c r="A2" s="51" t="s">
        <v>28</v>
      </c>
      <c r="B2" s="53" t="s">
        <v>5</v>
      </c>
      <c r="C2" s="49" t="s">
        <v>29</v>
      </c>
      <c r="D2" s="49" t="s">
        <v>30</v>
      </c>
      <c r="E2" s="49" t="s">
        <v>31</v>
      </c>
      <c r="F2" s="49" t="s">
        <v>32</v>
      </c>
      <c r="G2" s="46" t="s">
        <v>33</v>
      </c>
      <c r="H2" s="46"/>
      <c r="I2" s="46"/>
      <c r="J2" s="46"/>
      <c r="K2" s="46"/>
      <c r="L2" s="46"/>
      <c r="M2" s="46" t="s">
        <v>33</v>
      </c>
      <c r="N2" s="46"/>
      <c r="O2" s="46"/>
      <c r="P2" s="46"/>
      <c r="Q2" s="46"/>
      <c r="R2" s="46"/>
      <c r="S2" s="46" t="s">
        <v>33</v>
      </c>
      <c r="T2" s="46"/>
      <c r="U2" s="46"/>
      <c r="V2" s="46"/>
      <c r="W2" s="46"/>
      <c r="X2" s="46"/>
      <c r="Y2" s="46" t="s">
        <v>33</v>
      </c>
      <c r="Z2" s="46"/>
      <c r="AA2" s="46"/>
      <c r="AB2" s="46"/>
      <c r="AC2" s="46"/>
      <c r="AD2" s="46"/>
      <c r="AE2" s="22" t="s">
        <v>1</v>
      </c>
    </row>
    <row r="3" spans="1:31" ht="72" x14ac:dyDescent="0.3">
      <c r="A3" s="52"/>
      <c r="B3" s="49"/>
      <c r="C3" s="49"/>
      <c r="D3" s="49"/>
      <c r="E3" s="49"/>
      <c r="F3" s="49"/>
      <c r="G3" s="23" t="s">
        <v>34</v>
      </c>
      <c r="H3" s="23" t="s">
        <v>35</v>
      </c>
      <c r="I3" s="23" t="s">
        <v>36</v>
      </c>
      <c r="J3" s="23" t="s">
        <v>46</v>
      </c>
      <c r="K3" s="23" t="s">
        <v>49</v>
      </c>
      <c r="L3" s="23" t="s">
        <v>52</v>
      </c>
      <c r="M3" s="23" t="s">
        <v>34</v>
      </c>
      <c r="N3" s="23" t="s">
        <v>35</v>
      </c>
      <c r="O3" s="23" t="s">
        <v>36</v>
      </c>
      <c r="P3" s="23" t="s">
        <v>46</v>
      </c>
      <c r="Q3" s="23" t="s">
        <v>49</v>
      </c>
      <c r="R3" s="23" t="s">
        <v>52</v>
      </c>
      <c r="S3" s="23" t="s">
        <v>34</v>
      </c>
      <c r="T3" s="23" t="s">
        <v>35</v>
      </c>
      <c r="U3" s="23" t="s">
        <v>36</v>
      </c>
      <c r="V3" s="23" t="s">
        <v>46</v>
      </c>
      <c r="W3" s="23" t="s">
        <v>49</v>
      </c>
      <c r="X3" s="23" t="s">
        <v>52</v>
      </c>
      <c r="Y3" s="23" t="s">
        <v>34</v>
      </c>
      <c r="Z3" s="23" t="s">
        <v>35</v>
      </c>
      <c r="AA3" s="23" t="s">
        <v>36</v>
      </c>
      <c r="AB3" s="23" t="s">
        <v>46</v>
      </c>
      <c r="AC3" s="23" t="s">
        <v>49</v>
      </c>
      <c r="AD3" s="23" t="s">
        <v>52</v>
      </c>
      <c r="AE3" s="23" t="s">
        <v>66</v>
      </c>
    </row>
    <row r="4" spans="1:31" ht="68.400000000000006" customHeight="1" x14ac:dyDescent="0.3">
      <c r="A4" s="24">
        <v>1</v>
      </c>
      <c r="B4" s="25">
        <v>92121504</v>
      </c>
      <c r="C4" s="26" t="s">
        <v>37</v>
      </c>
      <c r="D4" s="27" t="s">
        <v>54</v>
      </c>
      <c r="E4" s="25" t="s">
        <v>38</v>
      </c>
      <c r="F4" s="25">
        <v>1</v>
      </c>
      <c r="G4" s="29">
        <v>7692750</v>
      </c>
      <c r="H4" s="29">
        <f>+G4*8%</f>
        <v>615420</v>
      </c>
      <c r="I4" s="29">
        <f>+H4+G4</f>
        <v>8308170</v>
      </c>
      <c r="J4" s="29">
        <f>+I4*10%</f>
        <v>830817</v>
      </c>
      <c r="K4" s="29">
        <f>+J4*19%</f>
        <v>157855.23000000001</v>
      </c>
      <c r="L4" s="30">
        <f>+I4+J4+K4</f>
        <v>9296842.2300000004</v>
      </c>
      <c r="M4" s="31">
        <v>6284337</v>
      </c>
      <c r="N4" s="31">
        <f>+M4*8%</f>
        <v>502746.96</v>
      </c>
      <c r="O4" s="31">
        <f>+N4+M4</f>
        <v>6787083.96</v>
      </c>
      <c r="P4" s="29">
        <f>+O4*10%</f>
        <v>678708.39600000007</v>
      </c>
      <c r="Q4" s="29">
        <f>+P4*19%</f>
        <v>128954.59524000001</v>
      </c>
      <c r="R4" s="30">
        <f>+O4+Q4</f>
        <v>6916038.5552399997</v>
      </c>
      <c r="S4" s="31">
        <v>6283545.8140024617</v>
      </c>
      <c r="T4" s="31">
        <f>+S4*8%</f>
        <v>502683.66512019694</v>
      </c>
      <c r="U4" s="31">
        <f>+T4+S4</f>
        <v>6786229.4791226583</v>
      </c>
      <c r="V4" s="29">
        <f>+U4*10%</f>
        <v>678622.9479122659</v>
      </c>
      <c r="W4" s="29">
        <f>+V4*19%</f>
        <v>128938.36010333052</v>
      </c>
      <c r="X4" s="30">
        <f>+U4+W4</f>
        <v>6915167.8392259888</v>
      </c>
      <c r="Y4" s="17">
        <v>6286006</v>
      </c>
      <c r="Z4" s="31">
        <f>+Y4*8%</f>
        <v>502880.48</v>
      </c>
      <c r="AA4" s="31">
        <f>+Z4+Y4</f>
        <v>6788886.4800000004</v>
      </c>
      <c r="AB4" s="29">
        <f>+AA4*10%</f>
        <v>678888.64800000004</v>
      </c>
      <c r="AC4" s="29">
        <f>+AB4*19%</f>
        <v>128988.84312000001</v>
      </c>
      <c r="AD4" s="30">
        <f>+AA4+AC4</f>
        <v>6917875.3231200008</v>
      </c>
      <c r="AE4" s="33">
        <f>ROUND(MEDIAN($L4,$R4,$X4,$AD4),0)</f>
        <v>6916957</v>
      </c>
    </row>
    <row r="5" spans="1:31" ht="72" x14ac:dyDescent="0.3">
      <c r="A5" s="24">
        <v>2</v>
      </c>
      <c r="B5" s="25">
        <v>92121504</v>
      </c>
      <c r="C5" s="26" t="s">
        <v>37</v>
      </c>
      <c r="D5" s="27" t="s">
        <v>55</v>
      </c>
      <c r="E5" s="25" t="s">
        <v>39</v>
      </c>
      <c r="F5" s="25">
        <v>1</v>
      </c>
      <c r="G5" s="29">
        <v>17881690</v>
      </c>
      <c r="H5" s="29">
        <f>+G5*8%</f>
        <v>1430535.2</v>
      </c>
      <c r="I5" s="29">
        <f t="shared" ref="I5:I15" si="0">+H5+G5</f>
        <v>19312225.199999999</v>
      </c>
      <c r="J5" s="29">
        <f t="shared" ref="J5:J15" si="1">+I5*10%</f>
        <v>1931222.52</v>
      </c>
      <c r="K5" s="29">
        <f t="shared" ref="K5:K15" si="2">+J5*19%</f>
        <v>366932.27880000003</v>
      </c>
      <c r="L5" s="30">
        <f>+I5+J5+K5</f>
        <v>21610379.998799998</v>
      </c>
      <c r="M5" s="31">
        <v>17881990</v>
      </c>
      <c r="N5" s="31">
        <f>+M5*8%</f>
        <v>1430559.2</v>
      </c>
      <c r="O5" s="31">
        <f t="shared" ref="O5:O15" si="3">+N5+M5</f>
        <v>19312549.199999999</v>
      </c>
      <c r="P5" s="29">
        <f t="shared" ref="P5:P15" si="4">+O5*10%</f>
        <v>1931254.92</v>
      </c>
      <c r="Q5" s="29">
        <f t="shared" ref="Q5:Q15" si="5">+P5*19%</f>
        <v>366938.43479999999</v>
      </c>
      <c r="R5" s="30">
        <f t="shared" ref="R5:R15" si="6">+O5+Q5</f>
        <v>19679487.634799998</v>
      </c>
      <c r="S5" s="31">
        <v>17879740.050000001</v>
      </c>
      <c r="T5" s="31">
        <f>+S5*8%</f>
        <v>1430379.2040000001</v>
      </c>
      <c r="U5" s="31">
        <f t="shared" ref="U5:U12" si="7">+T5+S5</f>
        <v>19310119.254000001</v>
      </c>
      <c r="V5" s="29">
        <f t="shared" ref="V5:V15" si="8">+U5*10%</f>
        <v>1931011.9254000001</v>
      </c>
      <c r="W5" s="29">
        <f t="shared" ref="W5:W15" si="9">+V5*19%</f>
        <v>366892.26582600002</v>
      </c>
      <c r="X5" s="30">
        <f t="shared" ref="X5:X15" si="10">+U5+W5</f>
        <v>19677011.519826002</v>
      </c>
      <c r="Y5" s="17">
        <v>17886740</v>
      </c>
      <c r="Z5" s="31">
        <f>+Y5*8%</f>
        <v>1430939.2</v>
      </c>
      <c r="AA5" s="31">
        <f t="shared" ref="AA5:AA15" si="11">+Z5+Y5</f>
        <v>19317679.199999999</v>
      </c>
      <c r="AB5" s="29">
        <f t="shared" ref="AB5:AB15" si="12">+AA5*10%</f>
        <v>1931767.92</v>
      </c>
      <c r="AC5" s="29">
        <f t="shared" ref="AC5:AC15" si="13">+AB5*19%</f>
        <v>367035.90480000002</v>
      </c>
      <c r="AD5" s="30">
        <f t="shared" ref="AD5:AD15" si="14">+AA5+AC5</f>
        <v>19684715.104800001</v>
      </c>
      <c r="AE5" s="33">
        <f t="shared" ref="AE5:AE15" si="15">ROUND(MEDIAN($L5,$R5,$X5,$AD5),0)</f>
        <v>19682101</v>
      </c>
    </row>
    <row r="6" spans="1:31" ht="86.4" x14ac:dyDescent="0.3">
      <c r="A6" s="24">
        <v>3</v>
      </c>
      <c r="B6" s="25">
        <v>92121504</v>
      </c>
      <c r="C6" s="26" t="s">
        <v>37</v>
      </c>
      <c r="D6" s="27" t="s">
        <v>56</v>
      </c>
      <c r="E6" s="25" t="s">
        <v>40</v>
      </c>
      <c r="F6" s="25">
        <v>1</v>
      </c>
      <c r="G6" s="29">
        <v>5236376</v>
      </c>
      <c r="H6" s="29">
        <f t="shared" ref="H6:H10" si="16">+G6*8%</f>
        <v>418910.08</v>
      </c>
      <c r="I6" s="29">
        <f t="shared" si="0"/>
        <v>5655286.0800000001</v>
      </c>
      <c r="J6" s="29">
        <f t="shared" si="1"/>
        <v>565528.60800000001</v>
      </c>
      <c r="K6" s="29">
        <f t="shared" si="2"/>
        <v>107450.43552</v>
      </c>
      <c r="L6" s="30">
        <f t="shared" ref="L6:L15" si="17">+I6+J6+K6</f>
        <v>6328265.1235199999</v>
      </c>
      <c r="M6" s="31">
        <v>5236947</v>
      </c>
      <c r="N6" s="31">
        <f t="shared" ref="N6:N10" si="18">+M6*8%</f>
        <v>418955.76</v>
      </c>
      <c r="O6" s="31">
        <f t="shared" si="3"/>
        <v>5655902.7599999998</v>
      </c>
      <c r="P6" s="29">
        <f t="shared" si="4"/>
        <v>565590.27599999995</v>
      </c>
      <c r="Q6" s="29">
        <f t="shared" si="5"/>
        <v>107462.15243999999</v>
      </c>
      <c r="R6" s="30">
        <f t="shared" si="6"/>
        <v>5763364.9124400001</v>
      </c>
      <c r="S6" s="34">
        <v>5236288.1783353845</v>
      </c>
      <c r="T6" s="31">
        <f>+S6*8%</f>
        <v>418903.05426683079</v>
      </c>
      <c r="U6" s="31">
        <f>+T6+S6</f>
        <v>5655191.2326022154</v>
      </c>
      <c r="V6" s="29">
        <f t="shared" si="8"/>
        <v>565519.12326022156</v>
      </c>
      <c r="W6" s="29">
        <f t="shared" si="9"/>
        <v>107448.63341944209</v>
      </c>
      <c r="X6" s="30">
        <f t="shared" si="10"/>
        <v>5762639.8660216574</v>
      </c>
      <c r="Y6" s="17">
        <v>5238338</v>
      </c>
      <c r="Z6" s="31">
        <f t="shared" ref="Z6:Z10" si="19">+Y6*8%</f>
        <v>419067.04000000004</v>
      </c>
      <c r="AA6" s="31">
        <f t="shared" si="11"/>
        <v>5657405.04</v>
      </c>
      <c r="AB6" s="29">
        <f t="shared" si="12"/>
        <v>565740.50400000007</v>
      </c>
      <c r="AC6" s="29">
        <f t="shared" si="13"/>
        <v>107490.69576000002</v>
      </c>
      <c r="AD6" s="30">
        <f t="shared" si="14"/>
        <v>5764895.7357599996</v>
      </c>
      <c r="AE6" s="33">
        <f t="shared" si="15"/>
        <v>5764130</v>
      </c>
    </row>
    <row r="7" spans="1:31" ht="86.4" x14ac:dyDescent="0.3">
      <c r="A7" s="24">
        <v>4</v>
      </c>
      <c r="B7" s="25">
        <v>92121504</v>
      </c>
      <c r="C7" s="26" t="s">
        <v>37</v>
      </c>
      <c r="D7" s="27" t="s">
        <v>57</v>
      </c>
      <c r="E7" s="25" t="s">
        <v>58</v>
      </c>
      <c r="F7" s="25">
        <v>1</v>
      </c>
      <c r="G7" s="29">
        <v>6283651</v>
      </c>
      <c r="H7" s="29">
        <f t="shared" si="16"/>
        <v>502692.08</v>
      </c>
      <c r="I7" s="29">
        <f t="shared" si="0"/>
        <v>6786343.0800000001</v>
      </c>
      <c r="J7" s="29">
        <f t="shared" si="1"/>
        <v>678634.30800000008</v>
      </c>
      <c r="K7" s="29">
        <f t="shared" si="2"/>
        <v>128940.51852000001</v>
      </c>
      <c r="L7" s="30">
        <f t="shared" si="17"/>
        <v>7593917.9065200007</v>
      </c>
      <c r="M7" s="31">
        <v>6284337</v>
      </c>
      <c r="N7" s="31">
        <f t="shared" si="18"/>
        <v>502746.96</v>
      </c>
      <c r="O7" s="31">
        <f t="shared" si="3"/>
        <v>6787083.96</v>
      </c>
      <c r="P7" s="29">
        <f t="shared" si="4"/>
        <v>678708.39600000007</v>
      </c>
      <c r="Q7" s="29">
        <f t="shared" si="5"/>
        <v>128954.59524000001</v>
      </c>
      <c r="R7" s="30">
        <f t="shared" si="6"/>
        <v>6916038.5552399997</v>
      </c>
      <c r="S7" s="31">
        <v>6283545.8140024617</v>
      </c>
      <c r="T7" s="31">
        <f t="shared" ref="T7:T10" si="20">+S7*8%</f>
        <v>502683.66512019694</v>
      </c>
      <c r="U7" s="31">
        <f t="shared" si="7"/>
        <v>6786229.4791226583</v>
      </c>
      <c r="V7" s="29">
        <f t="shared" si="8"/>
        <v>678622.9479122659</v>
      </c>
      <c r="W7" s="29">
        <f t="shared" si="9"/>
        <v>128938.36010333052</v>
      </c>
      <c r="X7" s="30">
        <f t="shared" si="10"/>
        <v>6915167.8392259888</v>
      </c>
      <c r="Y7" s="17">
        <v>6286006</v>
      </c>
      <c r="Z7" s="31">
        <f t="shared" si="19"/>
        <v>502880.48</v>
      </c>
      <c r="AA7" s="31">
        <f t="shared" si="11"/>
        <v>6788886.4800000004</v>
      </c>
      <c r="AB7" s="29">
        <f t="shared" si="12"/>
        <v>678888.64800000004</v>
      </c>
      <c r="AC7" s="29">
        <f t="shared" si="13"/>
        <v>128988.84312000001</v>
      </c>
      <c r="AD7" s="30">
        <f t="shared" si="14"/>
        <v>6917875.3231200008</v>
      </c>
      <c r="AE7" s="33">
        <f t="shared" si="15"/>
        <v>6916957</v>
      </c>
    </row>
    <row r="8" spans="1:31" ht="86.4" x14ac:dyDescent="0.3">
      <c r="A8" s="24">
        <v>5</v>
      </c>
      <c r="B8" s="25">
        <v>92121504</v>
      </c>
      <c r="C8" s="26" t="s">
        <v>37</v>
      </c>
      <c r="D8" s="27" t="s">
        <v>59</v>
      </c>
      <c r="E8" s="25" t="s">
        <v>40</v>
      </c>
      <c r="F8" s="25">
        <v>1</v>
      </c>
      <c r="G8" s="29">
        <v>5236376</v>
      </c>
      <c r="H8" s="29">
        <f t="shared" si="16"/>
        <v>418910.08</v>
      </c>
      <c r="I8" s="29">
        <f t="shared" si="0"/>
        <v>5655286.0800000001</v>
      </c>
      <c r="J8" s="29">
        <f t="shared" si="1"/>
        <v>565528.60800000001</v>
      </c>
      <c r="K8" s="29">
        <f t="shared" si="2"/>
        <v>107450.43552</v>
      </c>
      <c r="L8" s="30">
        <f t="shared" si="17"/>
        <v>6328265.1235199999</v>
      </c>
      <c r="M8" s="31">
        <v>5236947</v>
      </c>
      <c r="N8" s="31">
        <f t="shared" si="18"/>
        <v>418955.76</v>
      </c>
      <c r="O8" s="31">
        <f t="shared" si="3"/>
        <v>5655902.7599999998</v>
      </c>
      <c r="P8" s="29">
        <f t="shared" si="4"/>
        <v>565590.27599999995</v>
      </c>
      <c r="Q8" s="29">
        <f t="shared" si="5"/>
        <v>107462.15243999999</v>
      </c>
      <c r="R8" s="30">
        <f t="shared" si="6"/>
        <v>5763364.9124400001</v>
      </c>
      <c r="S8" s="34">
        <v>5236288.1783353845</v>
      </c>
      <c r="T8" s="31">
        <f t="shared" si="20"/>
        <v>418903.05426683079</v>
      </c>
      <c r="U8" s="31">
        <f t="shared" si="7"/>
        <v>5655191.2326022154</v>
      </c>
      <c r="V8" s="29">
        <f t="shared" si="8"/>
        <v>565519.12326022156</v>
      </c>
      <c r="W8" s="29">
        <f t="shared" si="9"/>
        <v>107448.63341944209</v>
      </c>
      <c r="X8" s="30">
        <f t="shared" si="10"/>
        <v>5762639.8660216574</v>
      </c>
      <c r="Y8" s="17">
        <v>5238338</v>
      </c>
      <c r="Z8" s="31">
        <f t="shared" si="19"/>
        <v>419067.04000000004</v>
      </c>
      <c r="AA8" s="31">
        <f t="shared" si="11"/>
        <v>5657405.04</v>
      </c>
      <c r="AB8" s="29">
        <f t="shared" si="12"/>
        <v>565740.50400000007</v>
      </c>
      <c r="AC8" s="29">
        <f t="shared" si="13"/>
        <v>107490.69576000002</v>
      </c>
      <c r="AD8" s="30">
        <f t="shared" si="14"/>
        <v>5764895.7357599996</v>
      </c>
      <c r="AE8" s="33">
        <f t="shared" si="15"/>
        <v>5764130</v>
      </c>
    </row>
    <row r="9" spans="1:31" ht="86.4" x14ac:dyDescent="0.3">
      <c r="A9" s="24">
        <v>6</v>
      </c>
      <c r="B9" s="25">
        <v>92121504</v>
      </c>
      <c r="C9" s="26" t="s">
        <v>37</v>
      </c>
      <c r="D9" s="27" t="s">
        <v>60</v>
      </c>
      <c r="E9" s="25" t="s">
        <v>40</v>
      </c>
      <c r="F9" s="25">
        <v>1</v>
      </c>
      <c r="G9" s="29">
        <v>5236376</v>
      </c>
      <c r="H9" s="29">
        <f t="shared" si="16"/>
        <v>418910.08</v>
      </c>
      <c r="I9" s="29">
        <f t="shared" si="0"/>
        <v>5655286.0800000001</v>
      </c>
      <c r="J9" s="29">
        <f t="shared" si="1"/>
        <v>565528.60800000001</v>
      </c>
      <c r="K9" s="29">
        <f t="shared" si="2"/>
        <v>107450.43552</v>
      </c>
      <c r="L9" s="30">
        <f t="shared" si="17"/>
        <v>6328265.1235199999</v>
      </c>
      <c r="M9" s="31">
        <v>5236947</v>
      </c>
      <c r="N9" s="31">
        <f t="shared" si="18"/>
        <v>418955.76</v>
      </c>
      <c r="O9" s="31">
        <f t="shared" si="3"/>
        <v>5655902.7599999998</v>
      </c>
      <c r="P9" s="29">
        <f t="shared" si="4"/>
        <v>565590.27599999995</v>
      </c>
      <c r="Q9" s="29">
        <f t="shared" si="5"/>
        <v>107462.15243999999</v>
      </c>
      <c r="R9" s="30">
        <f t="shared" si="6"/>
        <v>5763364.9124400001</v>
      </c>
      <c r="S9" s="34">
        <v>5236288.1783353845</v>
      </c>
      <c r="T9" s="31">
        <f t="shared" si="20"/>
        <v>418903.05426683079</v>
      </c>
      <c r="U9" s="31">
        <f t="shared" si="7"/>
        <v>5655191.2326022154</v>
      </c>
      <c r="V9" s="29">
        <f t="shared" si="8"/>
        <v>565519.12326022156</v>
      </c>
      <c r="W9" s="29">
        <f t="shared" si="9"/>
        <v>107448.63341944209</v>
      </c>
      <c r="X9" s="30">
        <f t="shared" si="10"/>
        <v>5762639.8660216574</v>
      </c>
      <c r="Y9" s="17">
        <v>5238338</v>
      </c>
      <c r="Z9" s="31">
        <f t="shared" si="19"/>
        <v>419067.04000000004</v>
      </c>
      <c r="AA9" s="31">
        <f t="shared" si="11"/>
        <v>5657405.04</v>
      </c>
      <c r="AB9" s="29">
        <f t="shared" si="12"/>
        <v>565740.50400000007</v>
      </c>
      <c r="AC9" s="29">
        <f t="shared" si="13"/>
        <v>107490.69576000002</v>
      </c>
      <c r="AD9" s="30">
        <f t="shared" si="14"/>
        <v>5764895.7357599996</v>
      </c>
      <c r="AE9" s="33">
        <f t="shared" si="15"/>
        <v>5764130</v>
      </c>
    </row>
    <row r="10" spans="1:31" ht="72" x14ac:dyDescent="0.3">
      <c r="A10" s="24">
        <v>7</v>
      </c>
      <c r="B10" s="25">
        <v>92121504</v>
      </c>
      <c r="C10" s="26" t="s">
        <v>37</v>
      </c>
      <c r="D10" s="27" t="s">
        <v>61</v>
      </c>
      <c r="E10" s="25" t="s">
        <v>41</v>
      </c>
      <c r="F10" s="28">
        <v>1</v>
      </c>
      <c r="G10" s="29">
        <v>10025476</v>
      </c>
      <c r="H10" s="29">
        <f t="shared" si="16"/>
        <v>802038.08000000007</v>
      </c>
      <c r="I10" s="29">
        <f t="shared" si="0"/>
        <v>10827514.08</v>
      </c>
      <c r="J10" s="29">
        <f t="shared" si="1"/>
        <v>1082751.4080000001</v>
      </c>
      <c r="K10" s="29">
        <f t="shared" si="2"/>
        <v>205722.76752000002</v>
      </c>
      <c r="L10" s="30">
        <f t="shared" si="17"/>
        <v>12115988.255519999</v>
      </c>
      <c r="M10" s="31">
        <v>10026569</v>
      </c>
      <c r="N10" s="31">
        <f t="shared" si="18"/>
        <v>802125.52</v>
      </c>
      <c r="O10" s="31">
        <f t="shared" si="3"/>
        <v>10828694.52</v>
      </c>
      <c r="P10" s="29">
        <f t="shared" si="4"/>
        <v>1082869.452</v>
      </c>
      <c r="Q10" s="29">
        <f t="shared" si="5"/>
        <v>205745.19588000001</v>
      </c>
      <c r="R10" s="30">
        <f t="shared" si="6"/>
        <v>11034439.715879999</v>
      </c>
      <c r="S10" s="34">
        <v>10025307.782496924</v>
      </c>
      <c r="T10" s="31">
        <f t="shared" si="20"/>
        <v>802024.6225997539</v>
      </c>
      <c r="U10" s="31">
        <f>+T10+S10</f>
        <v>10827332.405096678</v>
      </c>
      <c r="V10" s="29">
        <f t="shared" si="8"/>
        <v>1082733.2405096679</v>
      </c>
      <c r="W10" s="29">
        <f t="shared" si="9"/>
        <v>205719.31569683691</v>
      </c>
      <c r="X10" s="30">
        <f t="shared" si="10"/>
        <v>11033051.720793515</v>
      </c>
      <c r="Y10" s="17">
        <v>10029232</v>
      </c>
      <c r="Z10" s="31">
        <f t="shared" si="19"/>
        <v>802338.56</v>
      </c>
      <c r="AA10" s="31">
        <f t="shared" si="11"/>
        <v>10831570.560000001</v>
      </c>
      <c r="AB10" s="29">
        <f t="shared" si="12"/>
        <v>1083157.0560000001</v>
      </c>
      <c r="AC10" s="32">
        <f t="shared" si="13"/>
        <v>205799.84064000001</v>
      </c>
      <c r="AD10" s="30">
        <f t="shared" si="14"/>
        <v>11037370.40064</v>
      </c>
      <c r="AE10" s="33">
        <f t="shared" si="15"/>
        <v>11035905</v>
      </c>
    </row>
    <row r="11" spans="1:31" ht="72" x14ac:dyDescent="0.3">
      <c r="A11" s="24">
        <v>8</v>
      </c>
      <c r="B11" s="25">
        <v>92121504</v>
      </c>
      <c r="C11" s="26" t="s">
        <v>37</v>
      </c>
      <c r="D11" s="27" t="s">
        <v>62</v>
      </c>
      <c r="E11" s="25" t="s">
        <v>39</v>
      </c>
      <c r="F11" s="28">
        <v>1</v>
      </c>
      <c r="G11" s="29">
        <v>17881690</v>
      </c>
      <c r="H11" s="29">
        <f>+G11*10%</f>
        <v>1788169</v>
      </c>
      <c r="I11" s="29">
        <f t="shared" si="0"/>
        <v>19669859</v>
      </c>
      <c r="J11" s="29">
        <f t="shared" si="1"/>
        <v>1966985.9000000001</v>
      </c>
      <c r="K11" s="29">
        <f t="shared" si="2"/>
        <v>373727.32100000005</v>
      </c>
      <c r="L11" s="30">
        <f t="shared" si="17"/>
        <v>22010572.220999997</v>
      </c>
      <c r="M11" s="31">
        <v>17881990</v>
      </c>
      <c r="N11" s="31">
        <f>+M11*10%</f>
        <v>1788199</v>
      </c>
      <c r="O11" s="31">
        <f t="shared" si="3"/>
        <v>19670189</v>
      </c>
      <c r="P11" s="29">
        <f t="shared" si="4"/>
        <v>1967018.9000000001</v>
      </c>
      <c r="Q11" s="32">
        <f t="shared" si="5"/>
        <v>373733.59100000001</v>
      </c>
      <c r="R11" s="30">
        <f t="shared" si="6"/>
        <v>20043922.590999998</v>
      </c>
      <c r="S11" s="35">
        <v>17879740.050000001</v>
      </c>
      <c r="T11" s="31">
        <f>+S11*10%</f>
        <v>1787974.0050000001</v>
      </c>
      <c r="U11" s="31">
        <f t="shared" si="7"/>
        <v>19667714.055</v>
      </c>
      <c r="V11" s="29">
        <f t="shared" si="8"/>
        <v>1966771.4055000001</v>
      </c>
      <c r="W11" s="32">
        <f t="shared" si="9"/>
        <v>373686.56704500003</v>
      </c>
      <c r="X11" s="30">
        <f t="shared" si="10"/>
        <v>20041400.622044999</v>
      </c>
      <c r="Y11" s="21">
        <v>17886740</v>
      </c>
      <c r="Z11" s="31">
        <f>+Y11*10%</f>
        <v>1788674</v>
      </c>
      <c r="AA11" s="31">
        <f t="shared" si="11"/>
        <v>19675414</v>
      </c>
      <c r="AB11" s="29">
        <f t="shared" si="12"/>
        <v>1967541.4000000001</v>
      </c>
      <c r="AC11" s="32">
        <f t="shared" si="13"/>
        <v>373832.86600000004</v>
      </c>
      <c r="AD11" s="30">
        <f t="shared" si="14"/>
        <v>20049246.866</v>
      </c>
      <c r="AE11" s="33">
        <f t="shared" si="15"/>
        <v>20046585</v>
      </c>
    </row>
    <row r="12" spans="1:31" ht="72" x14ac:dyDescent="0.3">
      <c r="A12" s="24">
        <v>9</v>
      </c>
      <c r="B12" s="25">
        <v>92121504</v>
      </c>
      <c r="C12" s="26" t="s">
        <v>37</v>
      </c>
      <c r="D12" s="27" t="s">
        <v>63</v>
      </c>
      <c r="E12" s="25" t="s">
        <v>39</v>
      </c>
      <c r="F12" s="28">
        <v>1</v>
      </c>
      <c r="G12" s="29">
        <v>17881690</v>
      </c>
      <c r="H12" s="29">
        <f>+G12*11%</f>
        <v>1966985.9</v>
      </c>
      <c r="I12" s="29">
        <f t="shared" si="0"/>
        <v>19848675.899999999</v>
      </c>
      <c r="J12" s="29">
        <f t="shared" si="1"/>
        <v>1984867.5899999999</v>
      </c>
      <c r="K12" s="29">
        <f t="shared" si="2"/>
        <v>377124.84209999995</v>
      </c>
      <c r="L12" s="30">
        <f t="shared" si="17"/>
        <v>22210668.332099997</v>
      </c>
      <c r="M12" s="31">
        <v>17881990</v>
      </c>
      <c r="N12" s="31">
        <f>+M12*11%</f>
        <v>1967018.9</v>
      </c>
      <c r="O12" s="31">
        <f t="shared" si="3"/>
        <v>19849008.899999999</v>
      </c>
      <c r="P12" s="29">
        <f t="shared" si="4"/>
        <v>1984900.89</v>
      </c>
      <c r="Q12" s="32">
        <f t="shared" si="5"/>
        <v>377131.1691</v>
      </c>
      <c r="R12" s="30">
        <f t="shared" si="6"/>
        <v>20226140.0691</v>
      </c>
      <c r="S12" s="35">
        <v>17879740.050000001</v>
      </c>
      <c r="T12" s="31">
        <f>+S12*11%</f>
        <v>1966771.4055000001</v>
      </c>
      <c r="U12" s="31">
        <f t="shared" si="7"/>
        <v>19846511.455499999</v>
      </c>
      <c r="V12" s="29">
        <f t="shared" si="8"/>
        <v>1984651.14555</v>
      </c>
      <c r="W12" s="32">
        <f t="shared" si="9"/>
        <v>377083.71765449998</v>
      </c>
      <c r="X12" s="30">
        <f t="shared" si="10"/>
        <v>20223595.173154499</v>
      </c>
      <c r="Y12" s="21">
        <v>17886740</v>
      </c>
      <c r="Z12" s="31">
        <f>+Y12*11%</f>
        <v>1967541.4</v>
      </c>
      <c r="AA12" s="31">
        <f t="shared" si="11"/>
        <v>19854281.399999999</v>
      </c>
      <c r="AB12" s="29">
        <f t="shared" si="12"/>
        <v>1985428.14</v>
      </c>
      <c r="AC12" s="32">
        <f t="shared" si="13"/>
        <v>377231.34659999999</v>
      </c>
      <c r="AD12" s="30">
        <f t="shared" si="14"/>
        <v>20231512.746599998</v>
      </c>
      <c r="AE12" s="33">
        <f t="shared" si="15"/>
        <v>20228826</v>
      </c>
    </row>
    <row r="13" spans="1:31" ht="72" x14ac:dyDescent="0.3">
      <c r="A13" s="24">
        <v>10</v>
      </c>
      <c r="B13" s="25">
        <v>92121504</v>
      </c>
      <c r="C13" s="26" t="s">
        <v>42</v>
      </c>
      <c r="D13" s="27" t="s">
        <v>64</v>
      </c>
      <c r="E13" s="25" t="s">
        <v>39</v>
      </c>
      <c r="F13" s="28">
        <v>1</v>
      </c>
      <c r="G13" s="29">
        <v>17881690</v>
      </c>
      <c r="H13" s="29">
        <f>+G13*10%</f>
        <v>1788169</v>
      </c>
      <c r="I13" s="29">
        <f>+H13+G13</f>
        <v>19669859</v>
      </c>
      <c r="J13" s="29">
        <f t="shared" si="1"/>
        <v>1966985.9000000001</v>
      </c>
      <c r="K13" s="29">
        <f t="shared" si="2"/>
        <v>373727.32100000005</v>
      </c>
      <c r="L13" s="30">
        <f t="shared" si="17"/>
        <v>22010572.220999997</v>
      </c>
      <c r="M13" s="31">
        <v>17881990</v>
      </c>
      <c r="N13" s="31">
        <f>+M13*10%</f>
        <v>1788199</v>
      </c>
      <c r="O13" s="31">
        <f>+N13+M13</f>
        <v>19670189</v>
      </c>
      <c r="P13" s="29">
        <f t="shared" si="4"/>
        <v>1967018.9000000001</v>
      </c>
      <c r="Q13" s="32">
        <f t="shared" si="5"/>
        <v>373733.59100000001</v>
      </c>
      <c r="R13" s="30">
        <f t="shared" si="6"/>
        <v>20043922.590999998</v>
      </c>
      <c r="S13" s="35">
        <v>17879740.050000001</v>
      </c>
      <c r="T13" s="31">
        <f>+S13*10%</f>
        <v>1787974.0050000001</v>
      </c>
      <c r="U13" s="31">
        <f>+T13+S13</f>
        <v>19667714.055</v>
      </c>
      <c r="V13" s="29">
        <f t="shared" si="8"/>
        <v>1966771.4055000001</v>
      </c>
      <c r="W13" s="32">
        <f t="shared" si="9"/>
        <v>373686.56704500003</v>
      </c>
      <c r="X13" s="30">
        <f t="shared" si="10"/>
        <v>20041400.622044999</v>
      </c>
      <c r="Y13" s="21">
        <v>17886740</v>
      </c>
      <c r="Z13" s="31">
        <f>+Y13*10%</f>
        <v>1788674</v>
      </c>
      <c r="AA13" s="31">
        <f>+Z13+Y13</f>
        <v>19675414</v>
      </c>
      <c r="AB13" s="29">
        <f t="shared" si="12"/>
        <v>1967541.4000000001</v>
      </c>
      <c r="AC13" s="32">
        <f t="shared" si="13"/>
        <v>373832.86600000004</v>
      </c>
      <c r="AD13" s="30">
        <f t="shared" si="14"/>
        <v>20049246.866</v>
      </c>
      <c r="AE13" s="33">
        <f t="shared" si="15"/>
        <v>20046585</v>
      </c>
    </row>
    <row r="14" spans="1:31" ht="72" x14ac:dyDescent="0.3">
      <c r="A14" s="24">
        <v>11</v>
      </c>
      <c r="B14" s="25">
        <v>92121504</v>
      </c>
      <c r="C14" s="26" t="s">
        <v>43</v>
      </c>
      <c r="D14" s="27" t="s">
        <v>65</v>
      </c>
      <c r="E14" s="25" t="s">
        <v>39</v>
      </c>
      <c r="F14" s="28">
        <v>1</v>
      </c>
      <c r="G14" s="29">
        <v>17881690</v>
      </c>
      <c r="H14" s="29">
        <f>+G14*10%</f>
        <v>1788169</v>
      </c>
      <c r="I14" s="29">
        <f>+H14+G14</f>
        <v>19669859</v>
      </c>
      <c r="J14" s="29">
        <f t="shared" si="1"/>
        <v>1966985.9000000001</v>
      </c>
      <c r="K14" s="29">
        <f t="shared" si="2"/>
        <v>373727.32100000005</v>
      </c>
      <c r="L14" s="30">
        <f t="shared" si="17"/>
        <v>22010572.220999997</v>
      </c>
      <c r="M14" s="31">
        <v>17881990</v>
      </c>
      <c r="N14" s="31">
        <f>+M14*10%</f>
        <v>1788199</v>
      </c>
      <c r="O14" s="31">
        <f>+N14+M14</f>
        <v>19670189</v>
      </c>
      <c r="P14" s="29">
        <f t="shared" si="4"/>
        <v>1967018.9000000001</v>
      </c>
      <c r="Q14" s="32">
        <f t="shared" si="5"/>
        <v>373733.59100000001</v>
      </c>
      <c r="R14" s="30">
        <f t="shared" si="6"/>
        <v>20043922.590999998</v>
      </c>
      <c r="S14" s="35">
        <v>17879740.050000001</v>
      </c>
      <c r="T14" s="31">
        <f>+S14*10%</f>
        <v>1787974.0050000001</v>
      </c>
      <c r="U14" s="31">
        <f>+T14+S14</f>
        <v>19667714.055</v>
      </c>
      <c r="V14" s="29">
        <f t="shared" si="8"/>
        <v>1966771.4055000001</v>
      </c>
      <c r="W14" s="32">
        <f t="shared" si="9"/>
        <v>373686.56704500003</v>
      </c>
      <c r="X14" s="30">
        <f t="shared" si="10"/>
        <v>20041400.622044999</v>
      </c>
      <c r="Y14" s="21">
        <v>17886740</v>
      </c>
      <c r="Z14" s="31">
        <f>+Y14*10%</f>
        <v>1788674</v>
      </c>
      <c r="AA14" s="31">
        <f>+Z14+Y14</f>
        <v>19675414</v>
      </c>
      <c r="AB14" s="29">
        <f t="shared" si="12"/>
        <v>1967541.4000000001</v>
      </c>
      <c r="AC14" s="32">
        <f t="shared" si="13"/>
        <v>373832.86600000004</v>
      </c>
      <c r="AD14" s="30">
        <f t="shared" si="14"/>
        <v>20049246.866</v>
      </c>
      <c r="AE14" s="33">
        <f t="shared" si="15"/>
        <v>20046585</v>
      </c>
    </row>
    <row r="15" spans="1:31" ht="72" x14ac:dyDescent="0.3">
      <c r="A15" s="24">
        <v>12</v>
      </c>
      <c r="B15" s="36">
        <v>92121504</v>
      </c>
      <c r="C15" s="26" t="s">
        <v>44</v>
      </c>
      <c r="D15" s="27" t="s">
        <v>64</v>
      </c>
      <c r="E15" s="25" t="s">
        <v>45</v>
      </c>
      <c r="F15" s="37">
        <v>1</v>
      </c>
      <c r="G15" s="29">
        <v>7855289</v>
      </c>
      <c r="H15" s="29">
        <f t="shared" ref="H15" si="21">+G15*10%</f>
        <v>785528.9</v>
      </c>
      <c r="I15" s="29">
        <f t="shared" si="0"/>
        <v>8640817.9000000004</v>
      </c>
      <c r="J15" s="29">
        <f t="shared" si="1"/>
        <v>864081.79</v>
      </c>
      <c r="K15" s="29">
        <f t="shared" si="2"/>
        <v>164175.54010000001</v>
      </c>
      <c r="L15" s="30">
        <f t="shared" si="17"/>
        <v>9669075.2301000021</v>
      </c>
      <c r="M15" s="31">
        <v>7855421</v>
      </c>
      <c r="N15" s="31">
        <f t="shared" ref="N15" si="22">+M15*10%</f>
        <v>785542.10000000009</v>
      </c>
      <c r="O15" s="31">
        <f t="shared" si="3"/>
        <v>8640963.0999999996</v>
      </c>
      <c r="P15" s="29">
        <f t="shared" si="4"/>
        <v>864096.31</v>
      </c>
      <c r="Q15" s="32">
        <f t="shared" si="5"/>
        <v>164178.29890000002</v>
      </c>
      <c r="R15" s="30">
        <f t="shared" si="6"/>
        <v>8805141.3989000004</v>
      </c>
      <c r="S15" s="38">
        <v>7854432.2675030772</v>
      </c>
      <c r="T15" s="31">
        <f t="shared" ref="T15" si="23">+S15*10%</f>
        <v>785443.22675030772</v>
      </c>
      <c r="U15" s="31">
        <f>+T15+S15</f>
        <v>8639875.4942533858</v>
      </c>
      <c r="V15" s="29">
        <f t="shared" si="8"/>
        <v>863987.54942533863</v>
      </c>
      <c r="W15" s="32">
        <f t="shared" si="9"/>
        <v>164157.63439081435</v>
      </c>
      <c r="X15" s="30">
        <f t="shared" si="10"/>
        <v>8804033.1286442</v>
      </c>
      <c r="Y15" s="21">
        <v>7857507</v>
      </c>
      <c r="Z15" s="31">
        <f t="shared" ref="Z15" si="24">+Y15*10%</f>
        <v>785750.70000000007</v>
      </c>
      <c r="AA15" s="31">
        <f t="shared" si="11"/>
        <v>8643257.6999999993</v>
      </c>
      <c r="AB15" s="29">
        <f t="shared" si="12"/>
        <v>864325.77</v>
      </c>
      <c r="AC15" s="32">
        <f t="shared" si="13"/>
        <v>164221.89629999999</v>
      </c>
      <c r="AD15" s="30">
        <f t="shared" si="14"/>
        <v>8807479.5962999985</v>
      </c>
      <c r="AE15" s="33">
        <f t="shared" si="15"/>
        <v>8806310</v>
      </c>
    </row>
    <row r="16" spans="1:31" ht="35.4" customHeight="1" x14ac:dyDescent="0.3">
      <c r="J16" s="46" t="s">
        <v>48</v>
      </c>
      <c r="K16" s="46"/>
      <c r="L16" s="39">
        <f>SUM(L4:L15)</f>
        <v>167513383.98659998</v>
      </c>
      <c r="P16" s="46" t="s">
        <v>48</v>
      </c>
      <c r="Q16" s="46"/>
      <c r="R16" s="39">
        <f>SUM(R4:R15)</f>
        <v>150999148.43947998</v>
      </c>
      <c r="V16" s="46" t="s">
        <v>48</v>
      </c>
      <c r="W16" s="46"/>
      <c r="X16" s="39">
        <f>SUM(X4:X15)</f>
        <v>150980148.68507016</v>
      </c>
      <c r="AB16" s="46" t="s">
        <v>48</v>
      </c>
      <c r="AC16" s="46"/>
      <c r="AD16" s="39">
        <f>SUM(AD4:AD15)</f>
        <v>151039256.29986</v>
      </c>
      <c r="AE16" s="40">
        <f>ROUND(SUM(AE4:AE15),0)</f>
        <v>151019201</v>
      </c>
    </row>
    <row r="17" spans="5:31" ht="40.799999999999997" customHeight="1" x14ac:dyDescent="0.3">
      <c r="AB17" s="62" t="s">
        <v>70</v>
      </c>
      <c r="AC17" s="63"/>
      <c r="AD17" s="64"/>
      <c r="AE17" s="40">
        <f>+AE16*6</f>
        <v>906115206</v>
      </c>
    </row>
    <row r="29" spans="5:31" x14ac:dyDescent="0.3">
      <c r="E29" s="61"/>
    </row>
    <row r="30" spans="5:31" x14ac:dyDescent="0.3">
      <c r="E30" s="61"/>
    </row>
  </sheetData>
  <mergeCells count="20">
    <mergeCell ref="AB17:AD17"/>
    <mergeCell ref="A2:A3"/>
    <mergeCell ref="B2:B3"/>
    <mergeCell ref="C2:C3"/>
    <mergeCell ref="D2:D3"/>
    <mergeCell ref="E2:E3"/>
    <mergeCell ref="V16:W16"/>
    <mergeCell ref="AB16:AC16"/>
    <mergeCell ref="Y1:AD1"/>
    <mergeCell ref="Y2:AD2"/>
    <mergeCell ref="C1:F1"/>
    <mergeCell ref="M1:R1"/>
    <mergeCell ref="S1:X1"/>
    <mergeCell ref="M2:R2"/>
    <mergeCell ref="S2:X2"/>
    <mergeCell ref="G1:L1"/>
    <mergeCell ref="F2:F3"/>
    <mergeCell ref="G2:L2"/>
    <mergeCell ref="P16:Q16"/>
    <mergeCell ref="J16:K16"/>
  </mergeCells>
  <pageMargins left="0.7" right="0.7" top="0.75" bottom="0.75" header="0.3" footer="0.3"/>
  <pageSetup paperSize="3" scale="4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4D77-6187-4F21-BBE5-8DE0DE4F9EB6}">
  <sheetPr>
    <pageSetUpPr fitToPage="1"/>
  </sheetPr>
  <dimension ref="A1:AF47"/>
  <sheetViews>
    <sheetView view="pageBreakPreview" topLeftCell="S7" zoomScale="55" zoomScaleNormal="70" zoomScaleSheetLayoutView="55" workbookViewId="0">
      <selection activeCell="AH11" sqref="AH11"/>
    </sheetView>
  </sheetViews>
  <sheetFormatPr baseColWidth="10" defaultRowHeight="14.4" x14ac:dyDescent="0.3"/>
  <cols>
    <col min="1" max="2" width="11.5546875" style="11"/>
    <col min="3" max="3" width="66.5546875" style="11" customWidth="1"/>
    <col min="4" max="4" width="11.5546875" style="11"/>
    <col min="5" max="5" width="11.5546875" style="11" customWidth="1"/>
    <col min="6" max="6" width="13.109375" style="11" customWidth="1"/>
    <col min="7" max="20" width="11.5546875" style="11" customWidth="1"/>
    <col min="21" max="21" width="15" style="11" customWidth="1"/>
    <col min="22" max="26" width="11.5546875" style="11" customWidth="1"/>
    <col min="27" max="27" width="13.21875" style="11" customWidth="1"/>
    <col min="28" max="28" width="17.109375" style="11" bestFit="1" customWidth="1"/>
    <col min="29" max="16384" width="11.5546875" style="11"/>
  </cols>
  <sheetData>
    <row r="1" spans="1:32" s="2" customFormat="1" ht="28.8" customHeight="1" x14ac:dyDescent="0.3">
      <c r="A1" s="55" t="s">
        <v>3</v>
      </c>
      <c r="B1" s="56"/>
      <c r="C1" s="56"/>
      <c r="D1" s="56"/>
      <c r="E1" s="57"/>
      <c r="F1" s="54" t="s">
        <v>2</v>
      </c>
      <c r="G1" s="54"/>
      <c r="H1" s="54"/>
      <c r="I1" s="54"/>
      <c r="J1" s="54"/>
      <c r="K1" s="54" t="s">
        <v>27</v>
      </c>
      <c r="L1" s="54"/>
      <c r="M1" s="54"/>
      <c r="N1" s="54"/>
      <c r="O1" s="54"/>
      <c r="P1" s="54" t="s">
        <v>0</v>
      </c>
      <c r="Q1" s="54"/>
      <c r="R1" s="54"/>
      <c r="S1" s="54"/>
      <c r="T1" s="54"/>
      <c r="U1" s="54" t="s">
        <v>68</v>
      </c>
      <c r="V1" s="54"/>
      <c r="W1" s="54"/>
      <c r="X1" s="54"/>
      <c r="Y1" s="54"/>
      <c r="Z1" s="54"/>
    </row>
    <row r="2" spans="1:32" s="2" customFormat="1" ht="79.2" x14ac:dyDescent="0.3">
      <c r="A2" s="41" t="s">
        <v>4</v>
      </c>
      <c r="B2" s="42" t="s">
        <v>5</v>
      </c>
      <c r="C2" s="42" t="s">
        <v>6</v>
      </c>
      <c r="D2" s="42" t="s">
        <v>26</v>
      </c>
      <c r="E2" s="42" t="s">
        <v>7</v>
      </c>
      <c r="F2" s="43" t="s">
        <v>25</v>
      </c>
      <c r="G2" s="43" t="s">
        <v>24</v>
      </c>
      <c r="H2" s="42" t="s">
        <v>21</v>
      </c>
      <c r="I2" s="44" t="s">
        <v>22</v>
      </c>
      <c r="J2" s="44" t="s">
        <v>23</v>
      </c>
      <c r="K2" s="43" t="s">
        <v>25</v>
      </c>
      <c r="L2" s="43" t="s">
        <v>24</v>
      </c>
      <c r="M2" s="42" t="s">
        <v>21</v>
      </c>
      <c r="N2" s="44" t="s">
        <v>22</v>
      </c>
      <c r="O2" s="44" t="s">
        <v>23</v>
      </c>
      <c r="P2" s="43" t="s">
        <v>25</v>
      </c>
      <c r="Q2" s="43" t="s">
        <v>24</v>
      </c>
      <c r="R2" s="42" t="s">
        <v>21</v>
      </c>
      <c r="S2" s="44" t="s">
        <v>22</v>
      </c>
      <c r="T2" s="44" t="s">
        <v>23</v>
      </c>
      <c r="U2" s="43" t="s">
        <v>51</v>
      </c>
      <c r="V2" s="43" t="s">
        <v>50</v>
      </c>
      <c r="W2" s="43" t="s">
        <v>24</v>
      </c>
      <c r="X2" s="42" t="s">
        <v>21</v>
      </c>
      <c r="Y2" s="44" t="s">
        <v>22</v>
      </c>
      <c r="Z2" s="44" t="s">
        <v>23</v>
      </c>
      <c r="AA2" s="44" t="s">
        <v>53</v>
      </c>
      <c r="AB2" s="44" t="s">
        <v>23</v>
      </c>
    </row>
    <row r="3" spans="1:32" s="2" customFormat="1" ht="84" customHeight="1" x14ac:dyDescent="0.3">
      <c r="A3" s="3">
        <v>1</v>
      </c>
      <c r="B3" s="4">
        <v>46171621</v>
      </c>
      <c r="C3" s="5" t="s">
        <v>8</v>
      </c>
      <c r="D3" s="6">
        <v>16</v>
      </c>
      <c r="E3" s="7" t="s">
        <v>9</v>
      </c>
      <c r="F3" s="20">
        <v>150000</v>
      </c>
      <c r="G3" s="15">
        <f>+F3*10%</f>
        <v>15000</v>
      </c>
      <c r="H3" s="15">
        <f>+G3*19%</f>
        <v>2850</v>
      </c>
      <c r="I3" s="15">
        <f>+F3+G3+H3</f>
        <v>167850</v>
      </c>
      <c r="J3" s="8">
        <f>+I3*$D3</f>
        <v>2685600</v>
      </c>
      <c r="K3" s="19">
        <v>41666.666666666664</v>
      </c>
      <c r="L3" s="16">
        <f>+K3*10%</f>
        <v>4166.666666666667</v>
      </c>
      <c r="M3" s="16">
        <f>+L3*19%</f>
        <v>791.66666666666674</v>
      </c>
      <c r="N3" s="16">
        <f>+K3+M3</f>
        <v>42458.333333333328</v>
      </c>
      <c r="O3" s="8">
        <f>+N3*$D3</f>
        <v>679333.33333333326</v>
      </c>
      <c r="P3" s="19">
        <v>389900</v>
      </c>
      <c r="Q3" s="16">
        <f>+P3*10%</f>
        <v>38990</v>
      </c>
      <c r="R3" s="16">
        <f>+Q3*19%</f>
        <v>7408.1</v>
      </c>
      <c r="S3" s="16">
        <f>+P3+R3</f>
        <v>397308.1</v>
      </c>
      <c r="T3" s="8">
        <f>+S3*$D3</f>
        <v>6356929.5999999996</v>
      </c>
      <c r="U3" s="16">
        <f>1630666.67/16</f>
        <v>101916.666875</v>
      </c>
      <c r="V3" s="19">
        <f t="shared" ref="V3:V10" si="0">(U3*(1+5.1%))</f>
        <v>107114.41688562499</v>
      </c>
      <c r="W3" s="16">
        <f>+V3*10%</f>
        <v>10711.4416885625</v>
      </c>
      <c r="X3" s="16">
        <f>+W3*19%</f>
        <v>2035.173920826875</v>
      </c>
      <c r="Y3" s="18">
        <f>+V3+X3</f>
        <v>109149.59080645186</v>
      </c>
      <c r="Z3" s="8">
        <f>+Y3*$D$3</f>
        <v>1746393.4529032297</v>
      </c>
      <c r="AA3" s="15">
        <f>MEDIAN($I3,$N3,$S3,$Y3)</f>
        <v>138499.79540322593</v>
      </c>
      <c r="AB3" s="8">
        <f>ROUND((AA3*$D3),0)</f>
        <v>2215997</v>
      </c>
      <c r="AC3" s="2">
        <v>138500</v>
      </c>
    </row>
    <row r="4" spans="1:32" s="2" customFormat="1" ht="39.6" x14ac:dyDescent="0.3">
      <c r="A4" s="3">
        <v>2</v>
      </c>
      <c r="B4" s="4">
        <v>46171621</v>
      </c>
      <c r="C4" s="9" t="s">
        <v>10</v>
      </c>
      <c r="D4" s="6">
        <v>16</v>
      </c>
      <c r="E4" s="7" t="s">
        <v>9</v>
      </c>
      <c r="F4" s="20">
        <v>15000</v>
      </c>
      <c r="G4" s="15">
        <f>+F4*10%</f>
        <v>1500</v>
      </c>
      <c r="H4" s="15">
        <f t="shared" ref="H4:H12" si="1">+G4*19%</f>
        <v>285</v>
      </c>
      <c r="I4" s="15">
        <f t="shared" ref="I4:I12" si="2">+F4+G4+H4</f>
        <v>16785</v>
      </c>
      <c r="J4" s="8">
        <f>+I4*$D4</f>
        <v>268560</v>
      </c>
      <c r="K4" s="19">
        <v>41666.666666666664</v>
      </c>
      <c r="L4" s="16">
        <f>+K4*10%</f>
        <v>4166.666666666667</v>
      </c>
      <c r="M4" s="16">
        <f t="shared" ref="M4:M12" si="3">+L4*19%</f>
        <v>791.66666666666674</v>
      </c>
      <c r="N4" s="16">
        <f t="shared" ref="N4:N12" si="4">+K4+M4</f>
        <v>42458.333333333328</v>
      </c>
      <c r="O4" s="8">
        <f>+N4*$D4</f>
        <v>679333.33333333326</v>
      </c>
      <c r="P4" s="19">
        <v>210000</v>
      </c>
      <c r="Q4" s="16">
        <f>+P4*10%</f>
        <v>21000</v>
      </c>
      <c r="R4" s="16">
        <f t="shared" ref="R4:R12" si="5">+Q4*19%</f>
        <v>3990</v>
      </c>
      <c r="S4" s="16">
        <f t="shared" ref="S4:S12" si="6">+P4+R4</f>
        <v>213990</v>
      </c>
      <c r="T4" s="8">
        <f>+S4*$D4</f>
        <v>3423840</v>
      </c>
      <c r="U4" s="16">
        <f>801000/16</f>
        <v>50062.5</v>
      </c>
      <c r="V4" s="19">
        <f t="shared" si="0"/>
        <v>52615.6875</v>
      </c>
      <c r="W4" s="16">
        <f t="shared" ref="W4:W10" si="7">+V4*10%</f>
        <v>5261.5687500000004</v>
      </c>
      <c r="X4" s="16">
        <f t="shared" ref="X4:X10" si="8">+W4*19%</f>
        <v>999.69806250000011</v>
      </c>
      <c r="Y4" s="18">
        <f>+V4+X4</f>
        <v>53615.3855625</v>
      </c>
      <c r="Z4" s="8">
        <f t="shared" ref="Z4:Z10" si="9">+Y4*D4</f>
        <v>857846.16899999999</v>
      </c>
      <c r="AA4" s="15">
        <f t="shared" ref="AA4:AA12" si="10">MEDIAN($I4,$N4,$S4,$Y4)</f>
        <v>48036.859447916664</v>
      </c>
      <c r="AB4" s="8">
        <f t="shared" ref="AB4:AB12" si="11">ROUND((AA4*$D4),0)</f>
        <v>768590</v>
      </c>
    </row>
    <row r="5" spans="1:32" s="2" customFormat="1" ht="39.6" x14ac:dyDescent="0.3">
      <c r="A5" s="3">
        <v>3</v>
      </c>
      <c r="B5" s="4">
        <v>46171621</v>
      </c>
      <c r="C5" s="9" t="s">
        <v>11</v>
      </c>
      <c r="D5" s="6">
        <v>2</v>
      </c>
      <c r="E5" s="7" t="s">
        <v>9</v>
      </c>
      <c r="F5" s="20">
        <v>20000</v>
      </c>
      <c r="G5" s="15">
        <f>+F5*10%</f>
        <v>2000</v>
      </c>
      <c r="H5" s="15">
        <f t="shared" si="1"/>
        <v>380</v>
      </c>
      <c r="I5" s="15">
        <f t="shared" si="2"/>
        <v>22380</v>
      </c>
      <c r="J5" s="8">
        <f t="shared" ref="J5:J12" si="12">+I5*$D5</f>
        <v>44760</v>
      </c>
      <c r="K5" s="19">
        <v>41666.666666666664</v>
      </c>
      <c r="L5" s="16">
        <f>+K5*10%</f>
        <v>4166.666666666667</v>
      </c>
      <c r="M5" s="16">
        <f t="shared" si="3"/>
        <v>791.66666666666674</v>
      </c>
      <c r="N5" s="16">
        <f t="shared" si="4"/>
        <v>42458.333333333328</v>
      </c>
      <c r="O5" s="8">
        <f t="shared" ref="O5:O12" si="13">+N5*$D5</f>
        <v>84916.666666666657</v>
      </c>
      <c r="P5" s="19">
        <v>167500</v>
      </c>
      <c r="Q5" s="16">
        <f>+P5*10%</f>
        <v>16750</v>
      </c>
      <c r="R5" s="16">
        <f t="shared" si="5"/>
        <v>3182.5</v>
      </c>
      <c r="S5" s="16">
        <f t="shared" si="6"/>
        <v>170682.5</v>
      </c>
      <c r="T5" s="8">
        <f t="shared" ref="T5:T12" si="14">+S5*$D5</f>
        <v>341365</v>
      </c>
      <c r="U5" s="16">
        <v>0</v>
      </c>
      <c r="V5" s="19"/>
      <c r="W5" s="16"/>
      <c r="X5" s="16"/>
      <c r="Y5" s="16"/>
      <c r="Z5" s="8"/>
      <c r="AA5" s="15">
        <f t="shared" si="10"/>
        <v>42458.333333333328</v>
      </c>
      <c r="AB5" s="8">
        <f t="shared" si="11"/>
        <v>84917</v>
      </c>
    </row>
    <row r="6" spans="1:32" s="2" customFormat="1" ht="145.19999999999999" x14ac:dyDescent="0.3">
      <c r="A6" s="3">
        <v>4</v>
      </c>
      <c r="B6" s="4">
        <v>46171621</v>
      </c>
      <c r="C6" s="5" t="s">
        <v>12</v>
      </c>
      <c r="D6" s="6">
        <v>2</v>
      </c>
      <c r="E6" s="7" t="s">
        <v>9</v>
      </c>
      <c r="F6" s="20">
        <v>165000</v>
      </c>
      <c r="G6" s="15">
        <f t="shared" ref="G6:G12" si="15">+F6*10%</f>
        <v>16500</v>
      </c>
      <c r="H6" s="15">
        <f t="shared" si="1"/>
        <v>3135</v>
      </c>
      <c r="I6" s="15">
        <f t="shared" si="2"/>
        <v>184635</v>
      </c>
      <c r="J6" s="8">
        <f t="shared" si="12"/>
        <v>369270</v>
      </c>
      <c r="K6" s="19">
        <v>208333.33333333334</v>
      </c>
      <c r="L6" s="16">
        <f t="shared" ref="L6:L12" si="16">+K6*10%</f>
        <v>20833.333333333336</v>
      </c>
      <c r="M6" s="16">
        <f t="shared" si="3"/>
        <v>3958.3333333333339</v>
      </c>
      <c r="N6" s="16">
        <f t="shared" si="4"/>
        <v>212291.66666666669</v>
      </c>
      <c r="O6" s="8">
        <f t="shared" si="13"/>
        <v>424583.33333333337</v>
      </c>
      <c r="P6" s="19">
        <v>635700</v>
      </c>
      <c r="Q6" s="16">
        <f t="shared" ref="Q6:Q12" si="17">+P6*10%</f>
        <v>63570</v>
      </c>
      <c r="R6" s="16">
        <f t="shared" si="5"/>
        <v>12078.3</v>
      </c>
      <c r="S6" s="16">
        <f t="shared" si="6"/>
        <v>647778.30000000005</v>
      </c>
      <c r="T6" s="8">
        <f t="shared" si="14"/>
        <v>1295556.6000000001</v>
      </c>
      <c r="U6" s="16">
        <f>116333.33</f>
        <v>116333.33</v>
      </c>
      <c r="V6" s="19">
        <f t="shared" si="0"/>
        <v>122266.32982999999</v>
      </c>
      <c r="W6" s="16">
        <f t="shared" si="7"/>
        <v>12226.632983</v>
      </c>
      <c r="X6" s="16">
        <f t="shared" si="8"/>
        <v>2323.06026677</v>
      </c>
      <c r="Y6" s="18">
        <f>+V6+X6</f>
        <v>124589.39009676999</v>
      </c>
      <c r="Z6" s="8">
        <f t="shared" si="9"/>
        <v>249178.78019353998</v>
      </c>
      <c r="AA6" s="15">
        <f t="shared" si="10"/>
        <v>198463.33333333334</v>
      </c>
      <c r="AB6" s="8">
        <f t="shared" si="11"/>
        <v>396927</v>
      </c>
    </row>
    <row r="7" spans="1:32" s="2" customFormat="1" x14ac:dyDescent="0.3">
      <c r="A7" s="3">
        <v>5</v>
      </c>
      <c r="B7" s="4">
        <v>46171621</v>
      </c>
      <c r="C7" s="9" t="s">
        <v>13</v>
      </c>
      <c r="D7" s="6">
        <v>2</v>
      </c>
      <c r="E7" s="7" t="s">
        <v>9</v>
      </c>
      <c r="F7" s="20">
        <v>12000</v>
      </c>
      <c r="G7" s="15">
        <f t="shared" si="15"/>
        <v>1200</v>
      </c>
      <c r="H7" s="15">
        <f t="shared" si="1"/>
        <v>228</v>
      </c>
      <c r="I7" s="15">
        <f t="shared" si="2"/>
        <v>13428</v>
      </c>
      <c r="J7" s="8">
        <f t="shared" si="12"/>
        <v>26856</v>
      </c>
      <c r="K7" s="19">
        <v>20833.333333333332</v>
      </c>
      <c r="L7" s="16">
        <f t="shared" si="16"/>
        <v>2083.3333333333335</v>
      </c>
      <c r="M7" s="16">
        <f t="shared" si="3"/>
        <v>395.83333333333337</v>
      </c>
      <c r="N7" s="16">
        <f t="shared" si="4"/>
        <v>21229.166666666664</v>
      </c>
      <c r="O7" s="8">
        <f t="shared" si="13"/>
        <v>42458.333333333328</v>
      </c>
      <c r="P7" s="19">
        <v>80000</v>
      </c>
      <c r="Q7" s="16">
        <f t="shared" si="17"/>
        <v>8000</v>
      </c>
      <c r="R7" s="16">
        <f t="shared" si="5"/>
        <v>1520</v>
      </c>
      <c r="S7" s="16">
        <f t="shared" si="6"/>
        <v>81520</v>
      </c>
      <c r="T7" s="8">
        <f t="shared" si="14"/>
        <v>163040</v>
      </c>
      <c r="U7" s="16">
        <f>184466.67/2</f>
        <v>92233.335000000006</v>
      </c>
      <c r="V7" s="19">
        <f t="shared" si="0"/>
        <v>96937.235085000008</v>
      </c>
      <c r="W7" s="16">
        <f t="shared" si="7"/>
        <v>9693.7235085000011</v>
      </c>
      <c r="X7" s="16">
        <f t="shared" si="8"/>
        <v>1841.8074666150003</v>
      </c>
      <c r="Y7" s="18">
        <f>+V7+X7</f>
        <v>98779.042551615014</v>
      </c>
      <c r="Z7" s="8">
        <f t="shared" si="9"/>
        <v>197558.08510323003</v>
      </c>
      <c r="AA7" s="15">
        <f t="shared" si="10"/>
        <v>51374.583333333328</v>
      </c>
      <c r="AB7" s="8">
        <f t="shared" si="11"/>
        <v>102749</v>
      </c>
    </row>
    <row r="8" spans="1:32" s="2" customFormat="1" ht="52.8" x14ac:dyDescent="0.3">
      <c r="A8" s="3">
        <v>6</v>
      </c>
      <c r="B8" s="4">
        <v>46171621</v>
      </c>
      <c r="C8" s="9" t="s">
        <v>14</v>
      </c>
      <c r="D8" s="6">
        <v>3</v>
      </c>
      <c r="E8" s="7" t="s">
        <v>9</v>
      </c>
      <c r="F8" s="20">
        <v>20000</v>
      </c>
      <c r="G8" s="15">
        <f t="shared" si="15"/>
        <v>2000</v>
      </c>
      <c r="H8" s="15">
        <f t="shared" si="1"/>
        <v>380</v>
      </c>
      <c r="I8" s="15">
        <f t="shared" si="2"/>
        <v>22380</v>
      </c>
      <c r="J8" s="8">
        <f t="shared" si="12"/>
        <v>67140</v>
      </c>
      <c r="K8" s="19">
        <v>125000</v>
      </c>
      <c r="L8" s="16">
        <f t="shared" si="16"/>
        <v>12500</v>
      </c>
      <c r="M8" s="16">
        <f t="shared" si="3"/>
        <v>2375</v>
      </c>
      <c r="N8" s="16">
        <f t="shared" si="4"/>
        <v>127375</v>
      </c>
      <c r="O8" s="8">
        <f t="shared" si="13"/>
        <v>382125</v>
      </c>
      <c r="P8" s="19">
        <v>230000</v>
      </c>
      <c r="Q8" s="16">
        <f t="shared" si="17"/>
        <v>23000</v>
      </c>
      <c r="R8" s="16">
        <f t="shared" si="5"/>
        <v>4370</v>
      </c>
      <c r="S8" s="16">
        <f t="shared" si="6"/>
        <v>234370</v>
      </c>
      <c r="T8" s="8">
        <f t="shared" si="14"/>
        <v>703110</v>
      </c>
      <c r="U8" s="16"/>
      <c r="V8" s="19"/>
      <c r="W8" s="16"/>
      <c r="X8" s="16"/>
      <c r="Y8" s="16"/>
      <c r="Z8" s="8"/>
      <c r="AA8" s="15">
        <f t="shared" si="10"/>
        <v>127375</v>
      </c>
      <c r="AB8" s="8">
        <f t="shared" si="11"/>
        <v>382125</v>
      </c>
    </row>
    <row r="9" spans="1:32" s="2" customFormat="1" ht="26.4" x14ac:dyDescent="0.3">
      <c r="A9" s="3">
        <v>7</v>
      </c>
      <c r="B9" s="4">
        <v>46171621</v>
      </c>
      <c r="C9" s="9" t="s">
        <v>15</v>
      </c>
      <c r="D9" s="6">
        <v>2</v>
      </c>
      <c r="E9" s="7" t="s">
        <v>9</v>
      </c>
      <c r="F9" s="20">
        <v>10000</v>
      </c>
      <c r="G9" s="15">
        <f t="shared" si="15"/>
        <v>1000</v>
      </c>
      <c r="H9" s="15">
        <f t="shared" si="1"/>
        <v>190</v>
      </c>
      <c r="I9" s="15">
        <f t="shared" si="2"/>
        <v>11190</v>
      </c>
      <c r="J9" s="8">
        <f t="shared" si="12"/>
        <v>22380</v>
      </c>
      <c r="K9" s="19">
        <v>50000</v>
      </c>
      <c r="L9" s="16">
        <f t="shared" si="16"/>
        <v>5000</v>
      </c>
      <c r="M9" s="16">
        <f t="shared" si="3"/>
        <v>950</v>
      </c>
      <c r="N9" s="16">
        <f t="shared" si="4"/>
        <v>50950</v>
      </c>
      <c r="O9" s="8">
        <f t="shared" si="13"/>
        <v>101900</v>
      </c>
      <c r="P9" s="19">
        <v>1600000</v>
      </c>
      <c r="Q9" s="16">
        <f t="shared" si="17"/>
        <v>160000</v>
      </c>
      <c r="R9" s="16">
        <f t="shared" si="5"/>
        <v>30400</v>
      </c>
      <c r="S9" s="16">
        <f t="shared" si="6"/>
        <v>1630400</v>
      </c>
      <c r="T9" s="8">
        <f t="shared" si="14"/>
        <v>3260800</v>
      </c>
      <c r="U9" s="16"/>
      <c r="V9" s="19"/>
      <c r="W9" s="16"/>
      <c r="X9" s="16"/>
      <c r="Y9" s="16"/>
      <c r="Z9" s="8"/>
      <c r="AA9" s="15">
        <f t="shared" si="10"/>
        <v>50950</v>
      </c>
      <c r="AB9" s="8">
        <f t="shared" si="11"/>
        <v>101900</v>
      </c>
    </row>
    <row r="10" spans="1:32" s="2" customFormat="1" ht="184.8" x14ac:dyDescent="0.3">
      <c r="A10" s="3">
        <v>8</v>
      </c>
      <c r="B10" s="4">
        <v>46171602</v>
      </c>
      <c r="C10" s="9" t="s">
        <v>16</v>
      </c>
      <c r="D10" s="6">
        <v>5</v>
      </c>
      <c r="E10" s="7" t="s">
        <v>9</v>
      </c>
      <c r="F10" s="20">
        <v>35000</v>
      </c>
      <c r="G10" s="15">
        <f t="shared" si="15"/>
        <v>3500</v>
      </c>
      <c r="H10" s="15">
        <f t="shared" si="1"/>
        <v>665</v>
      </c>
      <c r="I10" s="15">
        <f t="shared" si="2"/>
        <v>39165</v>
      </c>
      <c r="J10" s="8">
        <f t="shared" si="12"/>
        <v>195825</v>
      </c>
      <c r="K10" s="19">
        <v>166666.66666666666</v>
      </c>
      <c r="L10" s="16">
        <f t="shared" si="16"/>
        <v>16666.666666666668</v>
      </c>
      <c r="M10" s="16">
        <f t="shared" si="3"/>
        <v>3166.666666666667</v>
      </c>
      <c r="N10" s="16">
        <f t="shared" si="4"/>
        <v>169833.33333333331</v>
      </c>
      <c r="O10" s="8">
        <f t="shared" si="13"/>
        <v>849166.66666666651</v>
      </c>
      <c r="P10" s="19">
        <v>340000</v>
      </c>
      <c r="Q10" s="16">
        <f t="shared" si="17"/>
        <v>34000</v>
      </c>
      <c r="R10" s="16">
        <f t="shared" si="5"/>
        <v>6460</v>
      </c>
      <c r="S10" s="16">
        <f t="shared" si="6"/>
        <v>346460</v>
      </c>
      <c r="T10" s="8">
        <f t="shared" si="14"/>
        <v>1732300</v>
      </c>
      <c r="U10" s="16">
        <f>863666.67/4</f>
        <v>215916.66750000001</v>
      </c>
      <c r="V10" s="19">
        <f t="shared" si="0"/>
        <v>226928.41754249998</v>
      </c>
      <c r="W10" s="16">
        <f t="shared" si="7"/>
        <v>22692.841754249999</v>
      </c>
      <c r="X10" s="16">
        <f t="shared" si="8"/>
        <v>4311.6399333074996</v>
      </c>
      <c r="Y10" s="18">
        <f>+V10+X10</f>
        <v>231240.05747580749</v>
      </c>
      <c r="Z10" s="8">
        <f t="shared" si="9"/>
        <v>1156200.2873790376</v>
      </c>
      <c r="AA10" s="15">
        <f t="shared" si="10"/>
        <v>200536.6954045704</v>
      </c>
      <c r="AB10" s="8">
        <f t="shared" si="11"/>
        <v>1002683</v>
      </c>
    </row>
    <row r="11" spans="1:32" s="2" customFormat="1" ht="211.2" x14ac:dyDescent="0.3">
      <c r="A11" s="3">
        <v>9</v>
      </c>
      <c r="B11" s="4">
        <v>81112401</v>
      </c>
      <c r="C11" s="9" t="s">
        <v>17</v>
      </c>
      <c r="D11" s="6">
        <v>2</v>
      </c>
      <c r="E11" s="7" t="s">
        <v>9</v>
      </c>
      <c r="F11" s="20">
        <v>25000</v>
      </c>
      <c r="G11" s="15">
        <f t="shared" si="15"/>
        <v>2500</v>
      </c>
      <c r="H11" s="15">
        <f t="shared" si="1"/>
        <v>475</v>
      </c>
      <c r="I11" s="15">
        <f t="shared" si="2"/>
        <v>27975</v>
      </c>
      <c r="J11" s="8">
        <f t="shared" si="12"/>
        <v>55950</v>
      </c>
      <c r="K11" s="19">
        <v>233333.33333333334</v>
      </c>
      <c r="L11" s="16">
        <f t="shared" si="16"/>
        <v>23333.333333333336</v>
      </c>
      <c r="M11" s="16">
        <f t="shared" si="3"/>
        <v>4433.3333333333339</v>
      </c>
      <c r="N11" s="16">
        <f t="shared" si="4"/>
        <v>237766.66666666669</v>
      </c>
      <c r="O11" s="8">
        <f t="shared" si="13"/>
        <v>475533.33333333337</v>
      </c>
      <c r="P11" s="19">
        <v>385900</v>
      </c>
      <c r="Q11" s="16">
        <f t="shared" si="17"/>
        <v>38590</v>
      </c>
      <c r="R11" s="16">
        <f t="shared" si="5"/>
        <v>7332.1</v>
      </c>
      <c r="S11" s="16">
        <f t="shared" si="6"/>
        <v>393232.1</v>
      </c>
      <c r="T11" s="8">
        <f t="shared" si="14"/>
        <v>786464.2</v>
      </c>
      <c r="U11" s="16"/>
      <c r="V11" s="19"/>
      <c r="W11" s="16"/>
      <c r="X11" s="16"/>
      <c r="Y11" s="16"/>
      <c r="Z11" s="8"/>
      <c r="AA11" s="15">
        <f t="shared" si="10"/>
        <v>237766.66666666669</v>
      </c>
      <c r="AB11" s="8">
        <f t="shared" si="11"/>
        <v>475533</v>
      </c>
    </row>
    <row r="12" spans="1:32" s="2" customFormat="1" ht="66" x14ac:dyDescent="0.3">
      <c r="A12" s="3">
        <v>10</v>
      </c>
      <c r="B12" s="4">
        <v>46171500</v>
      </c>
      <c r="C12" s="9" t="s">
        <v>18</v>
      </c>
      <c r="D12" s="6">
        <v>1</v>
      </c>
      <c r="E12" s="7" t="s">
        <v>19</v>
      </c>
      <c r="F12" s="20">
        <v>85000</v>
      </c>
      <c r="G12" s="15">
        <f t="shared" si="15"/>
        <v>8500</v>
      </c>
      <c r="H12" s="15">
        <f t="shared" si="1"/>
        <v>1615</v>
      </c>
      <c r="I12" s="15">
        <f t="shared" si="2"/>
        <v>95115</v>
      </c>
      <c r="J12" s="8">
        <f t="shared" si="12"/>
        <v>95115</v>
      </c>
      <c r="K12" s="19">
        <v>41666.666666666664</v>
      </c>
      <c r="L12" s="16">
        <f t="shared" si="16"/>
        <v>4166.666666666667</v>
      </c>
      <c r="M12" s="16">
        <f t="shared" si="3"/>
        <v>791.66666666666674</v>
      </c>
      <c r="N12" s="16">
        <f t="shared" si="4"/>
        <v>42458.333333333328</v>
      </c>
      <c r="O12" s="8">
        <f t="shared" si="13"/>
        <v>42458.333333333328</v>
      </c>
      <c r="P12" s="19">
        <v>670000</v>
      </c>
      <c r="Q12" s="16">
        <f t="shared" si="17"/>
        <v>67000</v>
      </c>
      <c r="R12" s="16">
        <f t="shared" si="5"/>
        <v>12730</v>
      </c>
      <c r="S12" s="16">
        <f t="shared" si="6"/>
        <v>682730</v>
      </c>
      <c r="T12" s="8">
        <f t="shared" si="14"/>
        <v>682730</v>
      </c>
      <c r="U12" s="16"/>
      <c r="V12" s="19"/>
      <c r="W12" s="16"/>
      <c r="X12" s="16"/>
      <c r="Y12" s="16"/>
      <c r="Z12" s="8"/>
      <c r="AA12" s="15">
        <f t="shared" si="10"/>
        <v>95115</v>
      </c>
      <c r="AB12" s="8">
        <f t="shared" si="11"/>
        <v>95115</v>
      </c>
    </row>
    <row r="13" spans="1:32" s="1" customFormat="1" ht="27.6" customHeight="1" x14ac:dyDescent="0.3">
      <c r="A13" s="12"/>
      <c r="B13" s="13"/>
      <c r="C13" s="13"/>
      <c r="D13" s="13"/>
      <c r="E13" s="13"/>
      <c r="F13" s="58" t="s">
        <v>20</v>
      </c>
      <c r="G13" s="59"/>
      <c r="H13" s="59"/>
      <c r="I13" s="60"/>
      <c r="J13" s="14">
        <f>SUM(J3:J12)</f>
        <v>3831456</v>
      </c>
      <c r="K13" s="58" t="s">
        <v>20</v>
      </c>
      <c r="L13" s="59"/>
      <c r="M13" s="59"/>
      <c r="N13" s="60"/>
      <c r="O13" s="10">
        <f>SUM(O3:O12)</f>
        <v>3761808.3333333335</v>
      </c>
      <c r="P13" s="58" t="s">
        <v>20</v>
      </c>
      <c r="Q13" s="59"/>
      <c r="R13" s="59"/>
      <c r="S13" s="60"/>
      <c r="T13" s="45">
        <f>SUM(T3:T12)</f>
        <v>18746135.399999999</v>
      </c>
      <c r="U13" s="50" t="s">
        <v>20</v>
      </c>
      <c r="V13" s="50"/>
      <c r="W13" s="50"/>
      <c r="X13" s="50"/>
      <c r="Y13" s="50"/>
      <c r="Z13" s="50"/>
      <c r="AA13" s="50"/>
      <c r="AB13" s="10">
        <f>ROUND(AB3+AB4+AB5+AB6+AB7+AB8+AB9+AB10+AB11+AB12,0)</f>
        <v>5626536</v>
      </c>
      <c r="AD13" s="2"/>
      <c r="AE13" s="2"/>
      <c r="AF13" s="2"/>
    </row>
    <row r="14" spans="1:32" ht="22.8" customHeight="1" x14ac:dyDescent="0.3">
      <c r="U14" s="50" t="s">
        <v>69</v>
      </c>
      <c r="V14" s="50"/>
      <c r="W14" s="50"/>
      <c r="X14" s="50"/>
      <c r="Y14" s="50"/>
      <c r="Z14" s="50"/>
      <c r="AA14" s="50"/>
      <c r="AB14" s="10">
        <f>+AB13*6</f>
        <v>33759216</v>
      </c>
      <c r="AD14" s="2"/>
      <c r="AE14" s="2"/>
      <c r="AF14" s="2"/>
    </row>
    <row r="15" spans="1:32" x14ac:dyDescent="0.3">
      <c r="AD15" s="2"/>
      <c r="AE15" s="2"/>
      <c r="AF15" s="2"/>
    </row>
    <row r="16" spans="1:32" x14ac:dyDescent="0.3">
      <c r="AD16" s="2"/>
      <c r="AE16" s="2"/>
      <c r="AF16" s="2"/>
    </row>
    <row r="17" spans="30:32" x14ac:dyDescent="0.3">
      <c r="AD17" s="2"/>
      <c r="AE17" s="2"/>
      <c r="AF17" s="2"/>
    </row>
    <row r="18" spans="30:32" x14ac:dyDescent="0.3">
      <c r="AD18" s="2"/>
      <c r="AE18" s="2"/>
      <c r="AF18" s="2"/>
    </row>
    <row r="19" spans="30:32" x14ac:dyDescent="0.3">
      <c r="AD19" s="2"/>
      <c r="AE19" s="2"/>
      <c r="AF19" s="2"/>
    </row>
    <row r="20" spans="30:32" x14ac:dyDescent="0.3">
      <c r="AD20" s="2"/>
      <c r="AE20" s="2"/>
      <c r="AF20" s="2"/>
    </row>
    <row r="21" spans="30:32" x14ac:dyDescent="0.3">
      <c r="AD21" s="2"/>
      <c r="AE21" s="2"/>
      <c r="AF21" s="2"/>
    </row>
    <row r="22" spans="30:32" x14ac:dyDescent="0.3">
      <c r="AD22" s="2"/>
      <c r="AE22" s="2"/>
      <c r="AF22" s="2"/>
    </row>
    <row r="23" spans="30:32" x14ac:dyDescent="0.3">
      <c r="AD23" s="2"/>
      <c r="AE23" s="2"/>
      <c r="AF23" s="2"/>
    </row>
    <row r="24" spans="30:32" x14ac:dyDescent="0.3">
      <c r="AD24" s="2"/>
      <c r="AE24" s="2"/>
      <c r="AF24" s="2"/>
    </row>
    <row r="25" spans="30:32" x14ac:dyDescent="0.3">
      <c r="AD25" s="2"/>
      <c r="AE25" s="2"/>
      <c r="AF25" s="2"/>
    </row>
    <row r="26" spans="30:32" x14ac:dyDescent="0.3">
      <c r="AD26" s="2"/>
      <c r="AE26" s="2"/>
      <c r="AF26" s="2"/>
    </row>
    <row r="27" spans="30:32" x14ac:dyDescent="0.3">
      <c r="AD27" s="2"/>
      <c r="AE27" s="2"/>
      <c r="AF27" s="2"/>
    </row>
    <row r="28" spans="30:32" x14ac:dyDescent="0.3">
      <c r="AD28" s="2"/>
      <c r="AE28" s="2"/>
      <c r="AF28" s="2"/>
    </row>
    <row r="29" spans="30:32" x14ac:dyDescent="0.3">
      <c r="AD29" s="2"/>
      <c r="AE29" s="2"/>
      <c r="AF29" s="2"/>
    </row>
    <row r="30" spans="30:32" x14ac:dyDescent="0.3">
      <c r="AD30" s="2"/>
      <c r="AE30" s="2"/>
      <c r="AF30" s="2"/>
    </row>
    <row r="31" spans="30:32" x14ac:dyDescent="0.3">
      <c r="AD31" s="2"/>
      <c r="AE31" s="2"/>
      <c r="AF31" s="2"/>
    </row>
    <row r="32" spans="30:32" x14ac:dyDescent="0.3">
      <c r="AD32" s="2"/>
      <c r="AE32" s="2"/>
      <c r="AF32" s="2"/>
    </row>
    <row r="33" spans="30:32" x14ac:dyDescent="0.3">
      <c r="AD33" s="2"/>
      <c r="AE33" s="2"/>
      <c r="AF33" s="2"/>
    </row>
    <row r="34" spans="30:32" x14ac:dyDescent="0.3">
      <c r="AD34" s="2"/>
      <c r="AE34" s="2"/>
      <c r="AF34" s="2"/>
    </row>
    <row r="35" spans="30:32" x14ac:dyDescent="0.3">
      <c r="AD35" s="2"/>
      <c r="AE35" s="2"/>
      <c r="AF35" s="2"/>
    </row>
    <row r="36" spans="30:32" x14ac:dyDescent="0.3">
      <c r="AD36" s="2"/>
      <c r="AE36" s="2"/>
      <c r="AF36" s="2"/>
    </row>
    <row r="37" spans="30:32" x14ac:dyDescent="0.3">
      <c r="AD37" s="2"/>
      <c r="AE37" s="2"/>
      <c r="AF37" s="2"/>
    </row>
    <row r="38" spans="30:32" x14ac:dyDescent="0.3">
      <c r="AD38" s="2"/>
      <c r="AE38" s="2"/>
      <c r="AF38" s="2"/>
    </row>
    <row r="39" spans="30:32" x14ac:dyDescent="0.3">
      <c r="AD39" s="2"/>
      <c r="AE39" s="2"/>
      <c r="AF39" s="2"/>
    </row>
    <row r="40" spans="30:32" x14ac:dyDescent="0.3">
      <c r="AD40" s="2"/>
      <c r="AE40" s="2"/>
      <c r="AF40" s="2"/>
    </row>
    <row r="41" spans="30:32" x14ac:dyDescent="0.3">
      <c r="AD41" s="2"/>
      <c r="AE41" s="2"/>
      <c r="AF41" s="2"/>
    </row>
    <row r="42" spans="30:32" x14ac:dyDescent="0.3">
      <c r="AD42" s="2"/>
      <c r="AE42" s="2"/>
      <c r="AF42" s="2"/>
    </row>
    <row r="43" spans="30:32" x14ac:dyDescent="0.3">
      <c r="AD43" s="2"/>
      <c r="AE43" s="2"/>
      <c r="AF43" s="2"/>
    </row>
    <row r="44" spans="30:32" x14ac:dyDescent="0.3">
      <c r="AD44" s="2"/>
      <c r="AE44" s="2"/>
      <c r="AF44" s="2"/>
    </row>
    <row r="45" spans="30:32" x14ac:dyDescent="0.3">
      <c r="AD45" s="2"/>
      <c r="AE45" s="2"/>
      <c r="AF45" s="2"/>
    </row>
    <row r="46" spans="30:32" x14ac:dyDescent="0.3">
      <c r="AD46" s="2"/>
      <c r="AE46" s="2"/>
      <c r="AF46" s="2"/>
    </row>
    <row r="47" spans="30:32" x14ac:dyDescent="0.3">
      <c r="AD47" s="2"/>
      <c r="AE47" s="2"/>
      <c r="AF47" s="2"/>
    </row>
  </sheetData>
  <mergeCells count="10">
    <mergeCell ref="U14:AA14"/>
    <mergeCell ref="U1:Z1"/>
    <mergeCell ref="F1:J1"/>
    <mergeCell ref="U13:AA13"/>
    <mergeCell ref="A1:E1"/>
    <mergeCell ref="K1:O1"/>
    <mergeCell ref="P1:T1"/>
    <mergeCell ref="K13:N13"/>
    <mergeCell ref="F13:I13"/>
    <mergeCell ref="P13:S13"/>
  </mergeCells>
  <pageMargins left="0.25" right="0.25" top="0.75" bottom="0.75" header="0.3" footer="0.3"/>
  <pageSetup paperSize="3"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FÍSICA</vt:lpstr>
      <vt:lpstr>MEDIOS TECNOLÓGICOS</vt:lpstr>
      <vt:lpstr>FÍSICA!Área_de_impresión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Vanegas</dc:creator>
  <cp:lastModifiedBy>Laura Vanegas</cp:lastModifiedBy>
  <cp:lastPrinted>2026-06-16T12:51:49Z</cp:lastPrinted>
  <dcterms:created xsi:type="dcterms:W3CDTF">2026-06-04T21:36:31Z</dcterms:created>
  <dcterms:modified xsi:type="dcterms:W3CDTF">2026-06-16T14:39:44Z</dcterms:modified>
</cp:coreProperties>
</file>