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53FDCC4-1C2C-4EF3-8605-3B59F74F7E5C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CUADRO SERVICIOS" sheetId="1" state="hidden" r:id="rId1"/>
    <sheet name="mayo 2026" sheetId="12" r:id="rId2"/>
    <sheet name="mayo 2026 (2)" sheetId="13" state="hidden" r:id="rId3"/>
    <sheet name="TOTAL FACTURA JULIO" sheetId="11" state="hidden" r:id="rId4"/>
    <sheet name="Copia de AGOSTO 2024" sheetId="2" state="hidden" r:id="rId5"/>
    <sheet name="Tabla dinámica 1" sheetId="3" state="hidden" r:id="rId6"/>
    <sheet name="Hoja 2" sheetId="4" state="hidden" r:id="rId7"/>
    <sheet name="Copia de NOVIEMBRE 2023" sheetId="5" state="hidden" r:id="rId8"/>
    <sheet name="JULIO 2023 del 15-31" sheetId="6" state="hidden" r:id="rId9"/>
    <sheet name="AGOSTO 2023 (2)" sheetId="7" state="hidden" r:id="rId10"/>
    <sheet name="ABRIL 2024 (2)" sheetId="8" state="hidden" r:id="rId11"/>
    <sheet name="JUNIO 2024 (2)" sheetId="9" state="hidden" r:id="rId12"/>
  </sheets>
  <externalReferences>
    <externalReference r:id="rId13"/>
  </externalReferences>
  <definedNames>
    <definedName name="_xlnm._FilterDatabase" localSheetId="10" hidden="1">'ABRIL 2024 (2)'!$F$1:$S$87</definedName>
    <definedName name="_xlnm._FilterDatabase" localSheetId="9" hidden="1">'AGOSTO 2023 (2)'!$H$8:$N$94</definedName>
    <definedName name="_xlnm._FilterDatabase" localSheetId="4" hidden="1">'Copia de AGOSTO 2024'!$A$1:$L$74</definedName>
    <definedName name="_xlnm._FilterDatabase" localSheetId="7" hidden="1">'Copia de NOVIEMBRE 2023'!$H$8:$N$94</definedName>
    <definedName name="_xlnm._FilterDatabase" localSheetId="0" hidden="1">'CUADRO SERVICIOS'!$A$2:$P$59</definedName>
    <definedName name="_xlnm._FilterDatabase" localSheetId="8" hidden="1">'JULIO 2023 del 15-31'!$E$8:$W$93</definedName>
    <definedName name="_xlnm._FilterDatabase" localSheetId="11" hidden="1">'JUNIO 2024 (2)'!$A$1:$E$87</definedName>
    <definedName name="_xlnm._FilterDatabase" localSheetId="1" hidden="1">'mayo 2026'!$A$2:$P$54</definedName>
    <definedName name="_xlnm._FilterDatabase" localSheetId="2" hidden="1">'mayo 2026 (2)'!$A$2:$R$54</definedName>
    <definedName name="_xlnm._FilterDatabase" localSheetId="3" hidden="1">'TOTAL FACTURA JULIO'!$A$2:$M$59</definedName>
  </definedNames>
  <calcPr calcId="191029"/>
  <pivotCaches>
    <pivotCache cacheId="22" r:id="rId1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5" roundtripDataChecksum="ZtUbJFsRuJMyHRZ4DdoVS4t8TsU8blgI/jL01KG/d/M="/>
    </ext>
  </extLst>
</workbook>
</file>

<file path=xl/calcChain.xml><?xml version="1.0" encoding="utf-8"?>
<calcChain xmlns="http://schemas.openxmlformats.org/spreadsheetml/2006/main">
  <c r="O89" i="13" l="1"/>
  <c r="N89" i="13"/>
  <c r="O78" i="13"/>
  <c r="N78" i="13"/>
  <c r="P76" i="13"/>
  <c r="I73" i="13"/>
  <c r="J72" i="13"/>
  <c r="N71" i="13"/>
  <c r="O71" i="13" s="1"/>
  <c r="K71" i="13"/>
  <c r="J71" i="13"/>
  <c r="L71" i="13" s="1"/>
  <c r="M71" i="13" s="1"/>
  <c r="J70" i="13"/>
  <c r="K70" i="13" s="1"/>
  <c r="M64" i="13"/>
  <c r="M63" i="13"/>
  <c r="S54" i="13"/>
  <c r="J53" i="13"/>
  <c r="J52" i="13"/>
  <c r="J51" i="13"/>
  <c r="J50" i="13"/>
  <c r="J49" i="13"/>
  <c r="J48" i="13"/>
  <c r="J47" i="13"/>
  <c r="J46" i="13"/>
  <c r="J45" i="13"/>
  <c r="J44" i="13"/>
  <c r="J43" i="13"/>
  <c r="I43" i="13"/>
  <c r="K42" i="13"/>
  <c r="L42" i="13" s="1"/>
  <c r="M42" i="13" s="1"/>
  <c r="N42" i="13" s="1"/>
  <c r="O42" i="13" s="1"/>
  <c r="J42" i="13"/>
  <c r="P41" i="13"/>
  <c r="R41" i="13" s="1"/>
  <c r="K41" i="13"/>
  <c r="L41" i="13" s="1"/>
  <c r="M41" i="13" s="1"/>
  <c r="N41" i="13" s="1"/>
  <c r="O41" i="13" s="1"/>
  <c r="J41" i="13"/>
  <c r="K40" i="13"/>
  <c r="L40" i="13" s="1"/>
  <c r="M40" i="13" s="1"/>
  <c r="N40" i="13" s="1"/>
  <c r="O40" i="13" s="1"/>
  <c r="J40" i="13"/>
  <c r="K39" i="13"/>
  <c r="L39" i="13" s="1"/>
  <c r="M39" i="13" s="1"/>
  <c r="N39" i="13" s="1"/>
  <c r="O39" i="13" s="1"/>
  <c r="J39" i="13"/>
  <c r="I39" i="13"/>
  <c r="J38" i="13"/>
  <c r="K38" i="13" s="1"/>
  <c r="L38" i="13" s="1"/>
  <c r="M38" i="13" s="1"/>
  <c r="J37" i="13"/>
  <c r="K37" i="13" s="1"/>
  <c r="L37" i="13" s="1"/>
  <c r="M37" i="13" s="1"/>
  <c r="I37" i="13"/>
  <c r="J36" i="13"/>
  <c r="J35" i="13"/>
  <c r="J34" i="13"/>
  <c r="J33" i="13"/>
  <c r="I33" i="13"/>
  <c r="I54" i="13" s="1"/>
  <c r="K32" i="13"/>
  <c r="L32" i="13" s="1"/>
  <c r="M32" i="13" s="1"/>
  <c r="J32" i="13"/>
  <c r="N31" i="13"/>
  <c r="O31" i="13" s="1"/>
  <c r="K31" i="13"/>
  <c r="L31" i="13" s="1"/>
  <c r="M31" i="13" s="1"/>
  <c r="J31" i="13"/>
  <c r="I31" i="13"/>
  <c r="L30" i="13"/>
  <c r="M30" i="13" s="1"/>
  <c r="K30" i="13"/>
  <c r="J30" i="13"/>
  <c r="L29" i="13"/>
  <c r="M29" i="13" s="1"/>
  <c r="K29" i="13"/>
  <c r="J29" i="13"/>
  <c r="L28" i="13"/>
  <c r="M28" i="13" s="1"/>
  <c r="K28" i="13"/>
  <c r="J28" i="13"/>
  <c r="M27" i="13"/>
  <c r="L27" i="13"/>
  <c r="K27" i="13"/>
  <c r="J27" i="13"/>
  <c r="L26" i="13"/>
  <c r="M26" i="13" s="1"/>
  <c r="K26" i="13"/>
  <c r="J26" i="13"/>
  <c r="L25" i="13"/>
  <c r="M25" i="13" s="1"/>
  <c r="K25" i="13"/>
  <c r="J25" i="13"/>
  <c r="L24" i="13"/>
  <c r="M24" i="13" s="1"/>
  <c r="K24" i="13"/>
  <c r="J24" i="13"/>
  <c r="K23" i="13"/>
  <c r="L23" i="13" s="1"/>
  <c r="M23" i="13" s="1"/>
  <c r="J23" i="13"/>
  <c r="K22" i="13"/>
  <c r="L22" i="13" s="1"/>
  <c r="M22" i="13" s="1"/>
  <c r="J22" i="13"/>
  <c r="K21" i="13"/>
  <c r="L21" i="13" s="1"/>
  <c r="M21" i="13" s="1"/>
  <c r="J21" i="13"/>
  <c r="L20" i="13"/>
  <c r="M20" i="13" s="1"/>
  <c r="K20" i="13"/>
  <c r="J20" i="13"/>
  <c r="K19" i="13"/>
  <c r="L19" i="13" s="1"/>
  <c r="M19" i="13" s="1"/>
  <c r="J19" i="13"/>
  <c r="K18" i="13"/>
  <c r="L18" i="13" s="1"/>
  <c r="M18" i="13" s="1"/>
  <c r="J18" i="13"/>
  <c r="K17" i="13"/>
  <c r="L17" i="13" s="1"/>
  <c r="M17" i="13" s="1"/>
  <c r="J17" i="13"/>
  <c r="L16" i="13"/>
  <c r="M16" i="13" s="1"/>
  <c r="K16" i="13"/>
  <c r="J16" i="13"/>
  <c r="K15" i="13"/>
  <c r="L15" i="13" s="1"/>
  <c r="M15" i="13" s="1"/>
  <c r="J15" i="13"/>
  <c r="K14" i="13"/>
  <c r="L14" i="13" s="1"/>
  <c r="M14" i="13" s="1"/>
  <c r="J14" i="13"/>
  <c r="K13" i="13"/>
  <c r="L13" i="13" s="1"/>
  <c r="M13" i="13" s="1"/>
  <c r="J13" i="13"/>
  <c r="L12" i="13"/>
  <c r="M12" i="13" s="1"/>
  <c r="K12" i="13"/>
  <c r="J12" i="13"/>
  <c r="K11" i="13"/>
  <c r="L11" i="13" s="1"/>
  <c r="M11" i="13" s="1"/>
  <c r="J11" i="13"/>
  <c r="K10" i="13"/>
  <c r="L10" i="13" s="1"/>
  <c r="M10" i="13" s="1"/>
  <c r="J10" i="13"/>
  <c r="K9" i="13"/>
  <c r="L9" i="13" s="1"/>
  <c r="M9" i="13" s="1"/>
  <c r="J9" i="13"/>
  <c r="L8" i="13"/>
  <c r="M8" i="13" s="1"/>
  <c r="K8" i="13"/>
  <c r="J8" i="13"/>
  <c r="K7" i="13"/>
  <c r="L7" i="13" s="1"/>
  <c r="M7" i="13" s="1"/>
  <c r="J7" i="13"/>
  <c r="K6" i="13"/>
  <c r="L6" i="13" s="1"/>
  <c r="M6" i="13" s="1"/>
  <c r="J6" i="13"/>
  <c r="K5" i="13"/>
  <c r="L5" i="13" s="1"/>
  <c r="M5" i="13" s="1"/>
  <c r="J5" i="13"/>
  <c r="L4" i="13"/>
  <c r="M4" i="13" s="1"/>
  <c r="K4" i="13"/>
  <c r="J4" i="13"/>
  <c r="J3" i="13"/>
  <c r="J54" i="13" s="1"/>
  <c r="N4" i="13" l="1"/>
  <c r="O4" i="13" s="1"/>
  <c r="P4" i="13" s="1"/>
  <c r="Q4" i="13" s="1"/>
  <c r="P15" i="13"/>
  <c r="Q15" i="13" s="1"/>
  <c r="N15" i="13"/>
  <c r="O15" i="13" s="1"/>
  <c r="N22" i="13"/>
  <c r="O22" i="13" s="1"/>
  <c r="P22" i="13" s="1"/>
  <c r="R22" i="13" s="1"/>
  <c r="P25" i="13"/>
  <c r="Q25" i="13" s="1"/>
  <c r="N25" i="13"/>
  <c r="O25" i="13" s="1"/>
  <c r="N30" i="13"/>
  <c r="O30" i="13" s="1"/>
  <c r="P30" i="13" s="1"/>
  <c r="R30" i="13" s="1"/>
  <c r="P8" i="13"/>
  <c r="Q8" i="13" s="1"/>
  <c r="N8" i="13"/>
  <c r="O8" i="13" s="1"/>
  <c r="N19" i="13"/>
  <c r="O19" i="13" s="1"/>
  <c r="P19" i="13" s="1"/>
  <c r="R19" i="13" s="1"/>
  <c r="P5" i="13"/>
  <c r="Q5" i="13" s="1"/>
  <c r="N5" i="13"/>
  <c r="O5" i="13" s="1"/>
  <c r="N12" i="13"/>
  <c r="O12" i="13" s="1"/>
  <c r="P12" i="13" s="1"/>
  <c r="Q12" i="13" s="1"/>
  <c r="P23" i="13"/>
  <c r="R23" i="13" s="1"/>
  <c r="N23" i="13"/>
  <c r="O23" i="13" s="1"/>
  <c r="N28" i="13"/>
  <c r="O28" i="13" s="1"/>
  <c r="P28" i="13" s="1"/>
  <c r="Q28" i="13" s="1"/>
  <c r="P9" i="13"/>
  <c r="Q9" i="13" s="1"/>
  <c r="N9" i="13"/>
  <c r="O9" i="13" s="1"/>
  <c r="N16" i="13"/>
  <c r="O16" i="13" s="1"/>
  <c r="P16" i="13" s="1"/>
  <c r="Q16" i="13" s="1"/>
  <c r="P26" i="13"/>
  <c r="Q26" i="13" s="1"/>
  <c r="N26" i="13"/>
  <c r="O26" i="13" s="1"/>
  <c r="N6" i="13"/>
  <c r="O6" i="13" s="1"/>
  <c r="P6" i="13" s="1"/>
  <c r="Q6" i="13" s="1"/>
  <c r="P13" i="13"/>
  <c r="Q13" i="13" s="1"/>
  <c r="N13" i="13"/>
  <c r="O13" i="13" s="1"/>
  <c r="N20" i="13"/>
  <c r="O20" i="13" s="1"/>
  <c r="P20" i="13" s="1"/>
  <c r="R20" i="13" s="1"/>
  <c r="P10" i="13"/>
  <c r="R10" i="13" s="1"/>
  <c r="N10" i="13"/>
  <c r="O10" i="13" s="1"/>
  <c r="N17" i="13"/>
  <c r="O17" i="13" s="1"/>
  <c r="P17" i="13" s="1"/>
  <c r="R17" i="13" s="1"/>
  <c r="P24" i="13"/>
  <c r="Q24" i="13" s="1"/>
  <c r="N24" i="13"/>
  <c r="O24" i="13" s="1"/>
  <c r="N29" i="13"/>
  <c r="O29" i="13" s="1"/>
  <c r="P29" i="13" s="1"/>
  <c r="R29" i="13" s="1"/>
  <c r="P37" i="13"/>
  <c r="Q37" i="13" s="1"/>
  <c r="N37" i="13"/>
  <c r="O37" i="13" s="1"/>
  <c r="N7" i="13"/>
  <c r="O7" i="13" s="1"/>
  <c r="P7" i="13" s="1"/>
  <c r="Q7" i="13" s="1"/>
  <c r="P14" i="13"/>
  <c r="Q14" i="13" s="1"/>
  <c r="N14" i="13"/>
  <c r="O14" i="13" s="1"/>
  <c r="N21" i="13"/>
  <c r="O21" i="13" s="1"/>
  <c r="P21" i="13" s="1"/>
  <c r="R21" i="13" s="1"/>
  <c r="P11" i="13"/>
  <c r="Q11" i="13" s="1"/>
  <c r="N11" i="13"/>
  <c r="O11" i="13" s="1"/>
  <c r="N18" i="13"/>
  <c r="O18" i="13" s="1"/>
  <c r="P18" i="13" s="1"/>
  <c r="R18" i="13" s="1"/>
  <c r="P27" i="13"/>
  <c r="Q27" i="13" s="1"/>
  <c r="N27" i="13"/>
  <c r="O27" i="13" s="1"/>
  <c r="K33" i="13"/>
  <c r="L33" i="13" s="1"/>
  <c r="M33" i="13" s="1"/>
  <c r="L45" i="13"/>
  <c r="M45" i="13" s="1"/>
  <c r="P39" i="13"/>
  <c r="R39" i="13" s="1"/>
  <c r="P71" i="13"/>
  <c r="P31" i="13"/>
  <c r="R31" i="13" s="1"/>
  <c r="K34" i="13"/>
  <c r="L34" i="13" s="1"/>
  <c r="M34" i="13" s="1"/>
  <c r="P42" i="13"/>
  <c r="R42" i="13" s="1"/>
  <c r="K35" i="13"/>
  <c r="L35" i="13" s="1"/>
  <c r="M35" i="13" s="1"/>
  <c r="N38" i="13"/>
  <c r="O38" i="13" s="1"/>
  <c r="P38" i="13" s="1"/>
  <c r="R38" i="13" s="1"/>
  <c r="P40" i="13"/>
  <c r="R40" i="13" s="1"/>
  <c r="K3" i="13"/>
  <c r="L3" i="13" s="1"/>
  <c r="N32" i="13"/>
  <c r="O32" i="13" s="1"/>
  <c r="P32" i="13" s="1"/>
  <c r="R32" i="13" s="1"/>
  <c r="L36" i="13"/>
  <c r="M36" i="13" s="1"/>
  <c r="K36" i="13"/>
  <c r="L44" i="13"/>
  <c r="M44" i="13" s="1"/>
  <c r="L48" i="13"/>
  <c r="M48" i="13" s="1"/>
  <c r="L52" i="13"/>
  <c r="M52" i="13" s="1"/>
  <c r="L70" i="13"/>
  <c r="J73" i="13"/>
  <c r="K43" i="13"/>
  <c r="L43" i="13" s="1"/>
  <c r="M43" i="13" s="1"/>
  <c r="K44" i="13"/>
  <c r="K45" i="13"/>
  <c r="K46" i="13"/>
  <c r="L46" i="13" s="1"/>
  <c r="M46" i="13" s="1"/>
  <c r="K47" i="13"/>
  <c r="L47" i="13" s="1"/>
  <c r="M47" i="13" s="1"/>
  <c r="K48" i="13"/>
  <c r="K49" i="13"/>
  <c r="L49" i="13" s="1"/>
  <c r="M49" i="13" s="1"/>
  <c r="K50" i="13"/>
  <c r="L50" i="13" s="1"/>
  <c r="M50" i="13" s="1"/>
  <c r="K51" i="13"/>
  <c r="L51" i="13" s="1"/>
  <c r="M51" i="13" s="1"/>
  <c r="K52" i="13"/>
  <c r="K53" i="13"/>
  <c r="L53" i="13" s="1"/>
  <c r="M53" i="13" s="1"/>
  <c r="K72" i="13"/>
  <c r="L72" i="13" s="1"/>
  <c r="M72" i="13" s="1"/>
  <c r="N47" i="13" l="1"/>
  <c r="O47" i="13" s="1"/>
  <c r="P47" i="13"/>
  <c r="R47" i="13" s="1"/>
  <c r="P35" i="13"/>
  <c r="Q35" i="13" s="1"/>
  <c r="N35" i="13"/>
  <c r="O35" i="13" s="1"/>
  <c r="N72" i="13"/>
  <c r="O72" i="13" s="1"/>
  <c r="P72" i="13"/>
  <c r="N46" i="13"/>
  <c r="O46" i="13" s="1"/>
  <c r="P46" i="13" s="1"/>
  <c r="R46" i="13" s="1"/>
  <c r="N53" i="13"/>
  <c r="O53" i="13" s="1"/>
  <c r="P53" i="13"/>
  <c r="R53" i="13" s="1"/>
  <c r="P34" i="13"/>
  <c r="Q34" i="13" s="1"/>
  <c r="N34" i="13"/>
  <c r="O34" i="13" s="1"/>
  <c r="N33" i="13"/>
  <c r="O33" i="13" s="1"/>
  <c r="P33" i="13" s="1"/>
  <c r="R33" i="13" s="1"/>
  <c r="N51" i="13"/>
  <c r="O51" i="13" s="1"/>
  <c r="P51" i="13" s="1"/>
  <c r="R51" i="13" s="1"/>
  <c r="N43" i="13"/>
  <c r="O43" i="13" s="1"/>
  <c r="P43" i="13"/>
  <c r="R43" i="13" s="1"/>
  <c r="N50" i="13"/>
  <c r="O50" i="13" s="1"/>
  <c r="P50" i="13" s="1"/>
  <c r="R50" i="13" s="1"/>
  <c r="L54" i="13"/>
  <c r="M3" i="13"/>
  <c r="N49" i="13"/>
  <c r="O49" i="13" s="1"/>
  <c r="P49" i="13" s="1"/>
  <c r="R49" i="13" s="1"/>
  <c r="K73" i="13"/>
  <c r="L73" i="13"/>
  <c r="M70" i="13"/>
  <c r="N52" i="13"/>
  <c r="O52" i="13" s="1"/>
  <c r="P52" i="13"/>
  <c r="R52" i="13" s="1"/>
  <c r="P36" i="13"/>
  <c r="Q36" i="13" s="1"/>
  <c r="N36" i="13"/>
  <c r="O36" i="13" s="1"/>
  <c r="K54" i="13"/>
  <c r="N48" i="13"/>
  <c r="O48" i="13" s="1"/>
  <c r="P48" i="13"/>
  <c r="R48" i="13" s="1"/>
  <c r="N44" i="13"/>
  <c r="O44" i="13" s="1"/>
  <c r="P44" i="13"/>
  <c r="R44" i="13" s="1"/>
  <c r="N45" i="13"/>
  <c r="O45" i="13" s="1"/>
  <c r="P45" i="13"/>
  <c r="R45" i="13" s="1"/>
  <c r="I33" i="12"/>
  <c r="R54" i="13" l="1"/>
  <c r="K80" i="13" s="1"/>
  <c r="M54" i="13"/>
  <c r="M57" i="13" s="1"/>
  <c r="N3" i="13"/>
  <c r="M73" i="13"/>
  <c r="L79" i="13" s="1"/>
  <c r="N70" i="13"/>
  <c r="I43" i="12"/>
  <c r="I39" i="12"/>
  <c r="I37" i="12"/>
  <c r="I31" i="12"/>
  <c r="M80" i="13" l="1"/>
  <c r="K91" i="13"/>
  <c r="N73" i="13"/>
  <c r="O70" i="13"/>
  <c r="L90" i="13"/>
  <c r="O79" i="13"/>
  <c r="O81" i="13" s="1"/>
  <c r="L81" i="13"/>
  <c r="O3" i="13"/>
  <c r="N54" i="13"/>
  <c r="L82" i="13" l="1"/>
  <c r="L83" i="13"/>
  <c r="M91" i="13"/>
  <c r="O54" i="13"/>
  <c r="M58" i="13" s="1"/>
  <c r="P3" i="13"/>
  <c r="L92" i="13"/>
  <c r="O73" i="13"/>
  <c r="P70" i="13"/>
  <c r="P73" i="13" s="1"/>
  <c r="L93" i="13" l="1"/>
  <c r="L94" i="13" s="1"/>
  <c r="Q3" i="13"/>
  <c r="Q54" i="13" s="1"/>
  <c r="K79" i="13" s="1"/>
  <c r="P54" i="13"/>
  <c r="O90" i="13"/>
  <c r="O92" i="13" s="1"/>
  <c r="M63" i="12"/>
  <c r="P57" i="13" l="1"/>
  <c r="M59" i="13"/>
  <c r="M66" i="13" s="1"/>
  <c r="K81" i="13"/>
  <c r="M79" i="13"/>
  <c r="K90" i="13"/>
  <c r="N79" i="13"/>
  <c r="K92" i="13" l="1"/>
  <c r="M90" i="13"/>
  <c r="K82" i="13"/>
  <c r="K83" i="13" s="1"/>
  <c r="M81" i="13"/>
  <c r="P79" i="13" s="1"/>
  <c r="N80" i="13"/>
  <c r="N81" i="13" s="1"/>
  <c r="J72" i="12"/>
  <c r="K72" i="12" s="1"/>
  <c r="J52" i="12"/>
  <c r="K52" i="12" s="1"/>
  <c r="L52" i="12" s="1"/>
  <c r="M52" i="12" s="1"/>
  <c r="J48" i="12"/>
  <c r="K48" i="12" s="1"/>
  <c r="L48" i="12" s="1"/>
  <c r="M48" i="12" s="1"/>
  <c r="J46" i="12"/>
  <c r="J41" i="12"/>
  <c r="J39" i="12"/>
  <c r="J37" i="12"/>
  <c r="J33" i="12"/>
  <c r="J27" i="12"/>
  <c r="J25" i="12"/>
  <c r="J20" i="12"/>
  <c r="J18" i="12"/>
  <c r="K18" i="12" s="1"/>
  <c r="L18" i="12" s="1"/>
  <c r="M18" i="12" s="1"/>
  <c r="J14" i="12"/>
  <c r="J12" i="12"/>
  <c r="J9" i="12"/>
  <c r="J7" i="12"/>
  <c r="K7" i="12" s="1"/>
  <c r="L7" i="12" s="1"/>
  <c r="M7" i="12" s="1"/>
  <c r="J5" i="12"/>
  <c r="J71" i="12"/>
  <c r="J70" i="12"/>
  <c r="J53" i="12"/>
  <c r="J51" i="12"/>
  <c r="J50" i="12"/>
  <c r="K50" i="12" s="1"/>
  <c r="J49" i="12"/>
  <c r="J47" i="12"/>
  <c r="K47" i="12" s="1"/>
  <c r="L47" i="12" s="1"/>
  <c r="M47" i="12" s="1"/>
  <c r="J45" i="12"/>
  <c r="J44" i="12"/>
  <c r="K44" i="12" s="1"/>
  <c r="L44" i="12" s="1"/>
  <c r="M44" i="12" s="1"/>
  <c r="J43" i="12"/>
  <c r="J42" i="12"/>
  <c r="K42" i="12" s="1"/>
  <c r="J40" i="12"/>
  <c r="K40" i="12" s="1"/>
  <c r="L40" i="12" s="1"/>
  <c r="M40" i="12" s="1"/>
  <c r="J38" i="12"/>
  <c r="J36" i="12"/>
  <c r="K36" i="12" s="1"/>
  <c r="L36" i="12" s="1"/>
  <c r="M36" i="12" s="1"/>
  <c r="J35" i="12"/>
  <c r="J34" i="12"/>
  <c r="K34" i="12" s="1"/>
  <c r="J32" i="12"/>
  <c r="K32" i="12" s="1"/>
  <c r="L32" i="12" s="1"/>
  <c r="M32" i="12" s="1"/>
  <c r="J31" i="12"/>
  <c r="K31" i="12" s="1"/>
  <c r="L31" i="12" s="1"/>
  <c r="M31" i="12" s="1"/>
  <c r="J30" i="12"/>
  <c r="J29" i="12"/>
  <c r="J28" i="12"/>
  <c r="J26" i="12"/>
  <c r="K26" i="12" s="1"/>
  <c r="L26" i="12" s="1"/>
  <c r="M26" i="12" s="1"/>
  <c r="J24" i="12"/>
  <c r="K24" i="12" s="1"/>
  <c r="L24" i="12" s="1"/>
  <c r="M24" i="12" s="1"/>
  <c r="J23" i="12"/>
  <c r="K23" i="12" s="1"/>
  <c r="L23" i="12" s="1"/>
  <c r="M23" i="12" s="1"/>
  <c r="J22" i="12"/>
  <c r="K22" i="12" s="1"/>
  <c r="J21" i="12"/>
  <c r="J19" i="12"/>
  <c r="J17" i="12"/>
  <c r="J16" i="12"/>
  <c r="K16" i="12" s="1"/>
  <c r="L16" i="12" s="1"/>
  <c r="M16" i="12" s="1"/>
  <c r="J15" i="12"/>
  <c r="J13" i="12"/>
  <c r="J11" i="12"/>
  <c r="J10" i="12"/>
  <c r="K10" i="12" s="1"/>
  <c r="L10" i="12" s="1"/>
  <c r="M10" i="12" s="1"/>
  <c r="J8" i="12"/>
  <c r="K8" i="12" s="1"/>
  <c r="L8" i="12" s="1"/>
  <c r="M8" i="12" s="1"/>
  <c r="J6" i="12"/>
  <c r="K6" i="12" s="1"/>
  <c r="J4" i="12"/>
  <c r="J3" i="12"/>
  <c r="K3" i="12" s="1"/>
  <c r="I73" i="12"/>
  <c r="M64" i="12"/>
  <c r="I54" i="12"/>
  <c r="K39" i="12"/>
  <c r="L39" i="12" s="1"/>
  <c r="M39" i="12" s="1"/>
  <c r="K15" i="12"/>
  <c r="L15" i="12" s="1"/>
  <c r="M15" i="12" s="1"/>
  <c r="K93" i="13" l="1"/>
  <c r="K94" i="13" s="1"/>
  <c r="M92" i="13"/>
  <c r="N91" i="13"/>
  <c r="M82" i="13"/>
  <c r="M83" i="13"/>
  <c r="P80" i="13"/>
  <c r="N90" i="13"/>
  <c r="L3" i="12"/>
  <c r="M3" i="12" s="1"/>
  <c r="N3" i="12" s="1"/>
  <c r="O3" i="12" s="1"/>
  <c r="P3" i="12" s="1"/>
  <c r="J73" i="12"/>
  <c r="N7" i="12"/>
  <c r="N26" i="12"/>
  <c r="N39" i="12"/>
  <c r="N52" i="12"/>
  <c r="N8" i="12"/>
  <c r="N40" i="12"/>
  <c r="N47" i="12"/>
  <c r="N36" i="12"/>
  <c r="N23" i="12"/>
  <c r="N10" i="12"/>
  <c r="N18" i="12"/>
  <c r="N44" i="12"/>
  <c r="N15" i="12"/>
  <c r="N16" i="12"/>
  <c r="N24" i="12"/>
  <c r="N31" i="12"/>
  <c r="N48" i="12"/>
  <c r="N32" i="12"/>
  <c r="K14" i="12"/>
  <c r="L14" i="12" s="1"/>
  <c r="M14" i="12" s="1"/>
  <c r="K30" i="12"/>
  <c r="L30" i="12" s="1"/>
  <c r="M30" i="12" s="1"/>
  <c r="K38" i="12"/>
  <c r="L38" i="12" s="1"/>
  <c r="M38" i="12" s="1"/>
  <c r="K46" i="12"/>
  <c r="L46" i="12" s="1"/>
  <c r="M46" i="12" s="1"/>
  <c r="K9" i="12"/>
  <c r="L9" i="12" s="1"/>
  <c r="M9" i="12" s="1"/>
  <c r="K17" i="12"/>
  <c r="L17" i="12" s="1"/>
  <c r="M17" i="12" s="1"/>
  <c r="K25" i="12"/>
  <c r="L25" i="12" s="1"/>
  <c r="M25" i="12" s="1"/>
  <c r="K33" i="12"/>
  <c r="L33" i="12" s="1"/>
  <c r="M33" i="12" s="1"/>
  <c r="L34" i="12"/>
  <c r="M34" i="12" s="1"/>
  <c r="K41" i="12"/>
  <c r="L41" i="12" s="1"/>
  <c r="M41" i="12" s="1"/>
  <c r="L42" i="12"/>
  <c r="M42" i="12" s="1"/>
  <c r="K49" i="12"/>
  <c r="L49" i="12" s="1"/>
  <c r="M49" i="12" s="1"/>
  <c r="L50" i="12"/>
  <c r="M50" i="12" s="1"/>
  <c r="K71" i="12"/>
  <c r="L71" i="12" s="1"/>
  <c r="M71" i="12" s="1"/>
  <c r="L72" i="12"/>
  <c r="M72" i="12" s="1"/>
  <c r="J54" i="12"/>
  <c r="K70" i="12"/>
  <c r="K5" i="12"/>
  <c r="L5" i="12" s="1"/>
  <c r="M5" i="12" s="1"/>
  <c r="L6" i="12"/>
  <c r="M6" i="12" s="1"/>
  <c r="K13" i="12"/>
  <c r="L13" i="12" s="1"/>
  <c r="M13" i="12" s="1"/>
  <c r="K21" i="12"/>
  <c r="L21" i="12" s="1"/>
  <c r="M21" i="12" s="1"/>
  <c r="L22" i="12"/>
  <c r="M22" i="12" s="1"/>
  <c r="K29" i="12"/>
  <c r="L29" i="12" s="1"/>
  <c r="M29" i="12" s="1"/>
  <c r="K37" i="12"/>
  <c r="L37" i="12" s="1"/>
  <c r="M37" i="12" s="1"/>
  <c r="K45" i="12"/>
  <c r="L45" i="12" s="1"/>
  <c r="M45" i="12" s="1"/>
  <c r="K53" i="12"/>
  <c r="L53" i="12" s="1"/>
  <c r="M53" i="12" s="1"/>
  <c r="K4" i="12"/>
  <c r="L4" i="12" s="1"/>
  <c r="M4" i="12" s="1"/>
  <c r="K12" i="12"/>
  <c r="L12" i="12" s="1"/>
  <c r="M12" i="12" s="1"/>
  <c r="K20" i="12"/>
  <c r="L20" i="12" s="1"/>
  <c r="M20" i="12" s="1"/>
  <c r="K28" i="12"/>
  <c r="L28" i="12" s="1"/>
  <c r="M28" i="12" s="1"/>
  <c r="K11" i="12"/>
  <c r="L11" i="12" s="1"/>
  <c r="M11" i="12" s="1"/>
  <c r="K19" i="12"/>
  <c r="L19" i="12" s="1"/>
  <c r="M19" i="12" s="1"/>
  <c r="K27" i="12"/>
  <c r="L27" i="12" s="1"/>
  <c r="M27" i="12" s="1"/>
  <c r="K35" i="12"/>
  <c r="L35" i="12" s="1"/>
  <c r="M35" i="12" s="1"/>
  <c r="K43" i="12"/>
  <c r="L43" i="12" s="1"/>
  <c r="M43" i="12" s="1"/>
  <c r="K51" i="12"/>
  <c r="L51" i="12" s="1"/>
  <c r="M51" i="12" s="1"/>
  <c r="L62" i="11"/>
  <c r="L63" i="11" s="1"/>
  <c r="L64" i="11" s="1"/>
  <c r="M62" i="1"/>
  <c r="I73" i="11"/>
  <c r="I54" i="11"/>
  <c r="L18" i="1"/>
  <c r="K23" i="1"/>
  <c r="K50" i="1"/>
  <c r="L50" i="1" s="1"/>
  <c r="J32" i="1"/>
  <c r="K32" i="1" s="1"/>
  <c r="J72" i="1"/>
  <c r="K72" i="1" s="1"/>
  <c r="J71" i="1"/>
  <c r="K71" i="1" s="1"/>
  <c r="J70" i="1"/>
  <c r="K70" i="1" s="1"/>
  <c r="J34" i="1"/>
  <c r="K34" i="1" s="1"/>
  <c r="J30" i="1"/>
  <c r="K30" i="1" s="1"/>
  <c r="J52" i="1"/>
  <c r="K52" i="1" s="1"/>
  <c r="J48" i="1"/>
  <c r="J46" i="1"/>
  <c r="K46" i="1" s="1"/>
  <c r="J41" i="1"/>
  <c r="K41" i="1" s="1"/>
  <c r="J39" i="1"/>
  <c r="K39" i="1" s="1"/>
  <c r="J37" i="1"/>
  <c r="K37" i="1" s="1"/>
  <c r="L37" i="1" s="1"/>
  <c r="J33" i="1"/>
  <c r="K33" i="1" s="1"/>
  <c r="J27" i="1"/>
  <c r="K27" i="1" s="1"/>
  <c r="J25" i="1"/>
  <c r="K25" i="1" s="1"/>
  <c r="J20" i="1"/>
  <c r="K20" i="1" s="1"/>
  <c r="J18" i="1"/>
  <c r="K18" i="1" s="1"/>
  <c r="J14" i="1"/>
  <c r="J12" i="1"/>
  <c r="K12" i="1" s="1"/>
  <c r="J9" i="1"/>
  <c r="J7" i="1"/>
  <c r="J5" i="1"/>
  <c r="K5" i="1" s="1"/>
  <c r="J53" i="1"/>
  <c r="K53" i="1" s="1"/>
  <c r="J51" i="1"/>
  <c r="K51" i="1" s="1"/>
  <c r="J50" i="1"/>
  <c r="J49" i="1"/>
  <c r="J47" i="1"/>
  <c r="K47" i="1" s="1"/>
  <c r="J45" i="1"/>
  <c r="K45" i="1" s="1"/>
  <c r="J44" i="1"/>
  <c r="K44" i="1" s="1"/>
  <c r="J43" i="1"/>
  <c r="J42" i="1"/>
  <c r="K42" i="1" s="1"/>
  <c r="J40" i="1"/>
  <c r="K40" i="1" s="1"/>
  <c r="J38" i="1"/>
  <c r="J36" i="1"/>
  <c r="K36" i="1" s="1"/>
  <c r="J35" i="1"/>
  <c r="J31" i="1"/>
  <c r="K31" i="1" s="1"/>
  <c r="J29" i="1"/>
  <c r="K29" i="1" s="1"/>
  <c r="J28" i="1"/>
  <c r="K28" i="1" s="1"/>
  <c r="J26" i="1"/>
  <c r="K26" i="1" s="1"/>
  <c r="L26" i="1" s="1"/>
  <c r="J24" i="1"/>
  <c r="K24" i="1" s="1"/>
  <c r="J23" i="1"/>
  <c r="J22" i="1"/>
  <c r="J21" i="1"/>
  <c r="K21" i="1" s="1"/>
  <c r="L21" i="1" s="1"/>
  <c r="J19" i="1"/>
  <c r="K19" i="1" s="1"/>
  <c r="J17" i="1"/>
  <c r="K17" i="1" s="1"/>
  <c r="J16" i="1"/>
  <c r="K16" i="1" s="1"/>
  <c r="J15" i="1"/>
  <c r="K15" i="1" s="1"/>
  <c r="J13" i="1"/>
  <c r="K13" i="1" s="1"/>
  <c r="L13" i="1" s="1"/>
  <c r="J11" i="1"/>
  <c r="K11" i="1" s="1"/>
  <c r="J10" i="1"/>
  <c r="K10" i="1" s="1"/>
  <c r="J8" i="1"/>
  <c r="J6" i="1"/>
  <c r="K6" i="1" s="1"/>
  <c r="J4" i="1"/>
  <c r="K4" i="1" s="1"/>
  <c r="J3" i="1"/>
  <c r="AE86" i="8"/>
  <c r="O86" i="8"/>
  <c r="AE85" i="8"/>
  <c r="O85" i="8"/>
  <c r="AE84" i="8"/>
  <c r="O84" i="8"/>
  <c r="R84" i="8" s="1"/>
  <c r="S84" i="8" s="1"/>
  <c r="AE83" i="8"/>
  <c r="O83" i="8"/>
  <c r="AE82" i="8"/>
  <c r="O82" i="8"/>
  <c r="R82" i="8" s="1"/>
  <c r="S82" i="8" s="1"/>
  <c r="AE81" i="8"/>
  <c r="O81" i="8"/>
  <c r="S81" i="8" s="1"/>
  <c r="AE80" i="8"/>
  <c r="O80" i="8"/>
  <c r="AE79" i="8"/>
  <c r="O79" i="8"/>
  <c r="R79" i="8" s="1"/>
  <c r="AE78" i="8"/>
  <c r="L78" i="8"/>
  <c r="N78" i="8" s="1"/>
  <c r="O78" i="8" s="1"/>
  <c r="AE77" i="8"/>
  <c r="M77" i="8"/>
  <c r="L77" i="8"/>
  <c r="L76" i="8"/>
  <c r="AE75" i="8"/>
  <c r="L75" i="8"/>
  <c r="AE74" i="8"/>
  <c r="L74" i="8"/>
  <c r="AE73" i="8"/>
  <c r="L73" i="8"/>
  <c r="AE72" i="8"/>
  <c r="L72" i="8"/>
  <c r="AE71" i="8"/>
  <c r="L71" i="8"/>
  <c r="AE70" i="8"/>
  <c r="L70" i="8"/>
  <c r="AE69" i="8"/>
  <c r="L69" i="8"/>
  <c r="AE68" i="8"/>
  <c r="L68" i="8"/>
  <c r="AE67" i="8"/>
  <c r="L67" i="8"/>
  <c r="AE66" i="8"/>
  <c r="L66" i="8"/>
  <c r="AE65" i="8"/>
  <c r="L65" i="8"/>
  <c r="AE64" i="8"/>
  <c r="L64" i="8"/>
  <c r="AE63" i="8"/>
  <c r="L63" i="8"/>
  <c r="AE62" i="8"/>
  <c r="L62" i="8"/>
  <c r="AE61" i="8"/>
  <c r="L61" i="8"/>
  <c r="AE60" i="8"/>
  <c r="L60" i="8"/>
  <c r="AE59" i="8"/>
  <c r="L59" i="8"/>
  <c r="AE58" i="8"/>
  <c r="L58" i="8"/>
  <c r="AE57" i="8"/>
  <c r="L57" i="8"/>
  <c r="AE56" i="8"/>
  <c r="L56" i="8"/>
  <c r="L55" i="8"/>
  <c r="L54" i="8"/>
  <c r="L53" i="8"/>
  <c r="L52" i="8"/>
  <c r="L51" i="8"/>
  <c r="L50" i="8"/>
  <c r="L49" i="8"/>
  <c r="L48" i="8"/>
  <c r="L47" i="8"/>
  <c r="L46" i="8"/>
  <c r="M45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K28" i="8"/>
  <c r="L27" i="8"/>
  <c r="L26" i="8"/>
  <c r="K26" i="8"/>
  <c r="L25" i="8"/>
  <c r="L24" i="8"/>
  <c r="L23" i="8"/>
  <c r="L22" i="8"/>
  <c r="L21" i="8"/>
  <c r="M20" i="8"/>
  <c r="L20" i="8"/>
  <c r="M19" i="8"/>
  <c r="L19" i="8"/>
  <c r="L18" i="8"/>
  <c r="L17" i="8"/>
  <c r="L16" i="8"/>
  <c r="L15" i="8"/>
  <c r="L14" i="8"/>
  <c r="L13" i="8"/>
  <c r="L12" i="8"/>
  <c r="L11" i="8"/>
  <c r="L10" i="8"/>
  <c r="M9" i="8"/>
  <c r="L9" i="8"/>
  <c r="M8" i="8"/>
  <c r="L8" i="8"/>
  <c r="M7" i="8"/>
  <c r="L7" i="8"/>
  <c r="M6" i="8"/>
  <c r="L6" i="8"/>
  <c r="L5" i="8"/>
  <c r="L4" i="8"/>
  <c r="L3" i="8"/>
  <c r="W2" i="8"/>
  <c r="M66" i="8" s="1"/>
  <c r="M2" i="8"/>
  <c r="L2" i="8"/>
  <c r="AE93" i="7"/>
  <c r="O93" i="7"/>
  <c r="P93" i="7" s="1"/>
  <c r="AE92" i="7"/>
  <c r="O92" i="7"/>
  <c r="AE91" i="7"/>
  <c r="P91" i="7"/>
  <c r="O91" i="7"/>
  <c r="AE90" i="7"/>
  <c r="O90" i="7"/>
  <c r="AE89" i="7"/>
  <c r="O89" i="7"/>
  <c r="P89" i="7" s="1"/>
  <c r="AE88" i="7"/>
  <c r="O88" i="7"/>
  <c r="S88" i="7" s="1"/>
  <c r="AB88" i="7" s="1"/>
  <c r="AE87" i="7"/>
  <c r="O87" i="7"/>
  <c r="AE86" i="7"/>
  <c r="O86" i="7"/>
  <c r="AE85" i="7"/>
  <c r="L85" i="7"/>
  <c r="AE84" i="7"/>
  <c r="L84" i="7"/>
  <c r="N84" i="7" s="1"/>
  <c r="O84" i="7" s="1"/>
  <c r="AE83" i="7"/>
  <c r="L83" i="7"/>
  <c r="L82" i="7"/>
  <c r="AE81" i="7"/>
  <c r="L81" i="7"/>
  <c r="AE80" i="7"/>
  <c r="L80" i="7"/>
  <c r="AE79" i="7"/>
  <c r="L79" i="7"/>
  <c r="AE78" i="7"/>
  <c r="L78" i="7"/>
  <c r="AE77" i="7"/>
  <c r="L77" i="7"/>
  <c r="AE76" i="7"/>
  <c r="L76" i="7"/>
  <c r="AE75" i="7"/>
  <c r="L75" i="7"/>
  <c r="AE74" i="7"/>
  <c r="L74" i="7"/>
  <c r="AE73" i="7"/>
  <c r="L73" i="7"/>
  <c r="AE72" i="7"/>
  <c r="L72" i="7"/>
  <c r="AE71" i="7"/>
  <c r="L71" i="7"/>
  <c r="AE70" i="7"/>
  <c r="L70" i="7"/>
  <c r="AE69" i="7"/>
  <c r="L69" i="7"/>
  <c r="AE68" i="7"/>
  <c r="L68" i="7"/>
  <c r="AE67" i="7"/>
  <c r="L67" i="7"/>
  <c r="AE66" i="7"/>
  <c r="L66" i="7"/>
  <c r="AE65" i="7"/>
  <c r="L65" i="7"/>
  <c r="AE64" i="7"/>
  <c r="L64" i="7"/>
  <c r="AE63" i="7"/>
  <c r="L63" i="7"/>
  <c r="M62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M39" i="7"/>
  <c r="L39" i="7"/>
  <c r="L38" i="7"/>
  <c r="L37" i="7"/>
  <c r="L36" i="7"/>
  <c r="L35" i="7"/>
  <c r="K35" i="7"/>
  <c r="M34" i="7"/>
  <c r="L34" i="7"/>
  <c r="L33" i="7"/>
  <c r="K33" i="7"/>
  <c r="L32" i="7"/>
  <c r="L31" i="7"/>
  <c r="L30" i="7"/>
  <c r="L29" i="7"/>
  <c r="L28" i="7"/>
  <c r="L27" i="7"/>
  <c r="L26" i="7"/>
  <c r="L25" i="7"/>
  <c r="L24" i="7"/>
  <c r="L23" i="7"/>
  <c r="L22" i="7"/>
  <c r="M21" i="7"/>
  <c r="L21" i="7"/>
  <c r="L20" i="7"/>
  <c r="L19" i="7"/>
  <c r="L18" i="7"/>
  <c r="L17" i="7"/>
  <c r="L16" i="7"/>
  <c r="L15" i="7"/>
  <c r="L14" i="7"/>
  <c r="L13" i="7"/>
  <c r="L12" i="7"/>
  <c r="L11" i="7"/>
  <c r="L10" i="7"/>
  <c r="W9" i="7"/>
  <c r="M25" i="7" s="1"/>
  <c r="L9" i="7"/>
  <c r="AD92" i="6"/>
  <c r="L92" i="6"/>
  <c r="O92" i="6" s="1"/>
  <c r="Q92" i="6" s="1"/>
  <c r="AD91" i="6"/>
  <c r="L91" i="6"/>
  <c r="O91" i="6" s="1"/>
  <c r="AD90" i="6"/>
  <c r="L90" i="6"/>
  <c r="O90" i="6" s="1"/>
  <c r="AD89" i="6"/>
  <c r="L89" i="6"/>
  <c r="O89" i="6" s="1"/>
  <c r="Q89" i="6" s="1"/>
  <c r="R89" i="6" s="1"/>
  <c r="AD88" i="6"/>
  <c r="L88" i="6"/>
  <c r="O88" i="6" s="1"/>
  <c r="AD87" i="6"/>
  <c r="L87" i="6"/>
  <c r="O87" i="6" s="1"/>
  <c r="R87" i="6" s="1"/>
  <c r="Y87" i="6" s="1"/>
  <c r="AD86" i="6"/>
  <c r="L86" i="6"/>
  <c r="O86" i="6" s="1"/>
  <c r="AD85" i="6"/>
  <c r="O85" i="6"/>
  <c r="L85" i="6"/>
  <c r="AD84" i="6"/>
  <c r="L84" i="6"/>
  <c r="N84" i="6" s="1"/>
  <c r="AD83" i="6"/>
  <c r="L83" i="6"/>
  <c r="AD82" i="6"/>
  <c r="L82" i="6"/>
  <c r="AD81" i="6"/>
  <c r="L81" i="6"/>
  <c r="AD80" i="6"/>
  <c r="L80" i="6"/>
  <c r="AD79" i="6"/>
  <c r="L79" i="6"/>
  <c r="AD78" i="6"/>
  <c r="L78" i="6"/>
  <c r="AD77" i="6"/>
  <c r="L77" i="6"/>
  <c r="AD76" i="6"/>
  <c r="L76" i="6"/>
  <c r="AD75" i="6"/>
  <c r="L75" i="6"/>
  <c r="AD74" i="6"/>
  <c r="L74" i="6"/>
  <c r="AD73" i="6"/>
  <c r="L73" i="6"/>
  <c r="AD72" i="6"/>
  <c r="L72" i="6"/>
  <c r="AD71" i="6"/>
  <c r="L71" i="6"/>
  <c r="AD70" i="6"/>
  <c r="L70" i="6"/>
  <c r="AD69" i="6"/>
  <c r="M69" i="6"/>
  <c r="L69" i="6"/>
  <c r="AD68" i="6"/>
  <c r="L68" i="6"/>
  <c r="AD67" i="6"/>
  <c r="L67" i="6"/>
  <c r="AD66" i="6"/>
  <c r="L66" i="6"/>
  <c r="AD65" i="6"/>
  <c r="L65" i="6"/>
  <c r="AD64" i="6"/>
  <c r="L64" i="6"/>
  <c r="AD63" i="6"/>
  <c r="L63" i="6"/>
  <c r="M62" i="6"/>
  <c r="N62" i="6" s="1"/>
  <c r="L62" i="6"/>
  <c r="L61" i="6"/>
  <c r="L60" i="6"/>
  <c r="L59" i="6"/>
  <c r="L58" i="6"/>
  <c r="L57" i="6"/>
  <c r="M56" i="6"/>
  <c r="L56" i="6"/>
  <c r="L55" i="6"/>
  <c r="L54" i="6"/>
  <c r="L53" i="6"/>
  <c r="L52" i="6"/>
  <c r="L51" i="6"/>
  <c r="L50" i="6"/>
  <c r="M49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M35" i="6"/>
  <c r="N35" i="6" s="1"/>
  <c r="L35" i="6"/>
  <c r="K35" i="6"/>
  <c r="L34" i="6"/>
  <c r="L33" i="6"/>
  <c r="K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V9" i="6"/>
  <c r="M23" i="6" s="1"/>
  <c r="L9" i="6"/>
  <c r="AF93" i="5"/>
  <c r="R93" i="5"/>
  <c r="O93" i="5"/>
  <c r="AF92" i="5"/>
  <c r="O92" i="5"/>
  <c r="R92" i="5" s="1"/>
  <c r="S92" i="5" s="1"/>
  <c r="AF91" i="5"/>
  <c r="R91" i="5"/>
  <c r="S91" i="5" s="1"/>
  <c r="O91" i="5"/>
  <c r="AF90" i="5"/>
  <c r="O90" i="5"/>
  <c r="R90" i="5" s="1"/>
  <c r="S90" i="5" s="1"/>
  <c r="AC90" i="5" s="1"/>
  <c r="AF89" i="5"/>
  <c r="O89" i="5"/>
  <c r="R89" i="5" s="1"/>
  <c r="S89" i="5" s="1"/>
  <c r="AF88" i="5"/>
  <c r="O88" i="5"/>
  <c r="S88" i="5" s="1"/>
  <c r="AF87" i="5"/>
  <c r="O87" i="5"/>
  <c r="AF86" i="5"/>
  <c r="O86" i="5"/>
  <c r="R86" i="5" s="1"/>
  <c r="L85" i="5"/>
  <c r="AF84" i="5"/>
  <c r="L84" i="5"/>
  <c r="N84" i="5" s="1"/>
  <c r="O84" i="5" s="1"/>
  <c r="P84" i="5" s="1"/>
  <c r="AF83" i="5"/>
  <c r="L83" i="5"/>
  <c r="L82" i="5"/>
  <c r="AF81" i="5"/>
  <c r="L81" i="5"/>
  <c r="AF80" i="5"/>
  <c r="L80" i="5"/>
  <c r="AF79" i="5"/>
  <c r="L79" i="5"/>
  <c r="AF78" i="5"/>
  <c r="L78" i="5"/>
  <c r="AF77" i="5"/>
  <c r="L77" i="5"/>
  <c r="AF76" i="5"/>
  <c r="L76" i="5"/>
  <c r="AF75" i="5"/>
  <c r="L75" i="5"/>
  <c r="AF74" i="5"/>
  <c r="L74" i="5"/>
  <c r="AF73" i="5"/>
  <c r="L73" i="5"/>
  <c r="AF72" i="5"/>
  <c r="L72" i="5"/>
  <c r="AF71" i="5"/>
  <c r="L71" i="5"/>
  <c r="AF70" i="5"/>
  <c r="L70" i="5"/>
  <c r="AF69" i="5"/>
  <c r="L69" i="5"/>
  <c r="AF68" i="5"/>
  <c r="L68" i="5"/>
  <c r="AF67" i="5"/>
  <c r="L67" i="5"/>
  <c r="AF66" i="5"/>
  <c r="L66" i="5"/>
  <c r="AF65" i="5"/>
  <c r="L65" i="5"/>
  <c r="AF64" i="5"/>
  <c r="L64" i="5"/>
  <c r="AF63" i="5"/>
  <c r="L63" i="5"/>
  <c r="AF62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K35" i="5"/>
  <c r="L34" i="5"/>
  <c r="L33" i="5"/>
  <c r="K33" i="5"/>
  <c r="L32" i="5"/>
  <c r="L31" i="5"/>
  <c r="L30" i="5"/>
  <c r="L29" i="5"/>
  <c r="L28" i="5"/>
  <c r="L27" i="5"/>
  <c r="L26" i="5"/>
  <c r="L25" i="5"/>
  <c r="L24" i="5"/>
  <c r="L23" i="5"/>
  <c r="L22" i="5"/>
  <c r="M21" i="5"/>
  <c r="L21" i="5"/>
  <c r="L20" i="5"/>
  <c r="L19" i="5"/>
  <c r="L18" i="5"/>
  <c r="L17" i="5"/>
  <c r="L16" i="5"/>
  <c r="L15" i="5"/>
  <c r="L14" i="5"/>
  <c r="L13" i="5"/>
  <c r="L12" i="5"/>
  <c r="L11" i="5"/>
  <c r="L10" i="5"/>
  <c r="X9" i="5"/>
  <c r="M70" i="5" s="1"/>
  <c r="M9" i="5"/>
  <c r="L9" i="5"/>
  <c r="L77" i="2"/>
  <c r="K77" i="2"/>
  <c r="J77" i="2"/>
  <c r="I77" i="2"/>
  <c r="H77" i="2"/>
  <c r="L74" i="2"/>
  <c r="K74" i="2"/>
  <c r="J74" i="2"/>
  <c r="I74" i="2"/>
  <c r="H74" i="2"/>
  <c r="I73" i="1"/>
  <c r="I54" i="1"/>
  <c r="M93" i="13" l="1"/>
  <c r="M94" i="13" s="1"/>
  <c r="P91" i="13"/>
  <c r="N92" i="13"/>
  <c r="P90" i="13"/>
  <c r="R93" i="7"/>
  <c r="S93" i="7" s="1"/>
  <c r="M4" i="8"/>
  <c r="N9" i="8"/>
  <c r="O9" i="8" s="1"/>
  <c r="M13" i="8"/>
  <c r="N13" i="8" s="1"/>
  <c r="O13" i="8" s="1"/>
  <c r="M17" i="8"/>
  <c r="M49" i="8"/>
  <c r="N49" i="8" s="1"/>
  <c r="O49" i="8" s="1"/>
  <c r="Q49" i="8" s="1"/>
  <c r="R49" i="8" s="1"/>
  <c r="S49" i="8" s="1"/>
  <c r="N77" i="8"/>
  <c r="O77" i="8" s="1"/>
  <c r="Q77" i="8" s="1"/>
  <c r="R77" i="8" s="1"/>
  <c r="S77" i="8" s="1"/>
  <c r="L45" i="1"/>
  <c r="L51" i="1"/>
  <c r="M20" i="6"/>
  <c r="N20" i="6" s="1"/>
  <c r="O20" i="6" s="1"/>
  <c r="P20" i="6" s="1"/>
  <c r="Q20" i="6" s="1"/>
  <c r="R20" i="6" s="1"/>
  <c r="Y20" i="6" s="1"/>
  <c r="N6" i="8"/>
  <c r="O6" i="8" s="1"/>
  <c r="Q6" i="8" s="1"/>
  <c r="R6" i="8" s="1"/>
  <c r="S6" i="8" s="1"/>
  <c r="M14" i="8"/>
  <c r="N14" i="8" s="1"/>
  <c r="O14" i="8" s="1"/>
  <c r="M24" i="8"/>
  <c r="L23" i="1"/>
  <c r="K35" i="1"/>
  <c r="L35" i="1" s="1"/>
  <c r="M35" i="1" s="1"/>
  <c r="N35" i="1" s="1"/>
  <c r="O35" i="1" s="1"/>
  <c r="P35" i="1" s="1"/>
  <c r="L53" i="1"/>
  <c r="M14" i="6"/>
  <c r="M28" i="6"/>
  <c r="M39" i="6"/>
  <c r="N39" i="6" s="1"/>
  <c r="N11" i="8"/>
  <c r="O11" i="8" s="1"/>
  <c r="P11" i="8" s="1"/>
  <c r="M46" i="6"/>
  <c r="M59" i="6"/>
  <c r="AF88" i="7"/>
  <c r="N66" i="8"/>
  <c r="O66" i="8" s="1"/>
  <c r="N7" i="8"/>
  <c r="O7" i="8" s="1"/>
  <c r="P7" i="8" s="1"/>
  <c r="M11" i="8"/>
  <c r="M15" i="8"/>
  <c r="M31" i="8"/>
  <c r="N31" i="8" s="1"/>
  <c r="O31" i="8" s="1"/>
  <c r="M10" i="6"/>
  <c r="N69" i="6"/>
  <c r="M80" i="6"/>
  <c r="M3" i="8"/>
  <c r="M12" i="8"/>
  <c r="M16" i="8"/>
  <c r="N16" i="8" s="1"/>
  <c r="O16" i="8" s="1"/>
  <c r="S16" i="8" s="1"/>
  <c r="S93" i="5"/>
  <c r="AA93" i="5" s="1"/>
  <c r="M11" i="6"/>
  <c r="M31" i="6"/>
  <c r="M42" i="6"/>
  <c r="N42" i="6" s="1"/>
  <c r="N56" i="6"/>
  <c r="M11" i="7"/>
  <c r="N11" i="7" s="1"/>
  <c r="O11" i="7" s="1"/>
  <c r="M18" i="7"/>
  <c r="N18" i="7" s="1"/>
  <c r="O18" i="7" s="1"/>
  <c r="L19" i="1"/>
  <c r="M19" i="1" s="1"/>
  <c r="N19" i="1" s="1"/>
  <c r="O19" i="1" s="1"/>
  <c r="P19" i="1" s="1"/>
  <c r="L42" i="1"/>
  <c r="M42" i="1" s="1"/>
  <c r="N42" i="1" s="1"/>
  <c r="O42" i="1" s="1"/>
  <c r="P42" i="1" s="1"/>
  <c r="O36" i="12"/>
  <c r="O15" i="12"/>
  <c r="O40" i="12"/>
  <c r="O8" i="12"/>
  <c r="O32" i="12"/>
  <c r="O18" i="12"/>
  <c r="O44" i="12"/>
  <c r="O48" i="12"/>
  <c r="O10" i="12"/>
  <c r="O52" i="12"/>
  <c r="O31" i="12"/>
  <c r="O23" i="12"/>
  <c r="O39" i="12"/>
  <c r="O26" i="12"/>
  <c r="O24" i="12"/>
  <c r="O16" i="12"/>
  <c r="O47" i="12"/>
  <c r="O7" i="12"/>
  <c r="N5" i="12"/>
  <c r="N20" i="12"/>
  <c r="N21" i="12"/>
  <c r="N51" i="12"/>
  <c r="N12" i="12"/>
  <c r="N13" i="12"/>
  <c r="N49" i="12"/>
  <c r="N46" i="12"/>
  <c r="N35" i="12"/>
  <c r="N27" i="12"/>
  <c r="N14" i="12"/>
  <c r="N4" i="12"/>
  <c r="N19" i="12"/>
  <c r="N33" i="12"/>
  <c r="N38" i="12"/>
  <c r="N11" i="12"/>
  <c r="N29" i="12"/>
  <c r="N71" i="12"/>
  <c r="O71" i="12" s="1"/>
  <c r="P71" i="12" s="1"/>
  <c r="N17" i="12"/>
  <c r="N6" i="12"/>
  <c r="N37" i="12"/>
  <c r="N53" i="12"/>
  <c r="N22" i="12"/>
  <c r="N25" i="12"/>
  <c r="N41" i="12"/>
  <c r="N42" i="12"/>
  <c r="N28" i="12"/>
  <c r="N50" i="12"/>
  <c r="K54" i="12"/>
  <c r="N9" i="12"/>
  <c r="L54" i="12"/>
  <c r="N43" i="12"/>
  <c r="K73" i="12"/>
  <c r="L70" i="12"/>
  <c r="N34" i="12"/>
  <c r="N30" i="12"/>
  <c r="N45" i="12"/>
  <c r="N72" i="12"/>
  <c r="O72" i="12" s="1"/>
  <c r="P72" i="12" s="1"/>
  <c r="AA89" i="6"/>
  <c r="Y89" i="6"/>
  <c r="Q90" i="6"/>
  <c r="R90" i="6" s="1"/>
  <c r="AA92" i="5"/>
  <c r="AC92" i="5"/>
  <c r="N70" i="5"/>
  <c r="O70" i="5" s="1"/>
  <c r="M41" i="5"/>
  <c r="N46" i="6"/>
  <c r="N59" i="6"/>
  <c r="O59" i="6" s="1"/>
  <c r="M49" i="5"/>
  <c r="M82" i="5"/>
  <c r="N82" i="5" s="1"/>
  <c r="O82" i="5" s="1"/>
  <c r="Q82" i="5" s="1"/>
  <c r="R82" i="5" s="1"/>
  <c r="M9" i="6"/>
  <c r="M17" i="6"/>
  <c r="M32" i="6"/>
  <c r="N32" i="6" s="1"/>
  <c r="O32" i="6" s="1"/>
  <c r="M36" i="6"/>
  <c r="N36" i="6" s="1"/>
  <c r="M43" i="6"/>
  <c r="N43" i="6" s="1"/>
  <c r="M53" i="6"/>
  <c r="N53" i="6" s="1"/>
  <c r="M63" i="6"/>
  <c r="O69" i="6"/>
  <c r="AA87" i="6"/>
  <c r="N12" i="8"/>
  <c r="O12" i="8" s="1"/>
  <c r="P12" i="8" s="1"/>
  <c r="N15" i="8"/>
  <c r="O15" i="8" s="1"/>
  <c r="P15" i="8" s="1"/>
  <c r="N19" i="8"/>
  <c r="O19" i="8" s="1"/>
  <c r="Q19" i="8" s="1"/>
  <c r="R19" i="8" s="1"/>
  <c r="S19" i="8" s="1"/>
  <c r="N45" i="8"/>
  <c r="O45" i="8" s="1"/>
  <c r="K43" i="1"/>
  <c r="L43" i="1" s="1"/>
  <c r="M43" i="1" s="1"/>
  <c r="N43" i="1" s="1"/>
  <c r="O43" i="1" s="1"/>
  <c r="P43" i="1" s="1"/>
  <c r="K3" i="1"/>
  <c r="L3" i="1" s="1"/>
  <c r="L10" i="1"/>
  <c r="L34" i="1"/>
  <c r="O43" i="6"/>
  <c r="P43" i="6" s="1"/>
  <c r="Q43" i="6" s="1"/>
  <c r="M12" i="6"/>
  <c r="N12" i="6" s="1"/>
  <c r="O12" i="6" s="1"/>
  <c r="P12" i="6" s="1"/>
  <c r="Q12" i="6" s="1"/>
  <c r="R12" i="6" s="1"/>
  <c r="Y12" i="6" s="1"/>
  <c r="M25" i="6"/>
  <c r="N25" i="6" s="1"/>
  <c r="M29" i="6"/>
  <c r="N29" i="6" s="1"/>
  <c r="O29" i="6" s="1"/>
  <c r="M40" i="6"/>
  <c r="O40" i="6" s="1"/>
  <c r="P40" i="6" s="1"/>
  <c r="Q40" i="6" s="1"/>
  <c r="R40" i="6" s="1"/>
  <c r="Y40" i="6" s="1"/>
  <c r="M47" i="6"/>
  <c r="N47" i="6" s="1"/>
  <c r="O47" i="6" s="1"/>
  <c r="M50" i="6"/>
  <c r="N50" i="6" s="1"/>
  <c r="M78" i="6"/>
  <c r="N78" i="6" s="1"/>
  <c r="O78" i="6" s="1"/>
  <c r="N34" i="8"/>
  <c r="O34" i="8" s="1"/>
  <c r="Q34" i="8" s="1"/>
  <c r="R34" i="8" s="1"/>
  <c r="S34" i="8" s="1"/>
  <c r="K38" i="1"/>
  <c r="L38" i="1" s="1"/>
  <c r="M38" i="1" s="1"/>
  <c r="N38" i="1" s="1"/>
  <c r="O38" i="1" s="1"/>
  <c r="P38" i="1" s="1"/>
  <c r="K22" i="1"/>
  <c r="L22" i="1" s="1"/>
  <c r="M22" i="1" s="1"/>
  <c r="N22" i="1" s="1"/>
  <c r="O22" i="1" s="1"/>
  <c r="P22" i="1" s="1"/>
  <c r="L11" i="1"/>
  <c r="L27" i="1"/>
  <c r="N21" i="5"/>
  <c r="O21" i="5" s="1"/>
  <c r="Q21" i="5" s="1"/>
  <c r="R21" i="5" s="1"/>
  <c r="S21" i="5" s="1"/>
  <c r="M10" i="5"/>
  <c r="N10" i="5" s="1"/>
  <c r="O10" i="5" s="1"/>
  <c r="N10" i="6"/>
  <c r="O10" i="6" s="1"/>
  <c r="M15" i="6"/>
  <c r="N15" i="6" s="1"/>
  <c r="O15" i="6" s="1"/>
  <c r="M18" i="6"/>
  <c r="M21" i="6"/>
  <c r="M37" i="6"/>
  <c r="N37" i="6" s="1"/>
  <c r="N40" i="6"/>
  <c r="M44" i="6"/>
  <c r="N44" i="6" s="1"/>
  <c r="M54" i="6"/>
  <c r="N54" i="6" s="1"/>
  <c r="M57" i="6"/>
  <c r="N57" i="6" s="1"/>
  <c r="M60" i="6"/>
  <c r="N60" i="6" s="1"/>
  <c r="M67" i="6"/>
  <c r="M73" i="6"/>
  <c r="N20" i="8"/>
  <c r="O20" i="8" s="1"/>
  <c r="M30" i="8"/>
  <c r="N30" i="8" s="1"/>
  <c r="O30" i="8" s="1"/>
  <c r="M34" i="8"/>
  <c r="M46" i="8"/>
  <c r="N46" i="8" s="1"/>
  <c r="O46" i="8" s="1"/>
  <c r="L4" i="1"/>
  <c r="M4" i="1" s="1"/>
  <c r="N4" i="1" s="1"/>
  <c r="O4" i="1" s="1"/>
  <c r="P4" i="1" s="1"/>
  <c r="L12" i="1"/>
  <c r="L20" i="1"/>
  <c r="L28" i="1"/>
  <c r="M28" i="1" s="1"/>
  <c r="N28" i="1" s="1"/>
  <c r="O28" i="1" s="1"/>
  <c r="P28" i="1" s="1"/>
  <c r="L36" i="1"/>
  <c r="L44" i="1"/>
  <c r="L52" i="1"/>
  <c r="N16" i="6"/>
  <c r="O16" i="6" s="1"/>
  <c r="P16" i="6" s="1"/>
  <c r="Q16" i="6" s="1"/>
  <c r="M26" i="6"/>
  <c r="M51" i="6"/>
  <c r="N51" i="6" s="1"/>
  <c r="M82" i="6"/>
  <c r="L5" i="1"/>
  <c r="L29" i="1"/>
  <c r="M19" i="5"/>
  <c r="N19" i="5" s="1"/>
  <c r="O19" i="5" s="1"/>
  <c r="M25" i="5"/>
  <c r="N25" i="5" s="1"/>
  <c r="O25" i="5" s="1"/>
  <c r="M69" i="5"/>
  <c r="N69" i="5" s="1"/>
  <c r="O69" i="5" s="1"/>
  <c r="M13" i="6"/>
  <c r="M16" i="6"/>
  <c r="M22" i="6"/>
  <c r="M30" i="6"/>
  <c r="M38" i="6"/>
  <c r="N38" i="6" s="1"/>
  <c r="M41" i="6"/>
  <c r="N41" i="6" s="1"/>
  <c r="M48" i="6"/>
  <c r="M55" i="6"/>
  <c r="N55" i="6" s="1"/>
  <c r="O55" i="6" s="1"/>
  <c r="M61" i="6"/>
  <c r="N61" i="6" s="1"/>
  <c r="M76" i="6"/>
  <c r="R89" i="7"/>
  <c r="S89" i="7" s="1"/>
  <c r="M10" i="8"/>
  <c r="N10" i="8" s="1"/>
  <c r="O10" i="8" s="1"/>
  <c r="N17" i="8"/>
  <c r="O17" i="8" s="1"/>
  <c r="M26" i="8"/>
  <c r="N26" i="8" s="1"/>
  <c r="O26" i="8" s="1"/>
  <c r="Q26" i="8" s="1"/>
  <c r="R26" i="8" s="1"/>
  <c r="S26" i="8" s="1"/>
  <c r="M42" i="8"/>
  <c r="K49" i="1"/>
  <c r="L49" i="1" s="1"/>
  <c r="M49" i="1" s="1"/>
  <c r="N49" i="1" s="1"/>
  <c r="O49" i="1" s="1"/>
  <c r="P49" i="1" s="1"/>
  <c r="K14" i="1"/>
  <c r="L14" i="1" s="1"/>
  <c r="M14" i="1" s="1"/>
  <c r="N14" i="1" s="1"/>
  <c r="O14" i="1" s="1"/>
  <c r="P14" i="1" s="1"/>
  <c r="L6" i="1"/>
  <c r="L30" i="1"/>
  <c r="L46" i="1"/>
  <c r="M46" i="1" s="1"/>
  <c r="N46" i="1" s="1"/>
  <c r="O46" i="1" s="1"/>
  <c r="P46" i="1" s="1"/>
  <c r="L70" i="1"/>
  <c r="M70" i="1" s="1"/>
  <c r="J70" i="11" s="1"/>
  <c r="N41" i="5"/>
  <c r="O41" i="5" s="1"/>
  <c r="P41" i="5" s="1"/>
  <c r="M11" i="5"/>
  <c r="N11" i="5" s="1"/>
  <c r="O11" i="5" s="1"/>
  <c r="M81" i="5"/>
  <c r="N81" i="5" s="1"/>
  <c r="O81" i="5" s="1"/>
  <c r="N14" i="6"/>
  <c r="O14" i="6" s="1"/>
  <c r="M19" i="6"/>
  <c r="M27" i="6"/>
  <c r="O42" i="6"/>
  <c r="P42" i="6" s="1"/>
  <c r="Q42" i="6" s="1"/>
  <c r="M45" i="6"/>
  <c r="N45" i="6" s="1"/>
  <c r="M52" i="6"/>
  <c r="N52" i="6" s="1"/>
  <c r="M58" i="6"/>
  <c r="N58" i="6" s="1"/>
  <c r="M65" i="6"/>
  <c r="M71" i="6"/>
  <c r="M74" i="6"/>
  <c r="N74" i="6" s="1"/>
  <c r="N4" i="8"/>
  <c r="O4" i="8" s="1"/>
  <c r="Q4" i="8" s="1"/>
  <c r="R4" i="8" s="1"/>
  <c r="S4" i="8" s="1"/>
  <c r="N8" i="8"/>
  <c r="O8" i="8" s="1"/>
  <c r="P8" i="8" s="1"/>
  <c r="K48" i="1"/>
  <c r="L48" i="1" s="1"/>
  <c r="M48" i="1" s="1"/>
  <c r="J48" i="11" s="1"/>
  <c r="K48" i="11" s="1"/>
  <c r="L48" i="11" s="1"/>
  <c r="M48" i="11" s="1"/>
  <c r="L15" i="1"/>
  <c r="L31" i="1"/>
  <c r="M31" i="1" s="1"/>
  <c r="N31" i="1" s="1"/>
  <c r="O31" i="1" s="1"/>
  <c r="P31" i="1" s="1"/>
  <c r="L39" i="1"/>
  <c r="M39" i="1" s="1"/>
  <c r="N39" i="1" s="1"/>
  <c r="O39" i="1" s="1"/>
  <c r="L47" i="1"/>
  <c r="L71" i="1"/>
  <c r="L16" i="1"/>
  <c r="M16" i="1" s="1"/>
  <c r="N16" i="1" s="1"/>
  <c r="O16" i="1" s="1"/>
  <c r="L24" i="1"/>
  <c r="M24" i="1" s="1"/>
  <c r="L32" i="1"/>
  <c r="L40" i="1"/>
  <c r="M40" i="1" s="1"/>
  <c r="N40" i="1" s="1"/>
  <c r="O40" i="1" s="1"/>
  <c r="P40" i="1" s="1"/>
  <c r="L72" i="1"/>
  <c r="M72" i="1" s="1"/>
  <c r="N49" i="6"/>
  <c r="K9" i="1"/>
  <c r="L9" i="1" s="1"/>
  <c r="M9" i="1" s="1"/>
  <c r="N9" i="1" s="1"/>
  <c r="O9" i="1" s="1"/>
  <c r="P9" i="1" s="1"/>
  <c r="L17" i="1"/>
  <c r="L25" i="1"/>
  <c r="M25" i="1" s="1"/>
  <c r="L33" i="1"/>
  <c r="M33" i="1" s="1"/>
  <c r="N33" i="1" s="1"/>
  <c r="O33" i="1" s="1"/>
  <c r="L41" i="1"/>
  <c r="K7" i="1"/>
  <c r="L7" i="1" s="1"/>
  <c r="M6" i="1"/>
  <c r="N6" i="1" s="1"/>
  <c r="O6" i="1" s="1"/>
  <c r="P6" i="1" s="1"/>
  <c r="K8" i="1"/>
  <c r="L8" i="1" s="1"/>
  <c r="M32" i="1"/>
  <c r="N32" i="1" s="1"/>
  <c r="O32" i="1" s="1"/>
  <c r="P32" i="1" s="1"/>
  <c r="M30" i="1"/>
  <c r="N30" i="1" s="1"/>
  <c r="O30" i="1" s="1"/>
  <c r="M34" i="1"/>
  <c r="N34" i="1" s="1"/>
  <c r="O34" i="1" s="1"/>
  <c r="P34" i="1" s="1"/>
  <c r="M18" i="1"/>
  <c r="N18" i="1" s="1"/>
  <c r="O18" i="1" s="1"/>
  <c r="P18" i="1" s="1"/>
  <c r="M12" i="1"/>
  <c r="N12" i="1" s="1"/>
  <c r="O12" i="1" s="1"/>
  <c r="P12" i="1" s="1"/>
  <c r="M47" i="1"/>
  <c r="N47" i="1" s="1"/>
  <c r="O47" i="1" s="1"/>
  <c r="M20" i="1"/>
  <c r="N20" i="1" s="1"/>
  <c r="O20" i="1" s="1"/>
  <c r="M71" i="1"/>
  <c r="M23" i="1"/>
  <c r="N23" i="1" s="1"/>
  <c r="O23" i="1" s="1"/>
  <c r="P23" i="1" s="1"/>
  <c r="M45" i="1"/>
  <c r="N45" i="1" s="1"/>
  <c r="O45" i="1" s="1"/>
  <c r="P45" i="1" s="1"/>
  <c r="M13" i="1"/>
  <c r="N13" i="1" s="1"/>
  <c r="O13" i="1" s="1"/>
  <c r="P13" i="1" s="1"/>
  <c r="M37" i="1"/>
  <c r="N37" i="1" s="1"/>
  <c r="O37" i="1" s="1"/>
  <c r="P37" i="1" s="1"/>
  <c r="M26" i="1"/>
  <c r="N26" i="1" s="1"/>
  <c r="O26" i="1" s="1"/>
  <c r="P26" i="1" s="1"/>
  <c r="M50" i="1"/>
  <c r="N50" i="1" s="1"/>
  <c r="O50" i="1" s="1"/>
  <c r="P50" i="1" s="1"/>
  <c r="M11" i="1"/>
  <c r="N11" i="1" s="1"/>
  <c r="O11" i="1" s="1"/>
  <c r="P11" i="1" s="1"/>
  <c r="M10" i="1"/>
  <c r="N10" i="1" s="1"/>
  <c r="O10" i="1" s="1"/>
  <c r="P10" i="1" s="1"/>
  <c r="M51" i="1"/>
  <c r="M44" i="1"/>
  <c r="N44" i="1" s="1"/>
  <c r="O44" i="1" s="1"/>
  <c r="P44" i="1" s="1"/>
  <c r="M5" i="1"/>
  <c r="N5" i="1" s="1"/>
  <c r="O5" i="1" s="1"/>
  <c r="P5" i="1" s="1"/>
  <c r="M29" i="1"/>
  <c r="N29" i="1" s="1"/>
  <c r="O29" i="1" s="1"/>
  <c r="P29" i="1" s="1"/>
  <c r="M53" i="1"/>
  <c r="N53" i="1" s="1"/>
  <c r="O53" i="1" s="1"/>
  <c r="P53" i="1" s="1"/>
  <c r="M21" i="1"/>
  <c r="N21" i="1" s="1"/>
  <c r="O21" i="1" s="1"/>
  <c r="P21" i="1" s="1"/>
  <c r="M27" i="1"/>
  <c r="N27" i="1" s="1"/>
  <c r="O27" i="1" s="1"/>
  <c r="P27" i="1" s="1"/>
  <c r="M36" i="1"/>
  <c r="N36" i="1" s="1"/>
  <c r="O36" i="1" s="1"/>
  <c r="P36" i="1" s="1"/>
  <c r="M15" i="1"/>
  <c r="N15" i="1" s="1"/>
  <c r="O15" i="1" s="1"/>
  <c r="P15" i="1" s="1"/>
  <c r="K73" i="1"/>
  <c r="M17" i="1"/>
  <c r="N17" i="1" s="1"/>
  <c r="O17" i="1" s="1"/>
  <c r="P17" i="1" s="1"/>
  <c r="J73" i="1"/>
  <c r="P70" i="5"/>
  <c r="Q70" i="5"/>
  <c r="R70" i="5" s="1"/>
  <c r="S70" i="5" s="1"/>
  <c r="P82" i="5"/>
  <c r="P11" i="5"/>
  <c r="Q11" i="5"/>
  <c r="R11" i="5" s="1"/>
  <c r="S11" i="5" s="1"/>
  <c r="AC91" i="5"/>
  <c r="AA91" i="5"/>
  <c r="Q11" i="7"/>
  <c r="R11" i="7" s="1"/>
  <c r="S11" i="7" s="1"/>
  <c r="P11" i="7"/>
  <c r="Q81" i="5"/>
  <c r="R81" i="5" s="1"/>
  <c r="S81" i="5" s="1"/>
  <c r="P81" i="5"/>
  <c r="Q19" i="5"/>
  <c r="R19" i="5" s="1"/>
  <c r="S19" i="5" s="1"/>
  <c r="P19" i="5"/>
  <c r="N11" i="6"/>
  <c r="O11" i="6" s="1"/>
  <c r="N82" i="6"/>
  <c r="O82" i="6" s="1"/>
  <c r="AG92" i="5"/>
  <c r="AE92" i="5"/>
  <c r="M54" i="5"/>
  <c r="N54" i="5" s="1"/>
  <c r="O54" i="5" s="1"/>
  <c r="M66" i="5"/>
  <c r="N66" i="5" s="1"/>
  <c r="O66" i="5" s="1"/>
  <c r="AC89" i="5"/>
  <c r="AA89" i="5"/>
  <c r="N9" i="6"/>
  <c r="O9" i="6" s="1"/>
  <c r="N27" i="6"/>
  <c r="O27" i="6" s="1"/>
  <c r="O46" i="6"/>
  <c r="L94" i="5"/>
  <c r="N9" i="5"/>
  <c r="AC87" i="6"/>
  <c r="AE87" i="6"/>
  <c r="M22" i="5"/>
  <c r="N22" i="5" s="1"/>
  <c r="O22" i="5" s="1"/>
  <c r="M68" i="5"/>
  <c r="N68" i="5" s="1"/>
  <c r="O68" i="5" s="1"/>
  <c r="N17" i="6"/>
  <c r="O17" i="6" s="1"/>
  <c r="O38" i="6"/>
  <c r="R88" i="6"/>
  <c r="Q88" i="6"/>
  <c r="Q18" i="7"/>
  <c r="R18" i="7" s="1"/>
  <c r="S18" i="7" s="1"/>
  <c r="P18" i="7"/>
  <c r="J54" i="1"/>
  <c r="R84" i="5"/>
  <c r="S84" i="5" s="1"/>
  <c r="N31" i="6"/>
  <c r="O31" i="6" s="1"/>
  <c r="N23" i="5"/>
  <c r="O23" i="5" s="1"/>
  <c r="M52" i="5"/>
  <c r="N52" i="5" s="1"/>
  <c r="O52" i="5" s="1"/>
  <c r="AG90" i="5"/>
  <c r="AE90" i="5"/>
  <c r="O50" i="6"/>
  <c r="N71" i="6"/>
  <c r="O71" i="6" s="1"/>
  <c r="M63" i="1"/>
  <c r="M64" i="1" s="1"/>
  <c r="M76" i="5"/>
  <c r="N76" i="5" s="1"/>
  <c r="O76" i="5" s="1"/>
  <c r="M72" i="5"/>
  <c r="N72" i="5" s="1"/>
  <c r="O72" i="5" s="1"/>
  <c r="M64" i="5"/>
  <c r="N64" i="5" s="1"/>
  <c r="O64" i="5" s="1"/>
  <c r="M56" i="5"/>
  <c r="N56" i="5" s="1"/>
  <c r="O56" i="5" s="1"/>
  <c r="M48" i="5"/>
  <c r="N48" i="5" s="1"/>
  <c r="O48" i="5" s="1"/>
  <c r="M43" i="5"/>
  <c r="N43" i="5" s="1"/>
  <c r="O43" i="5" s="1"/>
  <c r="M35" i="5"/>
  <c r="N35" i="5" s="1"/>
  <c r="O35" i="5" s="1"/>
  <c r="M24" i="5"/>
  <c r="N24" i="5" s="1"/>
  <c r="O24" i="5" s="1"/>
  <c r="M18" i="5"/>
  <c r="N18" i="5" s="1"/>
  <c r="O18" i="5" s="1"/>
  <c r="M85" i="5"/>
  <c r="N85" i="5" s="1"/>
  <c r="O85" i="5" s="1"/>
  <c r="M77" i="5"/>
  <c r="N77" i="5" s="1"/>
  <c r="O77" i="5" s="1"/>
  <c r="M65" i="5"/>
  <c r="N65" i="5" s="1"/>
  <c r="O65" i="5" s="1"/>
  <c r="M61" i="5"/>
  <c r="N61" i="5" s="1"/>
  <c r="O61" i="5" s="1"/>
  <c r="M53" i="5"/>
  <c r="N53" i="5" s="1"/>
  <c r="O53" i="5" s="1"/>
  <c r="M45" i="5"/>
  <c r="N45" i="5" s="1"/>
  <c r="O45" i="5" s="1"/>
  <c r="M40" i="5"/>
  <c r="M30" i="5"/>
  <c r="N30" i="5" s="1"/>
  <c r="O30" i="5" s="1"/>
  <c r="M23" i="5"/>
  <c r="M20" i="5"/>
  <c r="N20" i="5" s="1"/>
  <c r="O20" i="5" s="1"/>
  <c r="M15" i="5"/>
  <c r="N15" i="5" s="1"/>
  <c r="O15" i="5" s="1"/>
  <c r="M79" i="5"/>
  <c r="N79" i="5" s="1"/>
  <c r="O79" i="5" s="1"/>
  <c r="M73" i="5"/>
  <c r="N73" i="5" s="1"/>
  <c r="O73" i="5" s="1"/>
  <c r="M67" i="5"/>
  <c r="N67" i="5" s="1"/>
  <c r="O67" i="5" s="1"/>
  <c r="M55" i="5"/>
  <c r="N55" i="5" s="1"/>
  <c r="O55" i="5" s="1"/>
  <c r="M47" i="5"/>
  <c r="M42" i="5"/>
  <c r="N42" i="5" s="1"/>
  <c r="O42" i="5" s="1"/>
  <c r="M32" i="5"/>
  <c r="N32" i="5" s="1"/>
  <c r="O32" i="5" s="1"/>
  <c r="M17" i="5"/>
  <c r="N17" i="5" s="1"/>
  <c r="O17" i="5" s="1"/>
  <c r="M71" i="5"/>
  <c r="N71" i="5" s="1"/>
  <c r="O71" i="5" s="1"/>
  <c r="M58" i="5"/>
  <c r="N58" i="5" s="1"/>
  <c r="O58" i="5" s="1"/>
  <c r="M57" i="5"/>
  <c r="N57" i="5" s="1"/>
  <c r="O57" i="5" s="1"/>
  <c r="M46" i="5"/>
  <c r="N46" i="5" s="1"/>
  <c r="O46" i="5" s="1"/>
  <c r="M37" i="5"/>
  <c r="N37" i="5" s="1"/>
  <c r="O37" i="5" s="1"/>
  <c r="M36" i="5"/>
  <c r="N36" i="5" s="1"/>
  <c r="O36" i="5" s="1"/>
  <c r="M16" i="5"/>
  <c r="N16" i="5" s="1"/>
  <c r="O16" i="5" s="1"/>
  <c r="M63" i="5"/>
  <c r="N63" i="5" s="1"/>
  <c r="O63" i="5" s="1"/>
  <c r="M60" i="5"/>
  <c r="N60" i="5" s="1"/>
  <c r="O60" i="5" s="1"/>
  <c r="M59" i="5"/>
  <c r="N59" i="5" s="1"/>
  <c r="O59" i="5" s="1"/>
  <c r="M39" i="5"/>
  <c r="N39" i="5" s="1"/>
  <c r="O39" i="5" s="1"/>
  <c r="M38" i="5"/>
  <c r="N38" i="5" s="1"/>
  <c r="O38" i="5" s="1"/>
  <c r="M74" i="5"/>
  <c r="N74" i="5" s="1"/>
  <c r="O74" i="5" s="1"/>
  <c r="M34" i="5"/>
  <c r="M33" i="5"/>
  <c r="N33" i="5" s="1"/>
  <c r="O33" i="5" s="1"/>
  <c r="M31" i="5"/>
  <c r="N31" i="5" s="1"/>
  <c r="O31" i="5" s="1"/>
  <c r="M26" i="5"/>
  <c r="N26" i="5" s="1"/>
  <c r="O26" i="5" s="1"/>
  <c r="M50" i="5"/>
  <c r="N50" i="5" s="1"/>
  <c r="O50" i="5" s="1"/>
  <c r="M27" i="5"/>
  <c r="N27" i="5" s="1"/>
  <c r="O27" i="5" s="1"/>
  <c r="M83" i="5"/>
  <c r="N83" i="5" s="1"/>
  <c r="O83" i="5" s="1"/>
  <c r="M28" i="5"/>
  <c r="N28" i="5" s="1"/>
  <c r="O28" i="5" s="1"/>
  <c r="M12" i="5"/>
  <c r="N12" i="5" s="1"/>
  <c r="O12" i="5" s="1"/>
  <c r="M51" i="5"/>
  <c r="N51" i="5" s="1"/>
  <c r="O51" i="5" s="1"/>
  <c r="M44" i="5"/>
  <c r="N44" i="5" s="1"/>
  <c r="O44" i="5" s="1"/>
  <c r="M29" i="5"/>
  <c r="N29" i="5" s="1"/>
  <c r="O29" i="5" s="1"/>
  <c r="M14" i="5"/>
  <c r="N14" i="5" s="1"/>
  <c r="O14" i="5" s="1"/>
  <c r="M13" i="5"/>
  <c r="N13" i="5" s="1"/>
  <c r="O13" i="5" s="1"/>
  <c r="N40" i="5"/>
  <c r="O40" i="5" s="1"/>
  <c r="M62" i="5"/>
  <c r="N62" i="5" s="1"/>
  <c r="O62" i="5" s="1"/>
  <c r="M75" i="5"/>
  <c r="N75" i="5" s="1"/>
  <c r="O75" i="5" s="1"/>
  <c r="M78" i="5"/>
  <c r="N78" i="5" s="1"/>
  <c r="O78" i="5" s="1"/>
  <c r="M80" i="5"/>
  <c r="N80" i="5" s="1"/>
  <c r="O80" i="5" s="1"/>
  <c r="AC88" i="5"/>
  <c r="AA88" i="5"/>
  <c r="AA90" i="5"/>
  <c r="R87" i="5"/>
  <c r="S87" i="5" s="1"/>
  <c r="N19" i="6"/>
  <c r="O19" i="6" s="1"/>
  <c r="P69" i="6"/>
  <c r="Q69" i="6" s="1"/>
  <c r="R69" i="6" s="1"/>
  <c r="P90" i="7"/>
  <c r="R90" i="7"/>
  <c r="S90" i="7" s="1"/>
  <c r="N47" i="5"/>
  <c r="O47" i="5" s="1"/>
  <c r="O25" i="6"/>
  <c r="R25" i="6" s="1"/>
  <c r="Y25" i="6" s="1"/>
  <c r="O62" i="6"/>
  <c r="R62" i="6" s="1"/>
  <c r="Y62" i="6" s="1"/>
  <c r="M85" i="7"/>
  <c r="M75" i="7"/>
  <c r="N75" i="7" s="1"/>
  <c r="O75" i="7" s="1"/>
  <c r="M69" i="7"/>
  <c r="N69" i="7" s="1"/>
  <c r="O69" i="7" s="1"/>
  <c r="M55" i="7"/>
  <c r="N55" i="7" s="1"/>
  <c r="O55" i="7" s="1"/>
  <c r="M81" i="7"/>
  <c r="N81" i="7" s="1"/>
  <c r="O81" i="7" s="1"/>
  <c r="M76" i="7"/>
  <c r="N76" i="7" s="1"/>
  <c r="O76" i="7" s="1"/>
  <c r="M70" i="7"/>
  <c r="M60" i="7"/>
  <c r="M78" i="7"/>
  <c r="M72" i="7"/>
  <c r="N72" i="7" s="1"/>
  <c r="O72" i="7" s="1"/>
  <c r="M83" i="7"/>
  <c r="N83" i="7" s="1"/>
  <c r="O83" i="7" s="1"/>
  <c r="M58" i="7"/>
  <c r="N58" i="7" s="1"/>
  <c r="O58" i="7" s="1"/>
  <c r="M57" i="7"/>
  <c r="M45" i="7"/>
  <c r="N45" i="7" s="1"/>
  <c r="O45" i="7" s="1"/>
  <c r="M40" i="7"/>
  <c r="N40" i="7" s="1"/>
  <c r="O40" i="7" s="1"/>
  <c r="M30" i="7"/>
  <c r="N30" i="7" s="1"/>
  <c r="O30" i="7" s="1"/>
  <c r="M68" i="7"/>
  <c r="N68" i="7" s="1"/>
  <c r="O68" i="7" s="1"/>
  <c r="M56" i="7"/>
  <c r="N56" i="7" s="1"/>
  <c r="O56" i="7" s="1"/>
  <c r="M50" i="7"/>
  <c r="N50" i="7" s="1"/>
  <c r="O50" i="7" s="1"/>
  <c r="M37" i="7"/>
  <c r="N37" i="7" s="1"/>
  <c r="O37" i="7" s="1"/>
  <c r="M27" i="7"/>
  <c r="N27" i="7" s="1"/>
  <c r="O27" i="7" s="1"/>
  <c r="M22" i="7"/>
  <c r="N22" i="7" s="1"/>
  <c r="O22" i="7" s="1"/>
  <c r="M79" i="7"/>
  <c r="M71" i="7"/>
  <c r="M54" i="7"/>
  <c r="N54" i="7" s="1"/>
  <c r="O54" i="7" s="1"/>
  <c r="M47" i="7"/>
  <c r="M42" i="7"/>
  <c r="N42" i="7" s="1"/>
  <c r="O42" i="7" s="1"/>
  <c r="M32" i="7"/>
  <c r="N32" i="7" s="1"/>
  <c r="O32" i="7" s="1"/>
  <c r="M74" i="7"/>
  <c r="N74" i="7" s="1"/>
  <c r="O74" i="7" s="1"/>
  <c r="M73" i="7"/>
  <c r="N73" i="7" s="1"/>
  <c r="O73" i="7" s="1"/>
  <c r="M66" i="7"/>
  <c r="M52" i="7"/>
  <c r="M46" i="7"/>
  <c r="N46" i="7" s="1"/>
  <c r="O46" i="7" s="1"/>
  <c r="M41" i="7"/>
  <c r="N41" i="7" s="1"/>
  <c r="O41" i="7" s="1"/>
  <c r="M31" i="7"/>
  <c r="M64" i="7"/>
  <c r="N64" i="7" s="1"/>
  <c r="O64" i="7" s="1"/>
  <c r="M63" i="7"/>
  <c r="N63" i="7" s="1"/>
  <c r="O63" i="7" s="1"/>
  <c r="M49" i="7"/>
  <c r="N49" i="7" s="1"/>
  <c r="O49" i="7" s="1"/>
  <c r="M28" i="7"/>
  <c r="N28" i="7" s="1"/>
  <c r="O28" i="7" s="1"/>
  <c r="M13" i="7"/>
  <c r="N13" i="7" s="1"/>
  <c r="O13" i="7" s="1"/>
  <c r="M61" i="7"/>
  <c r="N61" i="7" s="1"/>
  <c r="O61" i="7" s="1"/>
  <c r="M53" i="7"/>
  <c r="N53" i="7" s="1"/>
  <c r="O53" i="7" s="1"/>
  <c r="M15" i="7"/>
  <c r="N15" i="7" s="1"/>
  <c r="O15" i="7" s="1"/>
  <c r="M65" i="7"/>
  <c r="N65" i="7" s="1"/>
  <c r="O65" i="7" s="1"/>
  <c r="M59" i="7"/>
  <c r="N59" i="7" s="1"/>
  <c r="O59" i="7" s="1"/>
  <c r="M38" i="7"/>
  <c r="N38" i="7" s="1"/>
  <c r="O38" i="7" s="1"/>
  <c r="M33" i="7"/>
  <c r="M29" i="7"/>
  <c r="M19" i="7"/>
  <c r="N19" i="7" s="1"/>
  <c r="O19" i="7" s="1"/>
  <c r="M10" i="7"/>
  <c r="N10" i="7" s="1"/>
  <c r="O10" i="7" s="1"/>
  <c r="M43" i="7"/>
  <c r="N43" i="7" s="1"/>
  <c r="O43" i="7" s="1"/>
  <c r="M35" i="7"/>
  <c r="N35" i="7" s="1"/>
  <c r="O35" i="7" s="1"/>
  <c r="M23" i="7"/>
  <c r="N23" i="7" s="1"/>
  <c r="O23" i="7" s="1"/>
  <c r="M17" i="7"/>
  <c r="N17" i="7" s="1"/>
  <c r="O17" i="7" s="1"/>
  <c r="M14" i="7"/>
  <c r="N14" i="7" s="1"/>
  <c r="O14" i="7" s="1"/>
  <c r="M67" i="7"/>
  <c r="N67" i="7" s="1"/>
  <c r="O67" i="7" s="1"/>
  <c r="M44" i="7"/>
  <c r="N44" i="7" s="1"/>
  <c r="O44" i="7" s="1"/>
  <c r="M12" i="7"/>
  <c r="N12" i="7" s="1"/>
  <c r="O12" i="7" s="1"/>
  <c r="M9" i="7"/>
  <c r="M51" i="7"/>
  <c r="N51" i="7" s="1"/>
  <c r="O51" i="7" s="1"/>
  <c r="M20" i="7"/>
  <c r="N20" i="7" s="1"/>
  <c r="O20" i="7" s="1"/>
  <c r="M80" i="7"/>
  <c r="N80" i="7" s="1"/>
  <c r="O80" i="7" s="1"/>
  <c r="M26" i="7"/>
  <c r="N26" i="7" s="1"/>
  <c r="O26" i="7" s="1"/>
  <c r="M82" i="7"/>
  <c r="N82" i="7" s="1"/>
  <c r="O82" i="7" s="1"/>
  <c r="M48" i="7"/>
  <c r="N48" i="7" s="1"/>
  <c r="O48" i="7" s="1"/>
  <c r="M16" i="7"/>
  <c r="N16" i="7" s="1"/>
  <c r="O16" i="7" s="1"/>
  <c r="N31" i="7"/>
  <c r="O31" i="7" s="1"/>
  <c r="O56" i="6"/>
  <c r="N49" i="5"/>
  <c r="O49" i="5" s="1"/>
  <c r="N13" i="6"/>
  <c r="O13" i="6" s="1"/>
  <c r="O35" i="6"/>
  <c r="M24" i="7"/>
  <c r="N24" i="7" s="1"/>
  <c r="O24" i="7" s="1"/>
  <c r="M36" i="7"/>
  <c r="N36" i="7" s="1"/>
  <c r="O36" i="7" s="1"/>
  <c r="M77" i="7"/>
  <c r="N77" i="7" s="1"/>
  <c r="O77" i="7" s="1"/>
  <c r="N65" i="6"/>
  <c r="O65" i="6" s="1"/>
  <c r="N66" i="7"/>
  <c r="O66" i="7" s="1"/>
  <c r="Q9" i="8"/>
  <c r="R9" i="8" s="1"/>
  <c r="S9" i="8" s="1"/>
  <c r="P9" i="8"/>
  <c r="N34" i="5"/>
  <c r="O34" i="5" s="1"/>
  <c r="S86" i="5"/>
  <c r="N21" i="6"/>
  <c r="O21" i="6" s="1"/>
  <c r="N23" i="6"/>
  <c r="O23" i="6" s="1"/>
  <c r="R23" i="6" s="1"/>
  <c r="Y23" i="6" s="1"/>
  <c r="O49" i="6"/>
  <c r="O51" i="6"/>
  <c r="N67" i="6"/>
  <c r="O67" i="6" s="1"/>
  <c r="R92" i="6"/>
  <c r="Q91" i="6"/>
  <c r="R91" i="6" s="1"/>
  <c r="Q13" i="8"/>
  <c r="R13" i="8" s="1"/>
  <c r="S13" i="8" s="1"/>
  <c r="P13" i="8"/>
  <c r="N26" i="6"/>
  <c r="O26" i="6" s="1"/>
  <c r="N28" i="6"/>
  <c r="O28" i="6" s="1"/>
  <c r="N30" i="6"/>
  <c r="O45" i="6"/>
  <c r="O53" i="6"/>
  <c r="O61" i="6"/>
  <c r="N63" i="6"/>
  <c r="O63" i="6" s="1"/>
  <c r="Q85" i="6"/>
  <c r="R85" i="6" s="1"/>
  <c r="L93" i="6"/>
  <c r="N25" i="7"/>
  <c r="O25" i="7" s="1"/>
  <c r="N60" i="7"/>
  <c r="O60" i="7" s="1"/>
  <c r="N78" i="7"/>
  <c r="O78" i="7" s="1"/>
  <c r="AB81" i="8"/>
  <c r="Z81" i="8"/>
  <c r="O30" i="6"/>
  <c r="O39" i="6"/>
  <c r="N73" i="6"/>
  <c r="O73" i="6" s="1"/>
  <c r="R73" i="6" s="1"/>
  <c r="N76" i="6"/>
  <c r="O76" i="6" s="1"/>
  <c r="N80" i="6"/>
  <c r="O80" i="6" s="1"/>
  <c r="O84" i="6"/>
  <c r="L94" i="7"/>
  <c r="AB82" i="8"/>
  <c r="Z82" i="8"/>
  <c r="O36" i="6"/>
  <c r="O44" i="6"/>
  <c r="O52" i="6"/>
  <c r="Q86" i="6"/>
  <c r="R86" i="6" s="1"/>
  <c r="N21" i="7"/>
  <c r="O21" i="7" s="1"/>
  <c r="N52" i="7"/>
  <c r="O52" i="7" s="1"/>
  <c r="S17" i="8"/>
  <c r="P17" i="8"/>
  <c r="N71" i="7"/>
  <c r="O71" i="7" s="1"/>
  <c r="R84" i="7"/>
  <c r="S84" i="7" s="1"/>
  <c r="P84" i="7"/>
  <c r="M33" i="6"/>
  <c r="M34" i="6"/>
  <c r="N34" i="6" s="1"/>
  <c r="O34" i="6" s="1"/>
  <c r="N34" i="7"/>
  <c r="O34" i="7" s="1"/>
  <c r="N39" i="7"/>
  <c r="O39" i="7" s="1"/>
  <c r="N47" i="7"/>
  <c r="O47" i="7" s="1"/>
  <c r="N62" i="7"/>
  <c r="O62" i="7" s="1"/>
  <c r="Q20" i="8"/>
  <c r="R20" i="8" s="1"/>
  <c r="S20" i="8" s="1"/>
  <c r="P20" i="8"/>
  <c r="AB84" i="8"/>
  <c r="Z84" i="8"/>
  <c r="N29" i="7"/>
  <c r="O29" i="7" s="1"/>
  <c r="N33" i="7"/>
  <c r="O33" i="7" s="1"/>
  <c r="N85" i="7"/>
  <c r="O85" i="7" s="1"/>
  <c r="R78" i="8"/>
  <c r="S78" i="8" s="1"/>
  <c r="P78" i="8"/>
  <c r="M24" i="6"/>
  <c r="M64" i="6"/>
  <c r="N64" i="6" s="1"/>
  <c r="O64" i="6" s="1"/>
  <c r="M66" i="6"/>
  <c r="N66" i="6" s="1"/>
  <c r="O66" i="6" s="1"/>
  <c r="M68" i="6"/>
  <c r="N68" i="6" s="1"/>
  <c r="O68" i="6" s="1"/>
  <c r="M70" i="6"/>
  <c r="M72" i="6"/>
  <c r="M75" i="6"/>
  <c r="N75" i="6" s="1"/>
  <c r="M77" i="6"/>
  <c r="M79" i="6"/>
  <c r="M81" i="6"/>
  <c r="N81" i="6" s="1"/>
  <c r="O81" i="6" s="1"/>
  <c r="M83" i="6"/>
  <c r="N83" i="6" s="1"/>
  <c r="O83" i="6" s="1"/>
  <c r="S15" i="8"/>
  <c r="N79" i="7"/>
  <c r="O79" i="7" s="1"/>
  <c r="AD88" i="7"/>
  <c r="S66" i="8"/>
  <c r="P66" i="8"/>
  <c r="R86" i="7"/>
  <c r="S86" i="7" s="1"/>
  <c r="P86" i="7"/>
  <c r="N42" i="8"/>
  <c r="O42" i="8" s="1"/>
  <c r="N70" i="7"/>
  <c r="O70" i="7" s="1"/>
  <c r="P34" i="8"/>
  <c r="N57" i="7"/>
  <c r="O57" i="7" s="1"/>
  <c r="R87" i="7"/>
  <c r="S87" i="7" s="1"/>
  <c r="P87" i="7"/>
  <c r="AB89" i="7"/>
  <c r="Z89" i="7"/>
  <c r="AB93" i="7"/>
  <c r="Z93" i="7"/>
  <c r="Q12" i="8"/>
  <c r="R12" i="8" s="1"/>
  <c r="S12" i="8" s="1"/>
  <c r="L87" i="8"/>
  <c r="N3" i="8"/>
  <c r="O3" i="8" s="1"/>
  <c r="Q45" i="8"/>
  <c r="R45" i="8" s="1"/>
  <c r="S45" i="8" s="1"/>
  <c r="P45" i="8"/>
  <c r="R83" i="8"/>
  <c r="S83" i="8" s="1"/>
  <c r="N36" i="8"/>
  <c r="O36" i="8" s="1"/>
  <c r="Z88" i="7"/>
  <c r="N2" i="8"/>
  <c r="Q7" i="8"/>
  <c r="R7" i="8" s="1"/>
  <c r="S7" i="8" s="1"/>
  <c r="N75" i="8"/>
  <c r="O75" i="8" s="1"/>
  <c r="S79" i="8"/>
  <c r="R86" i="8"/>
  <c r="S86" i="8" s="1"/>
  <c r="R91" i="7"/>
  <c r="S91" i="7" s="1"/>
  <c r="N24" i="8"/>
  <c r="O24" i="8" s="1"/>
  <c r="M35" i="8"/>
  <c r="N35" i="8" s="1"/>
  <c r="O35" i="8" s="1"/>
  <c r="M68" i="8"/>
  <c r="N68" i="8" s="1"/>
  <c r="O68" i="8" s="1"/>
  <c r="N70" i="8"/>
  <c r="O70" i="8" s="1"/>
  <c r="M71" i="8"/>
  <c r="N71" i="8" s="1"/>
  <c r="O71" i="8" s="1"/>
  <c r="M72" i="8"/>
  <c r="N72" i="8" s="1"/>
  <c r="O72" i="8" s="1"/>
  <c r="M75" i="8"/>
  <c r="M76" i="8"/>
  <c r="N76" i="8" s="1"/>
  <c r="O76" i="8" s="1"/>
  <c r="P92" i="7"/>
  <c r="M38" i="8"/>
  <c r="N38" i="8" s="1"/>
  <c r="O38" i="8" s="1"/>
  <c r="M41" i="8"/>
  <c r="N41" i="8" s="1"/>
  <c r="O41" i="8" s="1"/>
  <c r="M54" i="8"/>
  <c r="N54" i="8" s="1"/>
  <c r="O54" i="8" s="1"/>
  <c r="P88" i="7"/>
  <c r="R92" i="7"/>
  <c r="S92" i="7" s="1"/>
  <c r="M57" i="8"/>
  <c r="N57" i="8" s="1"/>
  <c r="O57" i="8" s="1"/>
  <c r="M58" i="8"/>
  <c r="N58" i="8" s="1"/>
  <c r="O58" i="8" s="1"/>
  <c r="M61" i="8"/>
  <c r="N61" i="8" s="1"/>
  <c r="O61" i="8" s="1"/>
  <c r="M62" i="8"/>
  <c r="N62" i="8" s="1"/>
  <c r="O62" i="8" s="1"/>
  <c r="N64" i="8"/>
  <c r="O64" i="8" s="1"/>
  <c r="M65" i="8"/>
  <c r="N65" i="8" s="1"/>
  <c r="O65" i="8" s="1"/>
  <c r="R85" i="8"/>
  <c r="S85" i="8" s="1"/>
  <c r="M33" i="8"/>
  <c r="N33" i="8" s="1"/>
  <c r="O33" i="8" s="1"/>
  <c r="M29" i="8"/>
  <c r="N29" i="8" s="1"/>
  <c r="O29" i="8" s="1"/>
  <c r="M22" i="8"/>
  <c r="N22" i="8" s="1"/>
  <c r="O22" i="8" s="1"/>
  <c r="M73" i="8"/>
  <c r="N73" i="8" s="1"/>
  <c r="O73" i="8" s="1"/>
  <c r="M69" i="8"/>
  <c r="N69" i="8" s="1"/>
  <c r="O69" i="8" s="1"/>
  <c r="M63" i="8"/>
  <c r="N63" i="8" s="1"/>
  <c r="O63" i="8" s="1"/>
  <c r="M59" i="8"/>
  <c r="N59" i="8" s="1"/>
  <c r="O59" i="8" s="1"/>
  <c r="M52" i="8"/>
  <c r="N52" i="8" s="1"/>
  <c r="O52" i="8" s="1"/>
  <c r="M48" i="8"/>
  <c r="N48" i="8" s="1"/>
  <c r="O48" i="8" s="1"/>
  <c r="M44" i="8"/>
  <c r="N44" i="8" s="1"/>
  <c r="O44" i="8" s="1"/>
  <c r="M40" i="8"/>
  <c r="N40" i="8" s="1"/>
  <c r="O40" i="8" s="1"/>
  <c r="M36" i="8"/>
  <c r="M32" i="8"/>
  <c r="N32" i="8" s="1"/>
  <c r="O32" i="8" s="1"/>
  <c r="M28" i="8"/>
  <c r="N28" i="8" s="1"/>
  <c r="O28" i="8" s="1"/>
  <c r="M25" i="8"/>
  <c r="N25" i="8" s="1"/>
  <c r="O25" i="8" s="1"/>
  <c r="M21" i="8"/>
  <c r="N21" i="8" s="1"/>
  <c r="O21" i="8" s="1"/>
  <c r="M74" i="8"/>
  <c r="N74" i="8" s="1"/>
  <c r="O74" i="8" s="1"/>
  <c r="M70" i="8"/>
  <c r="M67" i="8"/>
  <c r="N67" i="8" s="1"/>
  <c r="O67" i="8" s="1"/>
  <c r="M64" i="8"/>
  <c r="M60" i="8"/>
  <c r="N60" i="8" s="1"/>
  <c r="O60" i="8" s="1"/>
  <c r="M56" i="8"/>
  <c r="N56" i="8" s="1"/>
  <c r="O56" i="8" s="1"/>
  <c r="M55" i="8"/>
  <c r="N55" i="8" s="1"/>
  <c r="O55" i="8" s="1"/>
  <c r="M51" i="8"/>
  <c r="N51" i="8" s="1"/>
  <c r="O51" i="8" s="1"/>
  <c r="M47" i="8"/>
  <c r="N47" i="8" s="1"/>
  <c r="O47" i="8" s="1"/>
  <c r="M43" i="8"/>
  <c r="N43" i="8" s="1"/>
  <c r="O43" i="8" s="1"/>
  <c r="M39" i="8"/>
  <c r="N39" i="8" s="1"/>
  <c r="O39" i="8" s="1"/>
  <c r="M5" i="8"/>
  <c r="N5" i="8" s="1"/>
  <c r="O5" i="8" s="1"/>
  <c r="M18" i="8"/>
  <c r="N18" i="8" s="1"/>
  <c r="O18" i="8" s="1"/>
  <c r="M23" i="8"/>
  <c r="N23" i="8" s="1"/>
  <c r="O23" i="8" s="1"/>
  <c r="M27" i="8"/>
  <c r="N27" i="8" s="1"/>
  <c r="O27" i="8" s="1"/>
  <c r="M37" i="8"/>
  <c r="N37" i="8" s="1"/>
  <c r="O37" i="8" s="1"/>
  <c r="M50" i="8"/>
  <c r="N50" i="8" s="1"/>
  <c r="O50" i="8" s="1"/>
  <c r="M53" i="8"/>
  <c r="N53" i="8" s="1"/>
  <c r="O53" i="8" s="1"/>
  <c r="R80" i="8"/>
  <c r="S80" i="8" s="1"/>
  <c r="P10" i="6" l="1"/>
  <c r="Q10" i="6" s="1"/>
  <c r="R10" i="6"/>
  <c r="Y10" i="6" s="1"/>
  <c r="Q69" i="5"/>
  <c r="R69" i="5" s="1"/>
  <c r="S69" i="5" s="1"/>
  <c r="P69" i="5"/>
  <c r="P14" i="8"/>
  <c r="Q14" i="8"/>
  <c r="R14" i="8" s="1"/>
  <c r="S14" i="8" s="1"/>
  <c r="N24" i="1"/>
  <c r="O24" i="1" s="1"/>
  <c r="P24" i="1" s="1"/>
  <c r="J24" i="11"/>
  <c r="K24" i="11" s="1"/>
  <c r="L24" i="11" s="1"/>
  <c r="M24" i="11" s="1"/>
  <c r="Q8" i="8"/>
  <c r="R8" i="8" s="1"/>
  <c r="S8" i="8" s="1"/>
  <c r="O57" i="6"/>
  <c r="O54" i="6"/>
  <c r="P54" i="6" s="1"/>
  <c r="Q54" i="6" s="1"/>
  <c r="Q11" i="8"/>
  <c r="R11" i="8" s="1"/>
  <c r="S11" i="8" s="1"/>
  <c r="P6" i="8"/>
  <c r="J42" i="11"/>
  <c r="K42" i="11" s="1"/>
  <c r="L42" i="11" s="1"/>
  <c r="M42" i="11" s="1"/>
  <c r="P26" i="8"/>
  <c r="R42" i="6"/>
  <c r="Y42" i="6" s="1"/>
  <c r="Q41" i="5"/>
  <c r="R41" i="5" s="1"/>
  <c r="S41" i="5" s="1"/>
  <c r="AC93" i="5"/>
  <c r="P4" i="8"/>
  <c r="N70" i="6"/>
  <c r="O70" i="6" s="1"/>
  <c r="P70" i="6" s="1"/>
  <c r="Q70" i="6" s="1"/>
  <c r="R70" i="6" s="1"/>
  <c r="O60" i="6"/>
  <c r="P60" i="6" s="1"/>
  <c r="Q60" i="6" s="1"/>
  <c r="R60" i="6" s="1"/>
  <c r="Y60" i="6" s="1"/>
  <c r="J35" i="11"/>
  <c r="K35" i="11" s="1"/>
  <c r="L35" i="11" s="1"/>
  <c r="M35" i="11" s="1"/>
  <c r="O74" i="6"/>
  <c r="R74" i="6" s="1"/>
  <c r="P77" i="8"/>
  <c r="P49" i="8"/>
  <c r="J45" i="11"/>
  <c r="O41" i="6"/>
  <c r="P41" i="6" s="1"/>
  <c r="Q41" i="6" s="1"/>
  <c r="J26" i="11"/>
  <c r="K26" i="11" s="1"/>
  <c r="L26" i="11" s="1"/>
  <c r="M26" i="11" s="1"/>
  <c r="O21" i="12"/>
  <c r="O43" i="12"/>
  <c r="O41" i="12"/>
  <c r="O27" i="12"/>
  <c r="O20" i="12"/>
  <c r="P16" i="12"/>
  <c r="P23" i="12"/>
  <c r="P48" i="12"/>
  <c r="P8" i="12"/>
  <c r="O30" i="12"/>
  <c r="O33" i="12"/>
  <c r="O13" i="12"/>
  <c r="P15" i="12"/>
  <c r="O34" i="12"/>
  <c r="O19" i="12"/>
  <c r="O28" i="12"/>
  <c r="O6" i="12"/>
  <c r="O4" i="12"/>
  <c r="O51" i="12"/>
  <c r="P47" i="12"/>
  <c r="P39" i="12"/>
  <c r="P32" i="12"/>
  <c r="P36" i="12"/>
  <c r="O17" i="12"/>
  <c r="O14" i="12"/>
  <c r="O29" i="12"/>
  <c r="O35" i="12"/>
  <c r="O5" i="12"/>
  <c r="O53" i="12"/>
  <c r="P18" i="12"/>
  <c r="O37" i="12"/>
  <c r="P10" i="12"/>
  <c r="O42" i="12"/>
  <c r="O25" i="12"/>
  <c r="O11" i="12"/>
  <c r="O46" i="12"/>
  <c r="P24" i="12"/>
  <c r="P31" i="12"/>
  <c r="P44" i="12"/>
  <c r="P40" i="12"/>
  <c r="P7" i="12"/>
  <c r="O45" i="12"/>
  <c r="O9" i="12"/>
  <c r="O22" i="12"/>
  <c r="O38" i="12"/>
  <c r="O49" i="12"/>
  <c r="P52" i="12"/>
  <c r="P26" i="12"/>
  <c r="O50" i="12"/>
  <c r="O12" i="12"/>
  <c r="M54" i="12"/>
  <c r="M57" i="12" s="1"/>
  <c r="L73" i="12"/>
  <c r="M70" i="12"/>
  <c r="P29" i="6"/>
  <c r="Q29" i="6" s="1"/>
  <c r="R29" i="6" s="1"/>
  <c r="Y29" i="6" s="1"/>
  <c r="Y90" i="6"/>
  <c r="AA90" i="6"/>
  <c r="P59" i="6"/>
  <c r="Q59" i="6" s="1"/>
  <c r="R59" i="6" s="1"/>
  <c r="Y59" i="6" s="1"/>
  <c r="P25" i="5"/>
  <c r="S25" i="5"/>
  <c r="Q46" i="8"/>
  <c r="R46" i="8" s="1"/>
  <c r="S46" i="8" s="1"/>
  <c r="P46" i="8"/>
  <c r="Q10" i="8"/>
  <c r="R10" i="8" s="1"/>
  <c r="S10" i="8" s="1"/>
  <c r="P10" i="8"/>
  <c r="Q10" i="5"/>
  <c r="R10" i="5" s="1"/>
  <c r="S10" i="5" s="1"/>
  <c r="AA10" i="5" s="1"/>
  <c r="P10" i="5"/>
  <c r="Q30" i="8"/>
  <c r="R30" i="8" s="1"/>
  <c r="S30" i="8" s="1"/>
  <c r="Z30" i="8" s="1"/>
  <c r="P30" i="8"/>
  <c r="P14" i="6"/>
  <c r="Q14" i="6" s="1"/>
  <c r="R14" i="6" s="1"/>
  <c r="Y14" i="6" s="1"/>
  <c r="N72" i="1"/>
  <c r="O72" i="1" s="1"/>
  <c r="P72" i="1" s="1"/>
  <c r="J72" i="11"/>
  <c r="K72" i="11" s="1"/>
  <c r="L72" i="11" s="1"/>
  <c r="M72" i="11" s="1"/>
  <c r="P21" i="5"/>
  <c r="S82" i="5"/>
  <c r="J30" i="11"/>
  <c r="K30" i="11" s="1"/>
  <c r="L30" i="11" s="1"/>
  <c r="M30" i="11" s="1"/>
  <c r="J49" i="11"/>
  <c r="K49" i="11" s="1"/>
  <c r="L49" i="11" s="1"/>
  <c r="M49" i="11" s="1"/>
  <c r="P16" i="8"/>
  <c r="M93" i="6"/>
  <c r="J18" i="11"/>
  <c r="K18" i="11" s="1"/>
  <c r="L18" i="11" s="1"/>
  <c r="M18" i="11" s="1"/>
  <c r="J16" i="11"/>
  <c r="K16" i="11" s="1"/>
  <c r="L16" i="11" s="1"/>
  <c r="M16" i="11" s="1"/>
  <c r="N48" i="6"/>
  <c r="O48" i="6" s="1"/>
  <c r="P48" i="6" s="1"/>
  <c r="Q48" i="6" s="1"/>
  <c r="R48" i="6" s="1"/>
  <c r="Y48" i="6" s="1"/>
  <c r="N22" i="6"/>
  <c r="O22" i="6" s="1"/>
  <c r="R22" i="6" s="1"/>
  <c r="Y22" i="6" s="1"/>
  <c r="R16" i="6"/>
  <c r="Y16" i="6" s="1"/>
  <c r="J4" i="11"/>
  <c r="K4" i="11" s="1"/>
  <c r="L4" i="11" s="1"/>
  <c r="M4" i="11" s="1"/>
  <c r="J38" i="11"/>
  <c r="K38" i="11" s="1"/>
  <c r="L38" i="11" s="1"/>
  <c r="M38" i="11" s="1"/>
  <c r="Y74" i="6"/>
  <c r="AA74" i="6"/>
  <c r="R41" i="6"/>
  <c r="Y41" i="6" s="1"/>
  <c r="R43" i="6"/>
  <c r="Y43" i="6" s="1"/>
  <c r="J17" i="11"/>
  <c r="K17" i="11" s="1"/>
  <c r="L17" i="11" s="1"/>
  <c r="M17" i="11" s="1"/>
  <c r="J25" i="11"/>
  <c r="K25" i="11" s="1"/>
  <c r="L25" i="11" s="1"/>
  <c r="M25" i="11" s="1"/>
  <c r="J36" i="11"/>
  <c r="K36" i="11" s="1"/>
  <c r="L36" i="11" s="1"/>
  <c r="M36" i="11" s="1"/>
  <c r="J50" i="11"/>
  <c r="K50" i="11" s="1"/>
  <c r="L50" i="11" s="1"/>
  <c r="M50" i="11" s="1"/>
  <c r="R54" i="6"/>
  <c r="Y54" i="6" s="1"/>
  <c r="J5" i="11"/>
  <c r="J52" i="11"/>
  <c r="K52" i="11" s="1"/>
  <c r="L52" i="11" s="1"/>
  <c r="M52" i="11" s="1"/>
  <c r="J47" i="11"/>
  <c r="K47" i="11" s="1"/>
  <c r="L47" i="11" s="1"/>
  <c r="M47" i="11" s="1"/>
  <c r="O58" i="6"/>
  <c r="J28" i="11"/>
  <c r="K28" i="11" s="1"/>
  <c r="L28" i="11" s="1"/>
  <c r="M28" i="11" s="1"/>
  <c r="P19" i="8"/>
  <c r="J31" i="11"/>
  <c r="K31" i="11" s="1"/>
  <c r="L31" i="11" s="1"/>
  <c r="M31" i="11" s="1"/>
  <c r="M8" i="1"/>
  <c r="N8" i="1" s="1"/>
  <c r="O8" i="1" s="1"/>
  <c r="P8" i="1" s="1"/>
  <c r="N18" i="6"/>
  <c r="O18" i="6" s="1"/>
  <c r="P18" i="6" s="1"/>
  <c r="Q18" i="6" s="1"/>
  <c r="R18" i="6" s="1"/>
  <c r="Y18" i="6" s="1"/>
  <c r="J12" i="11"/>
  <c r="K12" i="11" s="1"/>
  <c r="L12" i="11" s="1"/>
  <c r="M12" i="11" s="1"/>
  <c r="AE89" i="6"/>
  <c r="AC89" i="6"/>
  <c r="O37" i="6"/>
  <c r="J9" i="11"/>
  <c r="K9" i="11" s="1"/>
  <c r="L9" i="11" s="1"/>
  <c r="M9" i="11" s="1"/>
  <c r="J14" i="11"/>
  <c r="K14" i="11" s="1"/>
  <c r="L14" i="11" s="1"/>
  <c r="M14" i="11" s="1"/>
  <c r="J23" i="11"/>
  <c r="K23" i="11" s="1"/>
  <c r="L23" i="11" s="1"/>
  <c r="M23" i="11" s="1"/>
  <c r="J29" i="11"/>
  <c r="K29" i="11" s="1"/>
  <c r="L29" i="11" s="1"/>
  <c r="M29" i="11" s="1"/>
  <c r="J37" i="11"/>
  <c r="K37" i="11" s="1"/>
  <c r="L37" i="11" s="1"/>
  <c r="M37" i="11" s="1"/>
  <c r="J13" i="11"/>
  <c r="K13" i="11" s="1"/>
  <c r="L13" i="11" s="1"/>
  <c r="M13" i="11" s="1"/>
  <c r="J21" i="11"/>
  <c r="K21" i="11" s="1"/>
  <c r="L21" i="11" s="1"/>
  <c r="M21" i="11" s="1"/>
  <c r="J11" i="11"/>
  <c r="K11" i="11" s="1"/>
  <c r="L11" i="11" s="1"/>
  <c r="M11" i="11" s="1"/>
  <c r="J33" i="11"/>
  <c r="K33" i="11" s="1"/>
  <c r="L33" i="11" s="1"/>
  <c r="M33" i="11" s="1"/>
  <c r="J6" i="11"/>
  <c r="K6" i="11" s="1"/>
  <c r="L6" i="11" s="1"/>
  <c r="M6" i="11" s="1"/>
  <c r="K45" i="11"/>
  <c r="L45" i="11" s="1"/>
  <c r="M45" i="11" s="1"/>
  <c r="K54" i="1"/>
  <c r="M7" i="1"/>
  <c r="N7" i="1" s="1"/>
  <c r="O7" i="1" s="1"/>
  <c r="P7" i="1" s="1"/>
  <c r="P30" i="1"/>
  <c r="N25" i="1"/>
  <c r="O25" i="1" s="1"/>
  <c r="P25" i="1" s="1"/>
  <c r="N51" i="1"/>
  <c r="O51" i="1" s="1"/>
  <c r="P51" i="1" s="1"/>
  <c r="N48" i="1"/>
  <c r="O48" i="1" s="1"/>
  <c r="P48" i="1" s="1"/>
  <c r="M3" i="1"/>
  <c r="N3" i="1" s="1"/>
  <c r="P47" i="1"/>
  <c r="M41" i="1"/>
  <c r="N41" i="1" s="1"/>
  <c r="O41" i="1" s="1"/>
  <c r="P41" i="1" s="1"/>
  <c r="P39" i="1"/>
  <c r="M52" i="1"/>
  <c r="P16" i="1"/>
  <c r="P33" i="1"/>
  <c r="P20" i="1"/>
  <c r="Z19" i="8"/>
  <c r="Y86" i="6"/>
  <c r="AA86" i="6"/>
  <c r="Q42" i="7"/>
  <c r="R42" i="7" s="1"/>
  <c r="S42" i="7" s="1"/>
  <c r="P42" i="7"/>
  <c r="Q61" i="5"/>
  <c r="R61" i="5" s="1"/>
  <c r="S61" i="5" s="1"/>
  <c r="P61" i="5"/>
  <c r="AA81" i="5"/>
  <c r="AC81" i="5"/>
  <c r="Z8" i="8"/>
  <c r="AB84" i="7"/>
  <c r="Z84" i="7"/>
  <c r="AA87" i="5"/>
  <c r="AC87" i="5"/>
  <c r="Q44" i="5"/>
  <c r="R44" i="5" s="1"/>
  <c r="S44" i="5" s="1"/>
  <c r="P44" i="5"/>
  <c r="P54" i="5"/>
  <c r="Q54" i="5"/>
  <c r="R54" i="5" s="1"/>
  <c r="S54" i="5" s="1"/>
  <c r="Q52" i="8"/>
  <c r="R52" i="8" s="1"/>
  <c r="S52" i="8" s="1"/>
  <c r="P52" i="8"/>
  <c r="P64" i="6"/>
  <c r="Q64" i="6" s="1"/>
  <c r="R64" i="6" s="1"/>
  <c r="Q78" i="5"/>
  <c r="R78" i="5" s="1"/>
  <c r="S78" i="5" s="1"/>
  <c r="P78" i="5"/>
  <c r="Z18" i="7"/>
  <c r="Q59" i="8"/>
  <c r="R59" i="8" s="1"/>
  <c r="S59" i="8" s="1"/>
  <c r="P59" i="8"/>
  <c r="P67" i="7"/>
  <c r="Q67" i="7"/>
  <c r="R67" i="7" s="1"/>
  <c r="S67" i="7" s="1"/>
  <c r="Q36" i="5"/>
  <c r="R36" i="5" s="1"/>
  <c r="S36" i="5" s="1"/>
  <c r="P36" i="5"/>
  <c r="P27" i="6"/>
  <c r="Q27" i="6" s="1"/>
  <c r="R27" i="6" s="1"/>
  <c r="Y27" i="6" s="1"/>
  <c r="AA21" i="5"/>
  <c r="Z9" i="8"/>
  <c r="Q60" i="5"/>
  <c r="R60" i="5" s="1"/>
  <c r="P60" i="5"/>
  <c r="S60" i="5"/>
  <c r="Q57" i="8"/>
  <c r="R57" i="8" s="1"/>
  <c r="S57" i="8" s="1"/>
  <c r="P57" i="8"/>
  <c r="Z34" i="8"/>
  <c r="Q80" i="5"/>
  <c r="R80" i="5" s="1"/>
  <c r="S80" i="5" s="1"/>
  <c r="P80" i="5"/>
  <c r="Q65" i="5"/>
  <c r="R65" i="5" s="1"/>
  <c r="S65" i="5" s="1"/>
  <c r="P65" i="5"/>
  <c r="AC70" i="5"/>
  <c r="AA70" i="5"/>
  <c r="P51" i="8"/>
  <c r="Q51" i="8"/>
  <c r="R51" i="8" s="1"/>
  <c r="S51" i="8" s="1"/>
  <c r="AB86" i="7"/>
  <c r="Z86" i="7"/>
  <c r="P83" i="6"/>
  <c r="Q83" i="6" s="1"/>
  <c r="R83" i="6" s="1"/>
  <c r="P65" i="6"/>
  <c r="Q65" i="6" s="1"/>
  <c r="R65" i="6" s="1"/>
  <c r="Q46" i="7"/>
  <c r="R46" i="7" s="1"/>
  <c r="S46" i="7" s="1"/>
  <c r="P46" i="7"/>
  <c r="P82" i="6"/>
  <c r="Q82" i="6" s="1"/>
  <c r="R82" i="6" s="1"/>
  <c r="P55" i="8"/>
  <c r="S55" i="8"/>
  <c r="Q25" i="8"/>
  <c r="R25" i="8" s="1"/>
  <c r="S25" i="8" s="1"/>
  <c r="P25" i="8"/>
  <c r="AB92" i="7"/>
  <c r="Z92" i="7"/>
  <c r="Q35" i="8"/>
  <c r="R35" i="8" s="1"/>
  <c r="S35" i="8" s="1"/>
  <c r="P35" i="8"/>
  <c r="P28" i="6"/>
  <c r="Q28" i="6" s="1"/>
  <c r="R28" i="6" s="1"/>
  <c r="Y28" i="6" s="1"/>
  <c r="P56" i="8"/>
  <c r="Q56" i="8"/>
  <c r="R56" i="8" s="1"/>
  <c r="S56" i="8" s="1"/>
  <c r="Q28" i="8"/>
  <c r="R28" i="8" s="1"/>
  <c r="S28" i="8" s="1"/>
  <c r="P28" i="8"/>
  <c r="Q63" i="8"/>
  <c r="R63" i="8" s="1"/>
  <c r="S63" i="8" s="1"/>
  <c r="P63" i="8"/>
  <c r="Q65" i="8"/>
  <c r="R65" i="8" s="1"/>
  <c r="S65" i="8" s="1"/>
  <c r="P65" i="8"/>
  <c r="Z87" i="7"/>
  <c r="AB87" i="7"/>
  <c r="Z46" i="8"/>
  <c r="P63" i="6"/>
  <c r="Q63" i="6" s="1"/>
  <c r="R63" i="6" s="1"/>
  <c r="P26" i="6"/>
  <c r="Q26" i="6" s="1"/>
  <c r="R26" i="6" s="1"/>
  <c r="Y26" i="6" s="1"/>
  <c r="P34" i="6"/>
  <c r="Q34" i="6" s="1"/>
  <c r="R34" i="6" s="1"/>
  <c r="Y34" i="6" s="1"/>
  <c r="Q14" i="7"/>
  <c r="R14" i="7" s="1"/>
  <c r="S14" i="7" s="1"/>
  <c r="P14" i="7"/>
  <c r="AB90" i="7"/>
  <c r="Z90" i="7"/>
  <c r="Q30" i="5"/>
  <c r="R30" i="5" s="1"/>
  <c r="S30" i="5" s="1"/>
  <c r="P30" i="5"/>
  <c r="Q71" i="8"/>
  <c r="R71" i="8" s="1"/>
  <c r="S71" i="8" s="1"/>
  <c r="P71" i="8"/>
  <c r="P60" i="8"/>
  <c r="Q60" i="8"/>
  <c r="R60" i="8" s="1"/>
  <c r="S60" i="8" s="1"/>
  <c r="Q32" i="8"/>
  <c r="R32" i="8" s="1"/>
  <c r="S32" i="8" s="1"/>
  <c r="P32" i="8"/>
  <c r="Q69" i="8"/>
  <c r="R69" i="8" s="1"/>
  <c r="S69" i="8" s="1"/>
  <c r="P69" i="8"/>
  <c r="Z12" i="8"/>
  <c r="Q80" i="7"/>
  <c r="R80" i="7" s="1"/>
  <c r="S80" i="7" s="1"/>
  <c r="P80" i="7"/>
  <c r="Q17" i="7"/>
  <c r="R17" i="7" s="1"/>
  <c r="S17" i="7" s="1"/>
  <c r="P17" i="7"/>
  <c r="Q38" i="7"/>
  <c r="R38" i="7" s="1"/>
  <c r="S38" i="7" s="1"/>
  <c r="P38" i="7"/>
  <c r="S73" i="7"/>
  <c r="P73" i="7"/>
  <c r="Q76" i="7"/>
  <c r="R76" i="7" s="1"/>
  <c r="S76" i="7" s="1"/>
  <c r="P76" i="7"/>
  <c r="P66" i="6"/>
  <c r="Q66" i="6" s="1"/>
  <c r="R66" i="6" s="1"/>
  <c r="AB91" i="7"/>
  <c r="Z91" i="7"/>
  <c r="Z45" i="8"/>
  <c r="Z49" i="8"/>
  <c r="AB78" i="8"/>
  <c r="Z78" i="8"/>
  <c r="Z13" i="8"/>
  <c r="Q63" i="7"/>
  <c r="R63" i="7" s="1"/>
  <c r="S63" i="7" s="1"/>
  <c r="P63" i="7"/>
  <c r="Q81" i="7"/>
  <c r="R81" i="7" s="1"/>
  <c r="S81" i="7" s="1"/>
  <c r="P81" i="7"/>
  <c r="Y69" i="6"/>
  <c r="AA69" i="6"/>
  <c r="P27" i="5"/>
  <c r="Q27" i="5"/>
  <c r="R27" i="5" s="1"/>
  <c r="S27" i="5"/>
  <c r="Q39" i="5"/>
  <c r="R39" i="5" s="1"/>
  <c r="P39" i="5"/>
  <c r="S39" i="5"/>
  <c r="P67" i="5"/>
  <c r="Q67" i="5"/>
  <c r="R67" i="5" s="1"/>
  <c r="S67" i="5" s="1"/>
  <c r="Q45" i="5"/>
  <c r="R45" i="5" s="1"/>
  <c r="S45" i="5" s="1"/>
  <c r="P45" i="5"/>
  <c r="Q52" i="5"/>
  <c r="R52" i="5" s="1"/>
  <c r="S52" i="5" s="1"/>
  <c r="P52" i="5"/>
  <c r="AA41" i="5"/>
  <c r="P67" i="8"/>
  <c r="S67" i="8"/>
  <c r="Q61" i="8"/>
  <c r="R61" i="8" s="1"/>
  <c r="P61" i="8"/>
  <c r="S61" i="8"/>
  <c r="Z77" i="8"/>
  <c r="AB77" i="8"/>
  <c r="P68" i="6"/>
  <c r="Q68" i="6" s="1"/>
  <c r="R68" i="6" s="1"/>
  <c r="P64" i="7"/>
  <c r="Q64" i="7"/>
  <c r="R64" i="7" s="1"/>
  <c r="S64" i="7"/>
  <c r="P32" i="7"/>
  <c r="Q32" i="7"/>
  <c r="R32" i="7" s="1"/>
  <c r="S32" i="7" s="1"/>
  <c r="Q14" i="5"/>
  <c r="R14" i="5" s="1"/>
  <c r="S14" i="5" s="1"/>
  <c r="P14" i="5"/>
  <c r="P58" i="5"/>
  <c r="Q58" i="5"/>
  <c r="R58" i="5" s="1"/>
  <c r="S58" i="5" s="1"/>
  <c r="P73" i="5"/>
  <c r="S73" i="5"/>
  <c r="P53" i="5"/>
  <c r="Q53" i="5"/>
  <c r="R53" i="5" s="1"/>
  <c r="S53" i="5" s="1"/>
  <c r="AA84" i="5"/>
  <c r="AC84" i="5"/>
  <c r="AA19" i="5"/>
  <c r="Q58" i="8"/>
  <c r="R58" i="8" s="1"/>
  <c r="S58" i="8" s="1"/>
  <c r="P58" i="8"/>
  <c r="Q28" i="7"/>
  <c r="R28" i="7" s="1"/>
  <c r="S28" i="7" s="1"/>
  <c r="P28" i="7"/>
  <c r="P36" i="6"/>
  <c r="Q36" i="6" s="1"/>
  <c r="R36" i="6" s="1"/>
  <c r="Y36" i="6" s="1"/>
  <c r="S22" i="7"/>
  <c r="P22" i="7"/>
  <c r="S45" i="7"/>
  <c r="P45" i="7"/>
  <c r="Q45" i="7"/>
  <c r="R45" i="7" s="1"/>
  <c r="Q20" i="5"/>
  <c r="R20" i="5" s="1"/>
  <c r="S20" i="5" s="1"/>
  <c r="P20" i="5"/>
  <c r="S13" i="5"/>
  <c r="Q13" i="5"/>
  <c r="R13" i="5" s="1"/>
  <c r="P13" i="5"/>
  <c r="Q57" i="5"/>
  <c r="R57" i="5" s="1"/>
  <c r="S57" i="5" s="1"/>
  <c r="P57" i="5"/>
  <c r="Q35" i="5"/>
  <c r="R35" i="5" s="1"/>
  <c r="S35" i="5" s="1"/>
  <c r="P35" i="5"/>
  <c r="P17" i="5"/>
  <c r="Q17" i="5"/>
  <c r="R17" i="5" s="1"/>
  <c r="S17" i="5" s="1"/>
  <c r="AA88" i="6"/>
  <c r="Y88" i="6"/>
  <c r="Q29" i="5"/>
  <c r="R29" i="5" s="1"/>
  <c r="S29" i="5" s="1"/>
  <c r="P29" i="5"/>
  <c r="P74" i="8"/>
  <c r="Q74" i="8"/>
  <c r="R74" i="8" s="1"/>
  <c r="S74" i="8" s="1"/>
  <c r="AF93" i="7"/>
  <c r="AD93" i="7"/>
  <c r="P77" i="7"/>
  <c r="Q77" i="7"/>
  <c r="R77" i="7" s="1"/>
  <c r="S77" i="7" s="1"/>
  <c r="P78" i="7"/>
  <c r="Q78" i="7"/>
  <c r="R78" i="7" s="1"/>
  <c r="S78" i="7" s="1"/>
  <c r="P81" i="6"/>
  <c r="Q81" i="6" s="1"/>
  <c r="R81" i="6" s="1"/>
  <c r="Q73" i="8"/>
  <c r="R73" i="8" s="1"/>
  <c r="S73" i="8" s="1"/>
  <c r="P73" i="8"/>
  <c r="AB85" i="8"/>
  <c r="Z85" i="8"/>
  <c r="P76" i="6"/>
  <c r="Q76" i="6" s="1"/>
  <c r="R76" i="6" s="1"/>
  <c r="Q27" i="7"/>
  <c r="R27" i="7" s="1"/>
  <c r="S27" i="7" s="1"/>
  <c r="P27" i="7"/>
  <c r="AG88" i="5"/>
  <c r="AE88" i="5"/>
  <c r="P79" i="5"/>
  <c r="Q79" i="5"/>
  <c r="R79" i="5" s="1"/>
  <c r="S79" i="5" s="1"/>
  <c r="Q21" i="8"/>
  <c r="R21" i="8" s="1"/>
  <c r="S21" i="8" s="1"/>
  <c r="P21" i="8"/>
  <c r="AA73" i="6"/>
  <c r="Y73" i="6"/>
  <c r="P61" i="6"/>
  <c r="Q61" i="6" s="1"/>
  <c r="R61" i="6" s="1"/>
  <c r="Y61" i="6" s="1"/>
  <c r="P13" i="6"/>
  <c r="Q13" i="6" s="1"/>
  <c r="R13" i="6" s="1"/>
  <c r="Y13" i="6" s="1"/>
  <c r="Q71" i="5"/>
  <c r="R71" i="5" s="1"/>
  <c r="S71" i="5" s="1"/>
  <c r="P71" i="5"/>
  <c r="P11" i="6"/>
  <c r="Q11" i="6" s="1"/>
  <c r="R11" i="6" s="1"/>
  <c r="Y11" i="6" s="1"/>
  <c r="Z6" i="8"/>
  <c r="N79" i="6"/>
  <c r="O79" i="6" s="1"/>
  <c r="P39" i="7"/>
  <c r="Q39" i="7"/>
  <c r="R39" i="7" s="1"/>
  <c r="S39" i="7" s="1"/>
  <c r="Q10" i="7"/>
  <c r="R10" i="7" s="1"/>
  <c r="S10" i="7" s="1"/>
  <c r="Z10" i="7" s="1"/>
  <c r="P10" i="7"/>
  <c r="P56" i="5"/>
  <c r="Q56" i="5"/>
  <c r="R56" i="5" s="1"/>
  <c r="S56" i="5" s="1"/>
  <c r="AB80" i="8"/>
  <c r="Z80" i="8"/>
  <c r="Q75" i="8"/>
  <c r="R75" i="8" s="1"/>
  <c r="S75" i="8" s="1"/>
  <c r="P75" i="8"/>
  <c r="P21" i="6"/>
  <c r="Q21" i="6" s="1"/>
  <c r="R21" i="6" s="1"/>
  <c r="Y21" i="6" s="1"/>
  <c r="Z16" i="8"/>
  <c r="P62" i="7"/>
  <c r="S62" i="7"/>
  <c r="S23" i="7"/>
  <c r="P23" i="7"/>
  <c r="Q59" i="5"/>
  <c r="R59" i="5" s="1"/>
  <c r="S59" i="5" s="1"/>
  <c r="P59" i="5"/>
  <c r="AG91" i="5"/>
  <c r="AE91" i="5"/>
  <c r="Q72" i="8"/>
  <c r="R72" i="8" s="1"/>
  <c r="S72" i="8" s="1"/>
  <c r="P72" i="8"/>
  <c r="Q70" i="7"/>
  <c r="R70" i="7" s="1"/>
  <c r="S70" i="7" s="1"/>
  <c r="P70" i="7"/>
  <c r="AB66" i="8"/>
  <c r="Z66" i="8"/>
  <c r="AD82" i="8"/>
  <c r="AF82" i="8"/>
  <c r="Q51" i="7"/>
  <c r="R51" i="7" s="1"/>
  <c r="S51" i="7" s="1"/>
  <c r="P51" i="7"/>
  <c r="Q15" i="5"/>
  <c r="R15" i="5" s="1"/>
  <c r="S15" i="5" s="1"/>
  <c r="P15" i="5"/>
  <c r="Q42" i="8"/>
  <c r="R42" i="8" s="1"/>
  <c r="S42" i="8" s="1"/>
  <c r="P42" i="8"/>
  <c r="N24" i="6"/>
  <c r="Q66" i="7"/>
  <c r="R66" i="7" s="1"/>
  <c r="S66" i="7" s="1"/>
  <c r="P66" i="7"/>
  <c r="Q31" i="7"/>
  <c r="R31" i="7" s="1"/>
  <c r="S31" i="7" s="1"/>
  <c r="P31" i="7"/>
  <c r="Q15" i="7"/>
  <c r="R15" i="7" s="1"/>
  <c r="S15" i="7" s="1"/>
  <c r="P15" i="7"/>
  <c r="Q50" i="7"/>
  <c r="R50" i="7" s="1"/>
  <c r="S50" i="7" s="1"/>
  <c r="P50" i="7"/>
  <c r="Q63" i="5"/>
  <c r="R63" i="5" s="1"/>
  <c r="S63" i="5" s="1"/>
  <c r="P63" i="5"/>
  <c r="Q66" i="5"/>
  <c r="R66" i="5" s="1"/>
  <c r="S66" i="5" s="1"/>
  <c r="P66" i="5"/>
  <c r="AA69" i="5"/>
  <c r="AC69" i="5"/>
  <c r="Q40" i="8"/>
  <c r="R40" i="8" s="1"/>
  <c r="S40" i="8" s="1"/>
  <c r="P40" i="8"/>
  <c r="Q62" i="8"/>
  <c r="R62" i="8" s="1"/>
  <c r="S62" i="8" s="1"/>
  <c r="P62" i="8"/>
  <c r="P70" i="8"/>
  <c r="Q70" i="8"/>
  <c r="R70" i="8" s="1"/>
  <c r="S70" i="8" s="1"/>
  <c r="N77" i="6"/>
  <c r="O77" i="6" s="1"/>
  <c r="Z20" i="8"/>
  <c r="P34" i="7"/>
  <c r="Q34" i="7"/>
  <c r="R34" i="7" s="1"/>
  <c r="S34" i="7" s="1"/>
  <c r="P55" i="6"/>
  <c r="Q55" i="6" s="1"/>
  <c r="R55" i="6"/>
  <c r="Y55" i="6" s="1"/>
  <c r="P45" i="6"/>
  <c r="Q45" i="6" s="1"/>
  <c r="R45" i="6" s="1"/>
  <c r="Y45" i="6" s="1"/>
  <c r="P67" i="6"/>
  <c r="Q67" i="6" s="1"/>
  <c r="R67" i="6" s="1"/>
  <c r="O75" i="6"/>
  <c r="Q16" i="7"/>
  <c r="R16" i="7" s="1"/>
  <c r="S16" i="7"/>
  <c r="P16" i="7"/>
  <c r="Q12" i="7"/>
  <c r="R12" i="7" s="1"/>
  <c r="S12" i="7" s="1"/>
  <c r="P12" i="7"/>
  <c r="Q53" i="7"/>
  <c r="R53" i="7" s="1"/>
  <c r="S53" i="7" s="1"/>
  <c r="P53" i="7"/>
  <c r="Q41" i="7"/>
  <c r="R41" i="7" s="1"/>
  <c r="P41" i="7"/>
  <c r="S41" i="7"/>
  <c r="Q56" i="7"/>
  <c r="R56" i="7" s="1"/>
  <c r="S56" i="7" s="1"/>
  <c r="P56" i="7"/>
  <c r="P72" i="7"/>
  <c r="Q72" i="7"/>
  <c r="R72" i="7" s="1"/>
  <c r="S72" i="7" s="1"/>
  <c r="P75" i="7"/>
  <c r="Q75" i="7"/>
  <c r="R75" i="7" s="1"/>
  <c r="S75" i="7" s="1"/>
  <c r="Q75" i="5"/>
  <c r="R75" i="5" s="1"/>
  <c r="S75" i="5" s="1"/>
  <c r="P75" i="5"/>
  <c r="Q51" i="5"/>
  <c r="R51" i="5" s="1"/>
  <c r="S51" i="5" s="1"/>
  <c r="P51" i="5"/>
  <c r="Q33" i="5"/>
  <c r="R33" i="5" s="1"/>
  <c r="S33" i="5" s="1"/>
  <c r="P33" i="5"/>
  <c r="P32" i="5"/>
  <c r="Q32" i="5"/>
  <c r="R32" i="5" s="1"/>
  <c r="S32" i="5"/>
  <c r="P64" i="5"/>
  <c r="Q64" i="5"/>
  <c r="R64" i="5" s="1"/>
  <c r="S64" i="5" s="1"/>
  <c r="S85" i="5"/>
  <c r="P85" i="5"/>
  <c r="P71" i="6"/>
  <c r="Q71" i="6" s="1"/>
  <c r="R71" i="6" s="1"/>
  <c r="P44" i="8"/>
  <c r="Q44" i="8"/>
  <c r="R44" i="8" s="1"/>
  <c r="S44" i="8" s="1"/>
  <c r="Q57" i="7"/>
  <c r="R57" i="7" s="1"/>
  <c r="S57" i="7" s="1"/>
  <c r="P57" i="7"/>
  <c r="Q33" i="7"/>
  <c r="R33" i="7" s="1"/>
  <c r="S33" i="7" s="1"/>
  <c r="P33" i="7"/>
  <c r="P80" i="6"/>
  <c r="Q80" i="6" s="1"/>
  <c r="R80" i="6" s="1"/>
  <c r="Q23" i="8"/>
  <c r="R23" i="8" s="1"/>
  <c r="S23" i="8" s="1"/>
  <c r="P23" i="8"/>
  <c r="Q36" i="8"/>
  <c r="R36" i="8" s="1"/>
  <c r="S36" i="8" s="1"/>
  <c r="P36" i="8"/>
  <c r="Q21" i="7"/>
  <c r="R21" i="7" s="1"/>
  <c r="P21" i="7"/>
  <c r="S21" i="7"/>
  <c r="P35" i="6"/>
  <c r="Q35" i="6" s="1"/>
  <c r="R35" i="6"/>
  <c r="Y35" i="6" s="1"/>
  <c r="Q59" i="7"/>
  <c r="R59" i="7" s="1"/>
  <c r="P59" i="7"/>
  <c r="S59" i="7"/>
  <c r="Q50" i="5"/>
  <c r="R50" i="5" s="1"/>
  <c r="P50" i="5"/>
  <c r="S50" i="5"/>
  <c r="Q38" i="8"/>
  <c r="R38" i="8" s="1"/>
  <c r="S38" i="8" s="1"/>
  <c r="P38" i="8"/>
  <c r="S24" i="7"/>
  <c r="P24" i="7"/>
  <c r="Q65" i="7"/>
  <c r="R65" i="7" s="1"/>
  <c r="S65" i="7" s="1"/>
  <c r="P65" i="7"/>
  <c r="Q55" i="7"/>
  <c r="R55" i="7" s="1"/>
  <c r="S55" i="7" s="1"/>
  <c r="P55" i="7"/>
  <c r="Q48" i="5"/>
  <c r="R48" i="5" s="1"/>
  <c r="P48" i="5"/>
  <c r="S48" i="5"/>
  <c r="S22" i="5"/>
  <c r="P22" i="5"/>
  <c r="Q5" i="8"/>
  <c r="R5" i="8" s="1"/>
  <c r="S5" i="8" s="1"/>
  <c r="P5" i="8"/>
  <c r="P47" i="8"/>
  <c r="Q47" i="8"/>
  <c r="R47" i="8" s="1"/>
  <c r="S47" i="8" s="1"/>
  <c r="Z11" i="8"/>
  <c r="Z15" i="8"/>
  <c r="AD84" i="8"/>
  <c r="AF84" i="8"/>
  <c r="Q43" i="7"/>
  <c r="R43" i="7" s="1"/>
  <c r="S43" i="7" s="1"/>
  <c r="P43" i="7"/>
  <c r="P83" i="7"/>
  <c r="Q83" i="7"/>
  <c r="R83" i="7" s="1"/>
  <c r="S83" i="7" s="1"/>
  <c r="P31" i="5"/>
  <c r="Q31" i="5"/>
  <c r="R31" i="5" s="1"/>
  <c r="S31" i="5" s="1"/>
  <c r="N71" i="1"/>
  <c r="O71" i="1" s="1"/>
  <c r="P71" i="1" s="1"/>
  <c r="N94" i="5"/>
  <c r="O9" i="5"/>
  <c r="Q22" i="8"/>
  <c r="R22" i="8" s="1"/>
  <c r="S22" i="8" s="1"/>
  <c r="P22" i="8"/>
  <c r="Z7" i="8"/>
  <c r="P43" i="8"/>
  <c r="Q43" i="8"/>
  <c r="R43" i="8" s="1"/>
  <c r="S43" i="8" s="1"/>
  <c r="Q53" i="8"/>
  <c r="R53" i="8" s="1"/>
  <c r="S53" i="8" s="1"/>
  <c r="P53" i="8"/>
  <c r="Q29" i="8"/>
  <c r="R29" i="8" s="1"/>
  <c r="S29" i="8" s="1"/>
  <c r="P29" i="8"/>
  <c r="N87" i="8"/>
  <c r="O2" i="8"/>
  <c r="Q3" i="8"/>
  <c r="R3" i="8" s="1"/>
  <c r="S3" i="8" s="1"/>
  <c r="Z3" i="8" s="1"/>
  <c r="P3" i="8"/>
  <c r="Q79" i="7"/>
  <c r="R79" i="7" s="1"/>
  <c r="S79" i="7" s="1"/>
  <c r="P79" i="7"/>
  <c r="S85" i="7"/>
  <c r="P85" i="7"/>
  <c r="Q71" i="7"/>
  <c r="R71" i="7" s="1"/>
  <c r="S71" i="7" s="1"/>
  <c r="P71" i="7"/>
  <c r="P47" i="6"/>
  <c r="Q47" i="6" s="1"/>
  <c r="R47" i="6" s="1"/>
  <c r="Y47" i="6" s="1"/>
  <c r="P37" i="6"/>
  <c r="Q37" i="6" s="1"/>
  <c r="R37" i="6"/>
  <c r="Y37" i="6" s="1"/>
  <c r="P51" i="6"/>
  <c r="Q51" i="6" s="1"/>
  <c r="R51" i="6" s="1"/>
  <c r="Y51" i="6" s="1"/>
  <c r="AA86" i="5"/>
  <c r="AC86" i="5"/>
  <c r="Q36" i="7"/>
  <c r="R36" i="7" s="1"/>
  <c r="S36" i="7" s="1"/>
  <c r="P36" i="7"/>
  <c r="P48" i="7"/>
  <c r="Q48" i="7"/>
  <c r="R48" i="7" s="1"/>
  <c r="S48" i="7" s="1"/>
  <c r="Q61" i="7"/>
  <c r="R61" i="7" s="1"/>
  <c r="S61" i="7" s="1"/>
  <c r="P61" i="7"/>
  <c r="Q68" i="7"/>
  <c r="R68" i="7" s="1"/>
  <c r="S68" i="7" s="1"/>
  <c r="P68" i="7"/>
  <c r="P12" i="5"/>
  <c r="Q12" i="5"/>
  <c r="R12" i="5" s="1"/>
  <c r="S12" i="5" s="1"/>
  <c r="P42" i="5"/>
  <c r="Q42" i="5"/>
  <c r="R42" i="5" s="1"/>
  <c r="S42" i="5" s="1"/>
  <c r="P72" i="5"/>
  <c r="S72" i="5"/>
  <c r="AG89" i="5"/>
  <c r="AE89" i="5"/>
  <c r="N33" i="6"/>
  <c r="O33" i="6" s="1"/>
  <c r="Q27" i="8"/>
  <c r="R27" i="8" s="1"/>
  <c r="S27" i="8" s="1"/>
  <c r="P27" i="8"/>
  <c r="Q48" i="8"/>
  <c r="R48" i="8" s="1"/>
  <c r="S48" i="8" s="1"/>
  <c r="P48" i="8"/>
  <c r="Q52" i="7"/>
  <c r="R52" i="7" s="1"/>
  <c r="S52" i="7" s="1"/>
  <c r="P52" i="7"/>
  <c r="P30" i="6"/>
  <c r="Q30" i="6" s="1"/>
  <c r="R30" i="6" s="1"/>
  <c r="Y30" i="6" s="1"/>
  <c r="Q49" i="7"/>
  <c r="R49" i="7" s="1"/>
  <c r="S49" i="7" s="1"/>
  <c r="P49" i="7"/>
  <c r="Q24" i="8"/>
  <c r="R24" i="8" s="1"/>
  <c r="S24" i="8" s="1"/>
  <c r="P24" i="8"/>
  <c r="P29" i="7"/>
  <c r="Q29" i="7"/>
  <c r="R29" i="7" s="1"/>
  <c r="S29" i="7" s="1"/>
  <c r="P60" i="7"/>
  <c r="Q60" i="7"/>
  <c r="R60" i="7" s="1"/>
  <c r="S60" i="7" s="1"/>
  <c r="Q74" i="7"/>
  <c r="R74" i="7" s="1"/>
  <c r="S74" i="7" s="1"/>
  <c r="P74" i="7"/>
  <c r="P16" i="5"/>
  <c r="Q16" i="5"/>
  <c r="R16" i="5" s="1"/>
  <c r="S16" i="5" s="1"/>
  <c r="P64" i="8"/>
  <c r="Q64" i="8"/>
  <c r="R64" i="8" s="1"/>
  <c r="S64" i="8"/>
  <c r="Z14" i="8"/>
  <c r="Q47" i="7"/>
  <c r="R47" i="7" s="1"/>
  <c r="S47" i="7" s="1"/>
  <c r="P47" i="7"/>
  <c r="S25" i="7"/>
  <c r="P25" i="7"/>
  <c r="S58" i="7"/>
  <c r="P58" i="7"/>
  <c r="Q58" i="7"/>
  <c r="R58" i="7" s="1"/>
  <c r="Q26" i="5"/>
  <c r="R26" i="5" s="1"/>
  <c r="S26" i="5" s="1"/>
  <c r="P26" i="5"/>
  <c r="P31" i="6"/>
  <c r="Q31" i="6" s="1"/>
  <c r="R31" i="6" s="1"/>
  <c r="Y31" i="6" s="1"/>
  <c r="P38" i="6"/>
  <c r="Q38" i="6" s="1"/>
  <c r="R38" i="6" s="1"/>
  <c r="Y38" i="6" s="1"/>
  <c r="Q31" i="8"/>
  <c r="R31" i="8" s="1"/>
  <c r="P31" i="8"/>
  <c r="S31" i="8"/>
  <c r="M87" i="8"/>
  <c r="P44" i="7"/>
  <c r="Q44" i="7"/>
  <c r="R44" i="7" s="1"/>
  <c r="S44" i="7" s="1"/>
  <c r="P53" i="6"/>
  <c r="Q53" i="6" s="1"/>
  <c r="R53" i="6"/>
  <c r="Y53" i="6" s="1"/>
  <c r="P56" i="6"/>
  <c r="Q56" i="6" s="1"/>
  <c r="R56" i="6"/>
  <c r="Y56" i="6" s="1"/>
  <c r="M94" i="7"/>
  <c r="Q69" i="7"/>
  <c r="R69" i="7" s="1"/>
  <c r="S69" i="7" s="1"/>
  <c r="P69" i="7"/>
  <c r="P54" i="7"/>
  <c r="Q54" i="7"/>
  <c r="R54" i="7" s="1"/>
  <c r="S54" i="7" s="1"/>
  <c r="P17" i="6"/>
  <c r="Q17" i="6" s="1"/>
  <c r="R17" i="6" s="1"/>
  <c r="Y17" i="6" s="1"/>
  <c r="N70" i="1"/>
  <c r="M73" i="1"/>
  <c r="M76" i="1" s="1"/>
  <c r="Q50" i="8"/>
  <c r="R50" i="8" s="1"/>
  <c r="S50" i="8" s="1"/>
  <c r="P50" i="8"/>
  <c r="Q33" i="8"/>
  <c r="R33" i="8" s="1"/>
  <c r="S33" i="8" s="1"/>
  <c r="P33" i="8"/>
  <c r="Q76" i="8"/>
  <c r="R76" i="8" s="1"/>
  <c r="S76" i="8" s="1"/>
  <c r="P76" i="8"/>
  <c r="Q68" i="8"/>
  <c r="R68" i="8" s="1"/>
  <c r="S68" i="8" s="1"/>
  <c r="P68" i="8"/>
  <c r="AB83" i="8"/>
  <c r="Z83" i="8"/>
  <c r="Z10" i="8"/>
  <c r="Z4" i="8"/>
  <c r="Z26" i="8"/>
  <c r="N72" i="6"/>
  <c r="O72" i="6" s="1"/>
  <c r="P52" i="6"/>
  <c r="Q52" i="6" s="1"/>
  <c r="R52" i="6" s="1"/>
  <c r="Y52" i="6" s="1"/>
  <c r="N9" i="7"/>
  <c r="P39" i="6"/>
  <c r="Q39" i="6" s="1"/>
  <c r="R39" i="6" s="1"/>
  <c r="Y39" i="6" s="1"/>
  <c r="AD81" i="8"/>
  <c r="AF81" i="8"/>
  <c r="AA85" i="6"/>
  <c r="Y85" i="6"/>
  <c r="AA91" i="6"/>
  <c r="Y91" i="6"/>
  <c r="P49" i="6"/>
  <c r="Q49" i="6" s="1"/>
  <c r="R49" i="6" s="1"/>
  <c r="Y49" i="6" s="1"/>
  <c r="Q49" i="5"/>
  <c r="R49" i="5" s="1"/>
  <c r="P49" i="5"/>
  <c r="S49" i="5"/>
  <c r="P15" i="6"/>
  <c r="Q15" i="6" s="1"/>
  <c r="R15" i="6" s="1"/>
  <c r="Y15" i="6" s="1"/>
  <c r="Q82" i="7"/>
  <c r="R82" i="7" s="1"/>
  <c r="S82" i="7" s="1"/>
  <c r="P82" i="7"/>
  <c r="P13" i="7"/>
  <c r="Q13" i="7"/>
  <c r="R13" i="7" s="1"/>
  <c r="S13" i="7" s="1"/>
  <c r="P30" i="7"/>
  <c r="Q30" i="7"/>
  <c r="R30" i="7" s="1"/>
  <c r="S30" i="7" s="1"/>
  <c r="P78" i="6"/>
  <c r="Q78" i="6" s="1"/>
  <c r="R78" i="6" s="1"/>
  <c r="P47" i="5"/>
  <c r="Q47" i="5"/>
  <c r="R47" i="5" s="1"/>
  <c r="S47" i="5" s="1"/>
  <c r="P19" i="6"/>
  <c r="Q19" i="6" s="1"/>
  <c r="R19" i="6" s="1"/>
  <c r="Y19" i="6" s="1"/>
  <c r="P62" i="5"/>
  <c r="Q62" i="5"/>
  <c r="R62" i="5" s="1"/>
  <c r="S62" i="5" s="1"/>
  <c r="Q28" i="5"/>
  <c r="R28" i="5" s="1"/>
  <c r="S28" i="5" s="1"/>
  <c r="P28" i="5"/>
  <c r="P74" i="5"/>
  <c r="Q74" i="5"/>
  <c r="R74" i="5" s="1"/>
  <c r="S74" i="5" s="1"/>
  <c r="P18" i="5"/>
  <c r="Q18" i="5"/>
  <c r="R18" i="5" s="1"/>
  <c r="S18" i="5" s="1"/>
  <c r="Q76" i="5"/>
  <c r="R76" i="5" s="1"/>
  <c r="S76" i="5" s="1"/>
  <c r="P76" i="5"/>
  <c r="P50" i="6"/>
  <c r="Q50" i="6" s="1"/>
  <c r="R50" i="6" s="1"/>
  <c r="Y50" i="6" s="1"/>
  <c r="P23" i="5"/>
  <c r="S23" i="5"/>
  <c r="AA25" i="5"/>
  <c r="Q68" i="5"/>
  <c r="R68" i="5" s="1"/>
  <c r="P68" i="5"/>
  <c r="S68" i="5"/>
  <c r="M94" i="5"/>
  <c r="Q41" i="8"/>
  <c r="R41" i="8" s="1"/>
  <c r="S41" i="8" s="1"/>
  <c r="P41" i="8"/>
  <c r="AA92" i="6"/>
  <c r="Y92" i="6"/>
  <c r="Q20" i="7"/>
  <c r="R20" i="7" s="1"/>
  <c r="S20" i="7" s="1"/>
  <c r="P20" i="7"/>
  <c r="S43" i="5"/>
  <c r="P43" i="5"/>
  <c r="Q43" i="5"/>
  <c r="R43" i="5" s="1"/>
  <c r="P9" i="6"/>
  <c r="P18" i="8"/>
  <c r="S18" i="8"/>
  <c r="AF89" i="7"/>
  <c r="AD89" i="7"/>
  <c r="P19" i="7"/>
  <c r="Q19" i="7"/>
  <c r="R19" i="7" s="1"/>
  <c r="S19" i="7" s="1"/>
  <c r="Q35" i="7"/>
  <c r="R35" i="7" s="1"/>
  <c r="S35" i="7" s="1"/>
  <c r="P35" i="7"/>
  <c r="Q37" i="7"/>
  <c r="R37" i="7" s="1"/>
  <c r="S37" i="7" s="1"/>
  <c r="P37" i="7"/>
  <c r="Q77" i="5"/>
  <c r="R77" i="5" s="1"/>
  <c r="S77" i="5" s="1"/>
  <c r="P77" i="5"/>
  <c r="Q37" i="8"/>
  <c r="R37" i="8" s="1"/>
  <c r="S37" i="8" s="1"/>
  <c r="P37" i="8"/>
  <c r="Q54" i="8"/>
  <c r="R54" i="8" s="1"/>
  <c r="S54" i="8" s="1"/>
  <c r="P54" i="8"/>
  <c r="AB79" i="8"/>
  <c r="Z79" i="8"/>
  <c r="P79" i="8"/>
  <c r="AB86" i="8"/>
  <c r="Z86" i="8"/>
  <c r="Z17" i="8"/>
  <c r="P44" i="6"/>
  <c r="Q44" i="6" s="1"/>
  <c r="R44" i="6"/>
  <c r="Y44" i="6" s="1"/>
  <c r="Q84" i="6"/>
  <c r="R84" i="6" s="1"/>
  <c r="P32" i="6"/>
  <c r="Q32" i="6" s="1"/>
  <c r="R32" i="6" s="1"/>
  <c r="Y32" i="6" s="1"/>
  <c r="P39" i="8"/>
  <c r="Q39" i="8"/>
  <c r="R39" i="8" s="1"/>
  <c r="S39" i="8" s="1"/>
  <c r="Q34" i="5"/>
  <c r="R34" i="5" s="1"/>
  <c r="S34" i="5" s="1"/>
  <c r="P34" i="5"/>
  <c r="P57" i="6"/>
  <c r="Q57" i="6" s="1"/>
  <c r="R57" i="6" s="1"/>
  <c r="Y57" i="6" s="1"/>
  <c r="P26" i="7"/>
  <c r="Q26" i="7"/>
  <c r="R26" i="7" s="1"/>
  <c r="S26" i="7" s="1"/>
  <c r="P40" i="7"/>
  <c r="Q40" i="7"/>
  <c r="R40" i="7" s="1"/>
  <c r="S40" i="7" s="1"/>
  <c r="Q37" i="5"/>
  <c r="R37" i="5" s="1"/>
  <c r="S37" i="5" s="1"/>
  <c r="P37" i="5"/>
  <c r="Q40" i="5"/>
  <c r="R40" i="5" s="1"/>
  <c r="S40" i="5" s="1"/>
  <c r="P40" i="5"/>
  <c r="Q83" i="5"/>
  <c r="R83" i="5" s="1"/>
  <c r="S83" i="5"/>
  <c r="P83" i="5"/>
  <c r="Q38" i="5"/>
  <c r="R38" i="5" s="1"/>
  <c r="S38" i="5" s="1"/>
  <c r="P38" i="5"/>
  <c r="P46" i="5"/>
  <c r="Q46" i="5"/>
  <c r="R46" i="5" s="1"/>
  <c r="S46" i="5" s="1"/>
  <c r="P55" i="5"/>
  <c r="Q55" i="5"/>
  <c r="R55" i="5" s="1"/>
  <c r="S55" i="5" s="1"/>
  <c r="S24" i="5"/>
  <c r="P24" i="5"/>
  <c r="P46" i="6"/>
  <c r="Q46" i="6" s="1"/>
  <c r="R46" i="6" s="1"/>
  <c r="Y46" i="6" s="1"/>
  <c r="L73" i="1"/>
  <c r="Z11" i="7"/>
  <c r="AA11" i="5"/>
  <c r="J41" i="11" l="1"/>
  <c r="K41" i="11" s="1"/>
  <c r="L41" i="11" s="1"/>
  <c r="M41" i="11" s="1"/>
  <c r="AE93" i="5"/>
  <c r="AG93" i="5"/>
  <c r="J10" i="11"/>
  <c r="K10" i="11" s="1"/>
  <c r="L10" i="11" s="1"/>
  <c r="M10" i="11" s="1"/>
  <c r="J53" i="11"/>
  <c r="K53" i="11" s="1"/>
  <c r="L53" i="11" s="1"/>
  <c r="M53" i="11" s="1"/>
  <c r="J27" i="11"/>
  <c r="K27" i="11" s="1"/>
  <c r="L27" i="11" s="1"/>
  <c r="M27" i="11" s="1"/>
  <c r="P28" i="12"/>
  <c r="P38" i="12"/>
  <c r="P42" i="12"/>
  <c r="P53" i="12"/>
  <c r="P14" i="12"/>
  <c r="P6" i="12"/>
  <c r="P20" i="12"/>
  <c r="P21" i="12"/>
  <c r="P17" i="12"/>
  <c r="P13" i="12"/>
  <c r="P9" i="12"/>
  <c r="P11" i="12"/>
  <c r="P37" i="12"/>
  <c r="P35" i="12"/>
  <c r="P51" i="12"/>
  <c r="P19" i="12"/>
  <c r="P33" i="12"/>
  <c r="P41" i="12"/>
  <c r="P22" i="12"/>
  <c r="P46" i="12"/>
  <c r="P27" i="12"/>
  <c r="P12" i="12"/>
  <c r="P49" i="12"/>
  <c r="P45" i="12"/>
  <c r="P25" i="12"/>
  <c r="P29" i="12"/>
  <c r="P4" i="12"/>
  <c r="P34" i="12"/>
  <c r="P30" i="12"/>
  <c r="P43" i="12"/>
  <c r="P5" i="12"/>
  <c r="P50" i="12"/>
  <c r="N54" i="12"/>
  <c r="N70" i="12"/>
  <c r="M73" i="12"/>
  <c r="AC74" i="6"/>
  <c r="AE74" i="6"/>
  <c r="J8" i="11"/>
  <c r="K8" i="11" s="1"/>
  <c r="L8" i="11" s="1"/>
  <c r="M8" i="11" s="1"/>
  <c r="AE90" i="6"/>
  <c r="AC90" i="6"/>
  <c r="N93" i="6"/>
  <c r="P58" i="6"/>
  <c r="Q58" i="6" s="1"/>
  <c r="R58" i="6"/>
  <c r="Y58" i="6" s="1"/>
  <c r="J39" i="11"/>
  <c r="K39" i="11" s="1"/>
  <c r="L39" i="11" s="1"/>
  <c r="M39" i="11" s="1"/>
  <c r="J46" i="11"/>
  <c r="K46" i="11" s="1"/>
  <c r="L46" i="11" s="1"/>
  <c r="M46" i="11" s="1"/>
  <c r="J22" i="11"/>
  <c r="K22" i="11" s="1"/>
  <c r="L22" i="11" s="1"/>
  <c r="M22" i="11" s="1"/>
  <c r="J43" i="11"/>
  <c r="K43" i="11" s="1"/>
  <c r="L43" i="11" s="1"/>
  <c r="M43" i="11" s="1"/>
  <c r="J19" i="11"/>
  <c r="K19" i="11" s="1"/>
  <c r="L19" i="11" s="1"/>
  <c r="M19" i="11" s="1"/>
  <c r="J44" i="11"/>
  <c r="K44" i="11" s="1"/>
  <c r="L44" i="11" s="1"/>
  <c r="M44" i="11" s="1"/>
  <c r="J40" i="11"/>
  <c r="K40" i="11" s="1"/>
  <c r="L40" i="11" s="1"/>
  <c r="M40" i="11" s="1"/>
  <c r="J15" i="11"/>
  <c r="K15" i="11" s="1"/>
  <c r="L15" i="11" s="1"/>
  <c r="M15" i="11" s="1"/>
  <c r="J20" i="11"/>
  <c r="K20" i="11" s="1"/>
  <c r="L20" i="11" s="1"/>
  <c r="M20" i="11" s="1"/>
  <c r="J34" i="11"/>
  <c r="K34" i="11" s="1"/>
  <c r="L34" i="11" s="1"/>
  <c r="M34" i="11" s="1"/>
  <c r="J51" i="11"/>
  <c r="K51" i="11" s="1"/>
  <c r="L51" i="11" s="1"/>
  <c r="M51" i="11" s="1"/>
  <c r="J32" i="11"/>
  <c r="K32" i="11" s="1"/>
  <c r="L32" i="11" s="1"/>
  <c r="M32" i="11" s="1"/>
  <c r="J7" i="11"/>
  <c r="K7" i="11" s="1"/>
  <c r="L7" i="11" s="1"/>
  <c r="M7" i="11" s="1"/>
  <c r="J71" i="11"/>
  <c r="K71" i="11" s="1"/>
  <c r="L71" i="11" s="1"/>
  <c r="M71" i="11" s="1"/>
  <c r="K5" i="11"/>
  <c r="L54" i="1"/>
  <c r="N52" i="1"/>
  <c r="O52" i="1" s="1"/>
  <c r="P52" i="1" s="1"/>
  <c r="M54" i="1"/>
  <c r="M57" i="1" s="1"/>
  <c r="P79" i="6"/>
  <c r="Q79" i="6" s="1"/>
  <c r="R79" i="6" s="1"/>
  <c r="AB76" i="7"/>
  <c r="Z76" i="7"/>
  <c r="AA38" i="5"/>
  <c r="Z72" i="8"/>
  <c r="AB72" i="8"/>
  <c r="AA67" i="5"/>
  <c r="AC67" i="5"/>
  <c r="Z67" i="7"/>
  <c r="AB67" i="7"/>
  <c r="Y64" i="6"/>
  <c r="AA64" i="6"/>
  <c r="Z40" i="7"/>
  <c r="Z35" i="7"/>
  <c r="Z41" i="8"/>
  <c r="Y78" i="6"/>
  <c r="AA78" i="6"/>
  <c r="Z50" i="8"/>
  <c r="Z68" i="7"/>
  <c r="AB68" i="7"/>
  <c r="Z43" i="7"/>
  <c r="AI43" i="7"/>
  <c r="AA64" i="5"/>
  <c r="AC64" i="5"/>
  <c r="Y67" i="6"/>
  <c r="AA67" i="6"/>
  <c r="P77" i="6"/>
  <c r="Q77" i="6" s="1"/>
  <c r="R77" i="6" s="1"/>
  <c r="Z15" i="7"/>
  <c r="AK21" i="7"/>
  <c r="AA17" i="5"/>
  <c r="AA70" i="6"/>
  <c r="Y70" i="6"/>
  <c r="Z71" i="8"/>
  <c r="AB71" i="8"/>
  <c r="AB63" i="8"/>
  <c r="Z63" i="8"/>
  <c r="AA47" i="5"/>
  <c r="Z36" i="7"/>
  <c r="Z58" i="8"/>
  <c r="AB58" i="8"/>
  <c r="AB65" i="8"/>
  <c r="Z65" i="8"/>
  <c r="AB69" i="7"/>
  <c r="Z69" i="7"/>
  <c r="AB72" i="7"/>
  <c r="Z72" i="7"/>
  <c r="Z5" i="8"/>
  <c r="AB70" i="8"/>
  <c r="Z70" i="8"/>
  <c r="AB74" i="8"/>
  <c r="Z74" i="8"/>
  <c r="Z52" i="8"/>
  <c r="AA55" i="5"/>
  <c r="Z26" i="7"/>
  <c r="AA76" i="5"/>
  <c r="AC76" i="5"/>
  <c r="AA28" i="5"/>
  <c r="Z61" i="7"/>
  <c r="Z43" i="8"/>
  <c r="AJ14" i="8"/>
  <c r="Z44" i="8"/>
  <c r="AC66" i="5"/>
  <c r="AA66" i="5"/>
  <c r="AA81" i="6"/>
  <c r="Y81" i="6"/>
  <c r="AA20" i="5"/>
  <c r="AA53" i="5"/>
  <c r="AB81" i="7"/>
  <c r="Z81" i="7"/>
  <c r="Z38" i="7"/>
  <c r="AA30" i="5"/>
  <c r="AB59" i="8"/>
  <c r="Z59" i="8"/>
  <c r="AA54" i="5"/>
  <c r="Z42" i="7"/>
  <c r="Z37" i="7"/>
  <c r="Z50" i="7"/>
  <c r="Z25" i="8"/>
  <c r="AA26" i="5"/>
  <c r="Z39" i="8"/>
  <c r="Z60" i="7"/>
  <c r="AB69" i="8"/>
  <c r="Z69" i="8"/>
  <c r="Y82" i="6"/>
  <c r="AA82" i="6"/>
  <c r="AI62" i="5"/>
  <c r="AI63" i="5" s="1"/>
  <c r="AI64" i="5" s="1"/>
  <c r="AI65" i="5" s="1"/>
  <c r="AI66" i="5" s="1"/>
  <c r="AI67" i="5" s="1"/>
  <c r="AI68" i="5" s="1"/>
  <c r="AI69" i="5" s="1"/>
  <c r="AI70" i="5" s="1"/>
  <c r="AI71" i="5" s="1"/>
  <c r="AI72" i="5" s="1"/>
  <c r="AI73" i="5" s="1"/>
  <c r="AI74" i="5" s="1"/>
  <c r="AI75" i="5" s="1"/>
  <c r="AI76" i="5" s="1"/>
  <c r="AI77" i="5" s="1"/>
  <c r="AI78" i="5" s="1"/>
  <c r="AI79" i="5" s="1"/>
  <c r="AI80" i="5" s="1"/>
  <c r="AI81" i="5" s="1"/>
  <c r="AI83" i="5" s="1"/>
  <c r="AI84" i="5" s="1"/>
  <c r="AA62" i="5"/>
  <c r="AC62" i="5"/>
  <c r="P33" i="6"/>
  <c r="Q33" i="6" s="1"/>
  <c r="R33" i="6" s="1"/>
  <c r="Y33" i="6" s="1"/>
  <c r="Z48" i="7"/>
  <c r="AA31" i="5"/>
  <c r="Y80" i="6"/>
  <c r="AA80" i="6"/>
  <c r="AC75" i="5"/>
  <c r="AA75" i="5"/>
  <c r="Z12" i="7"/>
  <c r="AA59" i="5"/>
  <c r="AB78" i="7"/>
  <c r="Z78" i="7"/>
  <c r="AA35" i="5"/>
  <c r="Z32" i="8"/>
  <c r="Z46" i="7"/>
  <c r="Z40" i="8"/>
  <c r="AA58" i="5"/>
  <c r="Z14" i="7"/>
  <c r="Z24" i="8"/>
  <c r="Z19" i="7"/>
  <c r="AA68" i="6"/>
  <c r="Y68" i="6"/>
  <c r="AA40" i="5"/>
  <c r="Z13" i="7"/>
  <c r="AJ14" i="7"/>
  <c r="AA16" i="5"/>
  <c r="Z62" i="8"/>
  <c r="AB62" i="8"/>
  <c r="AC63" i="5"/>
  <c r="AA63" i="5"/>
  <c r="AA15" i="5"/>
  <c r="AL21" i="5"/>
  <c r="Z39" i="7"/>
  <c r="AC71" i="5"/>
  <c r="AA71" i="5"/>
  <c r="Z28" i="7"/>
  <c r="AA52" i="5"/>
  <c r="AB63" i="7"/>
  <c r="Z63" i="7"/>
  <c r="AA66" i="6"/>
  <c r="Y66" i="6"/>
  <c r="Z17" i="7"/>
  <c r="Y65" i="6"/>
  <c r="AA65" i="6"/>
  <c r="Z33" i="8"/>
  <c r="Z29" i="8"/>
  <c r="AA45" i="5"/>
  <c r="Z80" i="7"/>
  <c r="AB80" i="7"/>
  <c r="Z48" i="8"/>
  <c r="P72" i="6"/>
  <c r="Q72" i="6" s="1"/>
  <c r="R72" i="6" s="1"/>
  <c r="AA51" i="5"/>
  <c r="AB73" i="8"/>
  <c r="Z73" i="8"/>
  <c r="Y63" i="6"/>
  <c r="AA63" i="6"/>
  <c r="Z51" i="8"/>
  <c r="AA46" i="5"/>
  <c r="AA84" i="6"/>
  <c r="Y84" i="6"/>
  <c r="AC77" i="5"/>
  <c r="AA77" i="5"/>
  <c r="Z20" i="7"/>
  <c r="Z54" i="7"/>
  <c r="Z52" i="7"/>
  <c r="AA12" i="5"/>
  <c r="AB83" i="7"/>
  <c r="Z83" i="7"/>
  <c r="AB70" i="7"/>
  <c r="Z70" i="7"/>
  <c r="AA79" i="5"/>
  <c r="AC79" i="5"/>
  <c r="Z77" i="7"/>
  <c r="AB77" i="7"/>
  <c r="AA57" i="5"/>
  <c r="AB57" i="8"/>
  <c r="Z57" i="8"/>
  <c r="Z58" i="7"/>
  <c r="Z41" i="7"/>
  <c r="AK14" i="5"/>
  <c r="AA13" i="5"/>
  <c r="AA34" i="5"/>
  <c r="AC68" i="5"/>
  <c r="AA68" i="5"/>
  <c r="O70" i="1"/>
  <c r="N73" i="1"/>
  <c r="AB64" i="8"/>
  <c r="Z64" i="8"/>
  <c r="AB65" i="7"/>
  <c r="Z65" i="7"/>
  <c r="AA33" i="5"/>
  <c r="AB61" i="8"/>
  <c r="Z61" i="8"/>
  <c r="AA74" i="5"/>
  <c r="AC74" i="5"/>
  <c r="Z47" i="8"/>
  <c r="Z16" i="7"/>
  <c r="Z27" i="7"/>
  <c r="AC92" i="6"/>
  <c r="AE92" i="6"/>
  <c r="AA32" i="5"/>
  <c r="AG69" i="5"/>
  <c r="AE69" i="5"/>
  <c r="Z23" i="7"/>
  <c r="AC73" i="5"/>
  <c r="AA73" i="5"/>
  <c r="Z32" i="7"/>
  <c r="Z67" i="8"/>
  <c r="AB67" i="8"/>
  <c r="AA27" i="5"/>
  <c r="AB60" i="8"/>
  <c r="Z60" i="8"/>
  <c r="Z35" i="8"/>
  <c r="Z55" i="8"/>
  <c r="AG87" i="5"/>
  <c r="AE87" i="5"/>
  <c r="AG81" i="5"/>
  <c r="AE81" i="5"/>
  <c r="Z24" i="7"/>
  <c r="P75" i="6"/>
  <c r="Q75" i="6" s="1"/>
  <c r="R75" i="6" s="1"/>
  <c r="Z62" i="7"/>
  <c r="AE88" i="6"/>
  <c r="AC88" i="6"/>
  <c r="AG70" i="5"/>
  <c r="AE70" i="5"/>
  <c r="AE86" i="6"/>
  <c r="AC86" i="6"/>
  <c r="AC83" i="5"/>
  <c r="AA83" i="5"/>
  <c r="Z44" i="7"/>
  <c r="AA42" i="5"/>
  <c r="Z23" i="8"/>
  <c r="AB75" i="7"/>
  <c r="Z75" i="7"/>
  <c r="AC73" i="6"/>
  <c r="AE73" i="6"/>
  <c r="AA29" i="5"/>
  <c r="AA61" i="5"/>
  <c r="Q9" i="6"/>
  <c r="Z30" i="7"/>
  <c r="AM24" i="5"/>
  <c r="AA22" i="5"/>
  <c r="O24" i="6"/>
  <c r="Z21" i="8"/>
  <c r="AA49" i="5"/>
  <c r="AE85" i="6"/>
  <c r="AC85" i="6"/>
  <c r="AD83" i="8"/>
  <c r="AF83" i="8"/>
  <c r="Z75" i="8"/>
  <c r="AB75" i="8"/>
  <c r="AA36" i="5"/>
  <c r="Z31" i="8"/>
  <c r="Z71" i="7"/>
  <c r="AB71" i="7"/>
  <c r="Z59" i="7"/>
  <c r="AA23" i="5"/>
  <c r="Z29" i="7"/>
  <c r="AC72" i="5"/>
  <c r="AA72" i="5"/>
  <c r="Z22" i="8"/>
  <c r="Z38" i="8"/>
  <c r="Z33" i="7"/>
  <c r="Z53" i="7"/>
  <c r="Y76" i="6"/>
  <c r="AA76" i="6"/>
  <c r="AE84" i="5"/>
  <c r="AG84" i="5"/>
  <c r="AD77" i="8"/>
  <c r="AF77" i="8"/>
  <c r="AD90" i="7"/>
  <c r="AF90" i="7"/>
  <c r="AB56" i="8"/>
  <c r="Z56" i="8"/>
  <c r="AA83" i="6"/>
  <c r="Y83" i="6"/>
  <c r="Z74" i="7"/>
  <c r="AB74" i="7"/>
  <c r="Z79" i="7"/>
  <c r="AB79" i="7"/>
  <c r="Z21" i="7"/>
  <c r="Z57" i="7"/>
  <c r="AA39" i="5"/>
  <c r="AC65" i="5"/>
  <c r="AA65" i="5"/>
  <c r="AG86" i="5"/>
  <c r="AE86" i="5"/>
  <c r="AA56" i="5"/>
  <c r="AA14" i="5"/>
  <c r="AD79" i="8"/>
  <c r="AF79" i="8"/>
  <c r="Z25" i="7"/>
  <c r="AF78" i="8"/>
  <c r="AD78" i="8"/>
  <c r="AF87" i="7"/>
  <c r="AD87" i="7"/>
  <c r="Z27" i="8"/>
  <c r="Z53" i="8"/>
  <c r="AI36" i="8"/>
  <c r="Z36" i="8"/>
  <c r="Y71" i="6"/>
  <c r="AA71" i="6"/>
  <c r="AA43" i="5"/>
  <c r="AJ43" i="5"/>
  <c r="O87" i="8"/>
  <c r="Q2" i="8"/>
  <c r="P2" i="8"/>
  <c r="O94" i="5"/>
  <c r="Q9" i="5"/>
  <c r="P9" i="5"/>
  <c r="Z56" i="7"/>
  <c r="AB66" i="7"/>
  <c r="Z66" i="7"/>
  <c r="AD66" i="8"/>
  <c r="AF66" i="8"/>
  <c r="AD80" i="8"/>
  <c r="AF80" i="8"/>
  <c r="Z45" i="7"/>
  <c r="AB64" i="7"/>
  <c r="Z64" i="7"/>
  <c r="AE69" i="6"/>
  <c r="AC69" i="6"/>
  <c r="AC78" i="5"/>
  <c r="AA78" i="5"/>
  <c r="Z37" i="8"/>
  <c r="AE91" i="6"/>
  <c r="AC91" i="6"/>
  <c r="AA50" i="5"/>
  <c r="Z51" i="7"/>
  <c r="Z22" i="7"/>
  <c r="AL24" i="7"/>
  <c r="AB73" i="7"/>
  <c r="Z73" i="7"/>
  <c r="AH73" i="7"/>
  <c r="AH74" i="7" s="1"/>
  <c r="AH75" i="7" s="1"/>
  <c r="AH76" i="7" s="1"/>
  <c r="AH77" i="7" s="1"/>
  <c r="AH78" i="7" s="1"/>
  <c r="AH79" i="7" s="1"/>
  <c r="AH80" i="7" s="1"/>
  <c r="AH81" i="7" s="1"/>
  <c r="AH83" i="7" s="1"/>
  <c r="AH84" i="7" s="1"/>
  <c r="AH85" i="7" s="1"/>
  <c r="AA44" i="5"/>
  <c r="Z42" i="8"/>
  <c r="AF91" i="7"/>
  <c r="AD91" i="7"/>
  <c r="AC80" i="5"/>
  <c r="AA80" i="5"/>
  <c r="AA60" i="5"/>
  <c r="Z49" i="7"/>
  <c r="AA48" i="5"/>
  <c r="Z31" i="7"/>
  <c r="Z28" i="8"/>
  <c r="Z54" i="8"/>
  <c r="O3" i="1"/>
  <c r="AA24" i="5"/>
  <c r="AA37" i="5"/>
  <c r="Z68" i="8"/>
  <c r="AB68" i="8"/>
  <c r="Z47" i="7"/>
  <c r="Z55" i="7"/>
  <c r="Z34" i="7"/>
  <c r="AA18" i="5"/>
  <c r="AD86" i="8"/>
  <c r="AF86" i="8"/>
  <c r="Z18" i="8"/>
  <c r="N94" i="7"/>
  <c r="O9" i="7"/>
  <c r="AB85" i="7"/>
  <c r="Z85" i="7"/>
  <c r="AK17" i="8"/>
  <c r="AD85" i="8"/>
  <c r="AF85" i="8"/>
  <c r="AF92" i="7"/>
  <c r="AD92" i="7"/>
  <c r="AD86" i="7"/>
  <c r="AF86" i="7"/>
  <c r="AD84" i="7"/>
  <c r="AF84" i="7"/>
  <c r="P93" i="6" l="1"/>
  <c r="J3" i="11"/>
  <c r="K3" i="11" s="1"/>
  <c r="L3" i="11" s="1"/>
  <c r="O70" i="12"/>
  <c r="P70" i="12" s="1"/>
  <c r="N73" i="12"/>
  <c r="O54" i="12"/>
  <c r="M58" i="12" s="1"/>
  <c r="K70" i="11"/>
  <c r="J73" i="11"/>
  <c r="J76" i="11" s="1"/>
  <c r="L5" i="11"/>
  <c r="N54" i="1"/>
  <c r="AA72" i="6"/>
  <c r="Y72" i="6"/>
  <c r="AA75" i="6"/>
  <c r="Y75" i="6"/>
  <c r="AA79" i="6"/>
  <c r="Y79" i="6"/>
  <c r="Q87" i="8"/>
  <c r="R2" i="8"/>
  <c r="AF56" i="8"/>
  <c r="AD56" i="8"/>
  <c r="AF83" i="7"/>
  <c r="AD83" i="7"/>
  <c r="AC82" i="6"/>
  <c r="AE82" i="6"/>
  <c r="AA77" i="6"/>
  <c r="Y77" i="6"/>
  <c r="AF67" i="7"/>
  <c r="AD67" i="7"/>
  <c r="AF64" i="7"/>
  <c r="AD64" i="7"/>
  <c r="AC71" i="6"/>
  <c r="AE71" i="6"/>
  <c r="AF74" i="7"/>
  <c r="AD74" i="7"/>
  <c r="AF75" i="8"/>
  <c r="AD75" i="8"/>
  <c r="AF61" i="8"/>
  <c r="AD61" i="8"/>
  <c r="AE79" i="5"/>
  <c r="AG79" i="5"/>
  <c r="AE76" i="5"/>
  <c r="AG76" i="5"/>
  <c r="AF65" i="8"/>
  <c r="AD65" i="8"/>
  <c r="AE70" i="6"/>
  <c r="AC70" i="6"/>
  <c r="AE67" i="6"/>
  <c r="AC67" i="6"/>
  <c r="AF68" i="7"/>
  <c r="AD68" i="7"/>
  <c r="AE83" i="6"/>
  <c r="AC83" i="6"/>
  <c r="AE78" i="5"/>
  <c r="AG78" i="5"/>
  <c r="AD71" i="7"/>
  <c r="AF71" i="7"/>
  <c r="Q93" i="6"/>
  <c r="R9" i="6"/>
  <c r="AF64" i="8"/>
  <c r="AD64" i="8"/>
  <c r="AF57" i="8"/>
  <c r="AD57" i="8"/>
  <c r="AE68" i="6"/>
  <c r="AC68" i="6"/>
  <c r="AC63" i="6"/>
  <c r="AE63" i="6"/>
  <c r="AG75" i="5"/>
  <c r="AE75" i="5"/>
  <c r="AF58" i="8"/>
  <c r="AD58" i="8"/>
  <c r="AE64" i="5"/>
  <c r="AG64" i="5"/>
  <c r="AE67" i="5"/>
  <c r="AG67" i="5"/>
  <c r="O54" i="1"/>
  <c r="M58" i="1" s="1"/>
  <c r="P3" i="1"/>
  <c r="P54" i="1" s="1"/>
  <c r="AG80" i="5"/>
  <c r="AE80" i="5"/>
  <c r="AE72" i="5"/>
  <c r="AG72" i="5"/>
  <c r="AF85" i="7"/>
  <c r="AD85" i="7"/>
  <c r="AF68" i="8"/>
  <c r="AD68" i="8"/>
  <c r="AF73" i="7"/>
  <c r="AD73" i="7"/>
  <c r="Q94" i="5"/>
  <c r="R9" i="5"/>
  <c r="R24" i="6"/>
  <c r="Y24" i="6" s="1"/>
  <c r="O93" i="6"/>
  <c r="AD75" i="7"/>
  <c r="AF75" i="7"/>
  <c r="AG83" i="5"/>
  <c r="AE83" i="5"/>
  <c r="AF60" i="8"/>
  <c r="AD60" i="8"/>
  <c r="O73" i="1"/>
  <c r="M77" i="1" s="1"/>
  <c r="P70" i="1"/>
  <c r="P73" i="1" s="1"/>
  <c r="AE77" i="5"/>
  <c r="AG77" i="5"/>
  <c r="AE66" i="6"/>
  <c r="AC66" i="6"/>
  <c r="AD69" i="8"/>
  <c r="AF69" i="8"/>
  <c r="AE81" i="6"/>
  <c r="AC81" i="6"/>
  <c r="AF74" i="8"/>
  <c r="AD74" i="8"/>
  <c r="AF72" i="7"/>
  <c r="AD72" i="7"/>
  <c r="AD63" i="8"/>
  <c r="AF63" i="8"/>
  <c r="AG63" i="5"/>
  <c r="AE63" i="5"/>
  <c r="AF78" i="7"/>
  <c r="AD78" i="7"/>
  <c r="AE80" i="6"/>
  <c r="AC80" i="6"/>
  <c r="AE62" i="5"/>
  <c r="AG62" i="5"/>
  <c r="AF71" i="8"/>
  <c r="AD71" i="8"/>
  <c r="AD76" i="7"/>
  <c r="AF76" i="7"/>
  <c r="AF65" i="7"/>
  <c r="AD65" i="7"/>
  <c r="AD70" i="7"/>
  <c r="AF70" i="7"/>
  <c r="AC84" i="6"/>
  <c r="AE84" i="6"/>
  <c r="AF80" i="7"/>
  <c r="AD80" i="7"/>
  <c r="AG71" i="5"/>
  <c r="AE71" i="5"/>
  <c r="AD81" i="7"/>
  <c r="AF81" i="7"/>
  <c r="AC78" i="6"/>
  <c r="AE78" i="6"/>
  <c r="AE64" i="6"/>
  <c r="AC64" i="6"/>
  <c r="AF72" i="8"/>
  <c r="AD72" i="8"/>
  <c r="AG73" i="5"/>
  <c r="AE73" i="5"/>
  <c r="AG74" i="5"/>
  <c r="AE74" i="5"/>
  <c r="Q9" i="7"/>
  <c r="P9" i="7"/>
  <c r="O94" i="7"/>
  <c r="AF79" i="7"/>
  <c r="AD79" i="7"/>
  <c r="AF66" i="7"/>
  <c r="AD66" i="7"/>
  <c r="AG65" i="5"/>
  <c r="AE65" i="5"/>
  <c r="AE76" i="6"/>
  <c r="AC76" i="6"/>
  <c r="AF67" i="8"/>
  <c r="AD67" i="8"/>
  <c r="AG68" i="5"/>
  <c r="AE68" i="5"/>
  <c r="AD77" i="7"/>
  <c r="AF77" i="7"/>
  <c r="AD73" i="8"/>
  <c r="AF73" i="8"/>
  <c r="AC65" i="6"/>
  <c r="AE65" i="6"/>
  <c r="AD63" i="7"/>
  <c r="AF63" i="7"/>
  <c r="AF62" i="8"/>
  <c r="AD62" i="8"/>
  <c r="AD59" i="8"/>
  <c r="AF59" i="8"/>
  <c r="AE66" i="5"/>
  <c r="AG66" i="5"/>
  <c r="AF70" i="8"/>
  <c r="AD70" i="8"/>
  <c r="AD69" i="7"/>
  <c r="AF69" i="7"/>
  <c r="J54" i="11" l="1"/>
  <c r="K54" i="11"/>
  <c r="M3" i="11"/>
  <c r="P54" i="12"/>
  <c r="O73" i="12"/>
  <c r="P73" i="12"/>
  <c r="M5" i="11"/>
  <c r="L54" i="11"/>
  <c r="L70" i="11"/>
  <c r="K73" i="11"/>
  <c r="M78" i="1"/>
  <c r="M59" i="1"/>
  <c r="M66" i="1" s="1"/>
  <c r="R93" i="6"/>
  <c r="Y9" i="6"/>
  <c r="R87" i="8"/>
  <c r="S2" i="8"/>
  <c r="AE79" i="6"/>
  <c r="AC79" i="6"/>
  <c r="R94" i="5"/>
  <c r="S9" i="5"/>
  <c r="AE77" i="6"/>
  <c r="AC77" i="6"/>
  <c r="AE75" i="6"/>
  <c r="AC75" i="6"/>
  <c r="Q94" i="7"/>
  <c r="R9" i="7"/>
  <c r="AE72" i="6"/>
  <c r="AC72" i="6"/>
  <c r="M59" i="12" l="1"/>
  <c r="M66" i="12" s="1"/>
  <c r="P57" i="12"/>
  <c r="M54" i="11"/>
  <c r="L57" i="11" s="1"/>
  <c r="L58" i="11" s="1"/>
  <c r="L59" i="11" s="1"/>
  <c r="L66" i="11" s="1"/>
  <c r="L73" i="11"/>
  <c r="J77" i="11" s="1"/>
  <c r="M70" i="11"/>
  <c r="M73" i="11" s="1"/>
  <c r="J78" i="11" s="1"/>
  <c r="S94" i="5"/>
  <c r="AJ12" i="5"/>
  <c r="AO19" i="5" s="1"/>
  <c r="AI9" i="5"/>
  <c r="AI10" i="5" s="1"/>
  <c r="AI11" i="5" s="1"/>
  <c r="AI12" i="5" s="1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AI36" i="5" s="1"/>
  <c r="AI37" i="5" s="1"/>
  <c r="AI38" i="5" s="1"/>
  <c r="AI39" i="5" s="1"/>
  <c r="AI40" i="5" s="1"/>
  <c r="AI41" i="5" s="1"/>
  <c r="AI42" i="5" s="1"/>
  <c r="AI43" i="5" s="1"/>
  <c r="AI44" i="5" s="1"/>
  <c r="AI45" i="5" s="1"/>
  <c r="AI46" i="5" s="1"/>
  <c r="AI47" i="5" s="1"/>
  <c r="AI48" i="5" s="1"/>
  <c r="AI49" i="5" s="1"/>
  <c r="AI50" i="5" s="1"/>
  <c r="AI51" i="5" s="1"/>
  <c r="AI52" i="5" s="1"/>
  <c r="AI53" i="5" s="1"/>
  <c r="AI54" i="5" s="1"/>
  <c r="AI55" i="5" s="1"/>
  <c r="AI56" i="5" s="1"/>
  <c r="AI57" i="5" s="1"/>
  <c r="AI58" i="5" s="1"/>
  <c r="AI59" i="5" s="1"/>
  <c r="AI60" i="5" s="1"/>
  <c r="AI61" i="5" s="1"/>
  <c r="AA9" i="5"/>
  <c r="T9" i="5"/>
  <c r="T10" i="5" s="1"/>
  <c r="T11" i="5" s="1"/>
  <c r="T12" i="5" s="1"/>
  <c r="T13" i="5" s="1"/>
  <c r="T14" i="5" s="1"/>
  <c r="T15" i="5" s="1"/>
  <c r="T16" i="5" s="1"/>
  <c r="T17" i="5" s="1"/>
  <c r="T18" i="5" s="1"/>
  <c r="T19" i="5" s="1"/>
  <c r="T20" i="5" s="1"/>
  <c r="T21" i="5" s="1"/>
  <c r="T22" i="5" s="1"/>
  <c r="T23" i="5" s="1"/>
  <c r="T24" i="5" s="1"/>
  <c r="T25" i="5" s="1"/>
  <c r="T26" i="5" s="1"/>
  <c r="T27" i="5" s="1"/>
  <c r="T28" i="5" s="1"/>
  <c r="T29" i="5" s="1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T40" i="5" s="1"/>
  <c r="T41" i="5" s="1"/>
  <c r="T42" i="5" s="1"/>
  <c r="T43" i="5" s="1"/>
  <c r="T44" i="5" s="1"/>
  <c r="T45" i="5" s="1"/>
  <c r="T46" i="5" s="1"/>
  <c r="T47" i="5" s="1"/>
  <c r="T48" i="5" s="1"/>
  <c r="T49" i="5" s="1"/>
  <c r="T50" i="5" s="1"/>
  <c r="T51" i="5" s="1"/>
  <c r="T52" i="5" s="1"/>
  <c r="T53" i="5" s="1"/>
  <c r="T54" i="5" s="1"/>
  <c r="T55" i="5" s="1"/>
  <c r="T56" i="5" s="1"/>
  <c r="T57" i="5" s="1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T69" i="5" s="1"/>
  <c r="T70" i="5" s="1"/>
  <c r="T71" i="5" s="1"/>
  <c r="T72" i="5" s="1"/>
  <c r="T73" i="5" s="1"/>
  <c r="T74" i="5" s="1"/>
  <c r="T75" i="5" s="1"/>
  <c r="T76" i="5" s="1"/>
  <c r="T77" i="5" s="1"/>
  <c r="T78" i="5" s="1"/>
  <c r="T79" i="5" s="1"/>
  <c r="T80" i="5" s="1"/>
  <c r="T81" i="5" s="1"/>
  <c r="T82" i="5" s="1"/>
  <c r="T83" i="5" s="1"/>
  <c r="T84" i="5" s="1"/>
  <c r="T85" i="5" s="1"/>
  <c r="T86" i="5" s="1"/>
  <c r="T87" i="5" s="1"/>
  <c r="T88" i="5" s="1"/>
  <c r="T89" i="5" s="1"/>
  <c r="T90" i="5" s="1"/>
  <c r="T91" i="5" s="1"/>
  <c r="T92" i="5" s="1"/>
  <c r="T93" i="5" s="1"/>
  <c r="S87" i="8"/>
  <c r="AI5" i="8"/>
  <c r="AM12" i="8" s="1"/>
  <c r="AH2" i="8"/>
  <c r="AH3" i="8" s="1"/>
  <c r="AH4" i="8" s="1"/>
  <c r="AH5" i="8" s="1"/>
  <c r="AH6" i="8" s="1"/>
  <c r="AH7" i="8" s="1"/>
  <c r="AH8" i="8" s="1"/>
  <c r="AH9" i="8" s="1"/>
  <c r="AH10" i="8" s="1"/>
  <c r="AH11" i="8" s="1"/>
  <c r="AH12" i="8" s="1"/>
  <c r="AH13" i="8" s="1"/>
  <c r="AH14" i="8" s="1"/>
  <c r="AH15" i="8" s="1"/>
  <c r="AH16" i="8" s="1"/>
  <c r="AH17" i="8" s="1"/>
  <c r="AH18" i="8" s="1"/>
  <c r="AH19" i="8" s="1"/>
  <c r="AH20" i="8" s="1"/>
  <c r="AH21" i="8" s="1"/>
  <c r="AH22" i="8" s="1"/>
  <c r="AH23" i="8" s="1"/>
  <c r="AH24" i="8" s="1"/>
  <c r="AH25" i="8" s="1"/>
  <c r="AH26" i="8" s="1"/>
  <c r="AH27" i="8" s="1"/>
  <c r="AH28" i="8" s="1"/>
  <c r="AH29" i="8" s="1"/>
  <c r="AH30" i="8" s="1"/>
  <c r="AH31" i="8" s="1"/>
  <c r="AH32" i="8" s="1"/>
  <c r="AH33" i="8" s="1"/>
  <c r="AH34" i="8" s="1"/>
  <c r="AH35" i="8" s="1"/>
  <c r="AH36" i="8" s="1"/>
  <c r="AH37" i="8" s="1"/>
  <c r="AH38" i="8" s="1"/>
  <c r="AH39" i="8" s="1"/>
  <c r="AH40" i="8" s="1"/>
  <c r="AH41" i="8" s="1"/>
  <c r="AH42" i="8" s="1"/>
  <c r="AH43" i="8" s="1"/>
  <c r="AH44" i="8" s="1"/>
  <c r="AH45" i="8" s="1"/>
  <c r="AH46" i="8" s="1"/>
  <c r="AH47" i="8" s="1"/>
  <c r="AH48" i="8" s="1"/>
  <c r="AH49" i="8" s="1"/>
  <c r="AH50" i="8" s="1"/>
  <c r="AH51" i="8" s="1"/>
  <c r="AH52" i="8" s="1"/>
  <c r="AH53" i="8" s="1"/>
  <c r="AH54" i="8" s="1"/>
  <c r="AH55" i="8" s="1"/>
  <c r="AH56" i="8" s="1"/>
  <c r="AH57" i="8" s="1"/>
  <c r="AH58" i="8" s="1"/>
  <c r="AH59" i="8" s="1"/>
  <c r="AH60" i="8" s="1"/>
  <c r="AH61" i="8" s="1"/>
  <c r="AH62" i="8" s="1"/>
  <c r="AH63" i="8" s="1"/>
  <c r="AH64" i="8" s="1"/>
  <c r="AH65" i="8" s="1"/>
  <c r="AH66" i="8" s="1"/>
  <c r="AH67" i="8" s="1"/>
  <c r="AH68" i="8" s="1"/>
  <c r="AH69" i="8" s="1"/>
  <c r="AH70" i="8" s="1"/>
  <c r="AH71" i="8" s="1"/>
  <c r="AH72" i="8" s="1"/>
  <c r="AH73" i="8" s="1"/>
  <c r="AH74" i="8" s="1"/>
  <c r="AH75" i="8" s="1"/>
  <c r="AH77" i="8" s="1"/>
  <c r="AH78" i="8" s="1"/>
  <c r="Z2" i="8"/>
  <c r="R94" i="7"/>
  <c r="S9" i="7"/>
  <c r="S94" i="7" l="1"/>
  <c r="AI12" i="7"/>
  <c r="AN19" i="7" s="1"/>
  <c r="AH9" i="7"/>
  <c r="AH10" i="7" s="1"/>
  <c r="AH11" i="7" s="1"/>
  <c r="AH12" i="7" s="1"/>
  <c r="AH13" i="7" s="1"/>
  <c r="AH14" i="7" s="1"/>
  <c r="AH15" i="7" s="1"/>
  <c r="AH16" i="7" s="1"/>
  <c r="AH17" i="7" s="1"/>
  <c r="AH18" i="7" s="1"/>
  <c r="AH19" i="7" s="1"/>
  <c r="AH20" i="7" s="1"/>
  <c r="AH21" i="7" s="1"/>
  <c r="AH22" i="7" s="1"/>
  <c r="AH23" i="7" s="1"/>
  <c r="AH24" i="7" s="1"/>
  <c r="AH25" i="7" s="1"/>
  <c r="AH26" i="7" s="1"/>
  <c r="AH27" i="7" s="1"/>
  <c r="AH28" i="7" s="1"/>
  <c r="AH29" i="7" s="1"/>
  <c r="AH30" i="7" s="1"/>
  <c r="AH31" i="7" s="1"/>
  <c r="AH32" i="7" s="1"/>
  <c r="AH33" i="7" s="1"/>
  <c r="AH34" i="7" s="1"/>
  <c r="AH35" i="7" s="1"/>
  <c r="AH36" i="7" s="1"/>
  <c r="AH37" i="7" s="1"/>
  <c r="AH38" i="7" s="1"/>
  <c r="AH39" i="7" s="1"/>
  <c r="AH40" i="7" s="1"/>
  <c r="AH41" i="7" s="1"/>
  <c r="AH42" i="7" s="1"/>
  <c r="AH43" i="7" s="1"/>
  <c r="AH44" i="7" s="1"/>
  <c r="AH45" i="7" s="1"/>
  <c r="AH46" i="7" s="1"/>
  <c r="AH47" i="7" s="1"/>
  <c r="AH48" i="7" s="1"/>
  <c r="AH49" i="7" s="1"/>
  <c r="AH50" i="7" s="1"/>
  <c r="AH51" i="7" s="1"/>
  <c r="AH52" i="7" s="1"/>
  <c r="AH53" i="7" s="1"/>
  <c r="AH54" i="7" s="1"/>
  <c r="AH55" i="7" s="1"/>
  <c r="AH56" i="7" s="1"/>
  <c r="AH57" i="7" s="1"/>
  <c r="AH58" i="7" s="1"/>
  <c r="AH59" i="7" s="1"/>
  <c r="AH60" i="7" s="1"/>
  <c r="AH61" i="7" s="1"/>
  <c r="AH62" i="7" s="1"/>
  <c r="AH63" i="7" s="1"/>
  <c r="AH64" i="7" s="1"/>
  <c r="AH65" i="7" s="1"/>
  <c r="AH66" i="7" s="1"/>
  <c r="AH67" i="7" s="1"/>
  <c r="AH68" i="7" s="1"/>
  <c r="AH69" i="7" s="1"/>
  <c r="AH70" i="7" s="1"/>
  <c r="AH71" i="7" s="1"/>
  <c r="AH72" i="7" s="1"/>
  <c r="AR9" i="7"/>
  <c r="AR10" i="7" s="1"/>
  <c r="AR11" i="7" s="1"/>
  <c r="AR12" i="7" s="1"/>
  <c r="AR13" i="7" s="1"/>
  <c r="AR14" i="7" s="1"/>
  <c r="AR15" i="7" s="1"/>
  <c r="AR16" i="7" s="1"/>
  <c r="AR17" i="7" s="1"/>
  <c r="AR18" i="7" s="1"/>
  <c r="AR19" i="7" s="1"/>
  <c r="AR20" i="7" s="1"/>
  <c r="AR21" i="7" s="1"/>
  <c r="AR22" i="7" s="1"/>
  <c r="AR23" i="7" s="1"/>
  <c r="AR24" i="7" s="1"/>
  <c r="AR25" i="7" s="1"/>
  <c r="AR26" i="7" s="1"/>
  <c r="AR27" i="7" s="1"/>
  <c r="AR28" i="7" s="1"/>
  <c r="AR29" i="7" s="1"/>
  <c r="AR30" i="7" s="1"/>
  <c r="AR31" i="7" s="1"/>
  <c r="AR32" i="7" s="1"/>
  <c r="AR33" i="7" s="1"/>
  <c r="AR34" i="7" s="1"/>
  <c r="AR35" i="7" s="1"/>
  <c r="AR36" i="7" s="1"/>
  <c r="AR37" i="7" s="1"/>
  <c r="AR38" i="7" s="1"/>
  <c r="AR39" i="7" s="1"/>
  <c r="AR40" i="7" s="1"/>
  <c r="AR41" i="7" s="1"/>
  <c r="AR42" i="7" s="1"/>
  <c r="AR43" i="7" s="1"/>
  <c r="AR44" i="7" s="1"/>
  <c r="AR45" i="7" s="1"/>
  <c r="AR46" i="7" s="1"/>
  <c r="AR47" i="7" s="1"/>
  <c r="AR48" i="7" s="1"/>
  <c r="AR49" i="7" s="1"/>
  <c r="AR50" i="7" s="1"/>
  <c r="AR51" i="7" s="1"/>
  <c r="AR52" i="7" s="1"/>
  <c r="AR53" i="7" s="1"/>
  <c r="AR54" i="7" s="1"/>
  <c r="AR55" i="7" s="1"/>
  <c r="AR56" i="7" s="1"/>
  <c r="AR57" i="7" s="1"/>
  <c r="AR58" i="7" s="1"/>
  <c r="AR59" i="7" s="1"/>
  <c r="AR60" i="7" s="1"/>
  <c r="AR61" i="7" s="1"/>
  <c r="AR62" i="7" s="1"/>
  <c r="AR63" i="7" s="1"/>
  <c r="AR64" i="7" s="1"/>
  <c r="AR65" i="7" s="1"/>
  <c r="AR66" i="7" s="1"/>
  <c r="AR67" i="7" s="1"/>
  <c r="AR68" i="7" s="1"/>
  <c r="AR69" i="7" s="1"/>
  <c r="AR70" i="7" s="1"/>
  <c r="AR71" i="7" s="1"/>
  <c r="AR72" i="7" s="1"/>
  <c r="AR73" i="7" s="1"/>
  <c r="AR74" i="7" s="1"/>
  <c r="AR75" i="7" s="1"/>
  <c r="AR76" i="7" s="1"/>
  <c r="AR77" i="7" s="1"/>
  <c r="AR78" i="7" s="1"/>
  <c r="AR79" i="7" s="1"/>
  <c r="AR80" i="7" s="1"/>
  <c r="AR81" i="7" s="1"/>
  <c r="AR82" i="7" s="1"/>
  <c r="AR83" i="7" s="1"/>
  <c r="AR84" i="7" s="1"/>
  <c r="AR85" i="7" s="1"/>
  <c r="AR86" i="7" s="1"/>
  <c r="AR87" i="7" s="1"/>
  <c r="AR88" i="7" s="1"/>
  <c r="AR89" i="7" s="1"/>
  <c r="AR90" i="7" s="1"/>
  <c r="AR91" i="7" s="1"/>
  <c r="AR92" i="7" s="1"/>
  <c r="AR93" i="7" s="1"/>
  <c r="Z9" i="7"/>
</calcChain>
</file>

<file path=xl/sharedStrings.xml><?xml version="1.0" encoding="utf-8"?>
<sst xmlns="http://schemas.openxmlformats.org/spreadsheetml/2006/main" count="4145" uniqueCount="443">
  <si>
    <t>CUADRO DETALLADO SERVICIOS DE VIGILANCIA PRIVADA - FISCALIA GENERAL DE LA NACION</t>
  </si>
  <si>
    <t>DEPARTAMENTO</t>
  </si>
  <si>
    <t>CIUDAD/MUNICIPIO</t>
  </si>
  <si>
    <t>NOMBRE DEL PUESTO</t>
  </si>
  <si>
    <t>DESCRIPCIÓN DEL SERVICIO</t>
  </si>
  <si>
    <t xml:space="preserve">ELEMENTOS DEL SERVICIO </t>
  </si>
  <si>
    <t>PERIODO FACTURADO</t>
  </si>
  <si>
    <t>No. DIAS</t>
  </si>
  <si>
    <t>No. SERVICIOS</t>
  </si>
  <si>
    <t>VALOR MENSUAL UNITARIO</t>
  </si>
  <si>
    <t>AYS(11-%10%-8%) MENSUAL UNITARIO</t>
  </si>
  <si>
    <t>VR UNITARIO DEL SERVICIO</t>
  </si>
  <si>
    <t>SUB TOTAL ANTES DE AIU (M*I)</t>
  </si>
  <si>
    <t>AIU (10%)</t>
  </si>
  <si>
    <t>% DE IVA (19%)</t>
  </si>
  <si>
    <t>VALOR TOTAL</t>
  </si>
  <si>
    <t>CUNDINAMARCA</t>
  </si>
  <si>
    <t>BOGOTA DC</t>
  </si>
  <si>
    <t>CTI SANTUARIO / CALLE 18A 69B 15</t>
  </si>
  <si>
    <t>24 HORAS L-D</t>
  </si>
  <si>
    <t>CON ARMA</t>
  </si>
  <si>
    <t>Serv. Vig. 12 H Diurno sin arma Aero. El Dorado</t>
  </si>
  <si>
    <t>SIN ARMA</t>
  </si>
  <si>
    <t>Serv. Vig. 24 H Diurno con arma Aero. El Dorado</t>
  </si>
  <si>
    <t>12 HORAS L-V CON FESTIVOS</t>
  </si>
  <si>
    <t>Serv. Vig. 12 H Diurno con canino Aero. Neiva</t>
  </si>
  <si>
    <t>SEDE URI USAQUEN / CARRERA 29 18A 67</t>
  </si>
  <si>
    <t>SEDE MANUEL GAONA / CALLE 18 33 18</t>
  </si>
  <si>
    <t>SEDE ADMINISTRATIVA / CALLE 26 69 76 TORRE 4 PISO 16</t>
  </si>
  <si>
    <t>SEDE TRIBUNALES / CALLE 12B 7 60</t>
  </si>
  <si>
    <t>MIDPOINT / CALLE 19 33 02</t>
  </si>
  <si>
    <t>SEDE URI CIUDAD BOLIVAR / CALLE 51 SUR 7 76</t>
  </si>
  <si>
    <t>SEDE URI KENNEDY / CARRERA 69 36 72 CARVAJAL</t>
  </si>
  <si>
    <t>SEDE URI PUENTE ARANDA / CRA 40 10A 08</t>
  </si>
  <si>
    <t>SEDE URI ANGATIVA / CRA 78A 77A 62</t>
  </si>
  <si>
    <t>CASA LOTE SUBA / CALLE 153 76 26 EL VINAR DE CASA BLANCA</t>
  </si>
  <si>
    <t>URI MENORES / CALLE 12 30 35</t>
  </si>
  <si>
    <t>CAF SUBA / CALLE 133 101C 15-09</t>
  </si>
  <si>
    <t>URI CAMPO VERDE BOSA / CALLE 85 SUR 94 35</t>
  </si>
  <si>
    <t>CAVIP / CALLE 19 27 09</t>
  </si>
  <si>
    <t>12 HORAS L-V SIN FESTIVOS</t>
  </si>
  <si>
    <t>PARQUEADERO / CARRERA 29 18 45</t>
  </si>
  <si>
    <t>LA CALERA</t>
  </si>
  <si>
    <t>LA CALERA / CALLE 10B 2B 08</t>
  </si>
  <si>
    <t>NIVEL CENTRAL BOGOTA</t>
  </si>
  <si>
    <t>BUNKER / AV CALLE 24 52 01</t>
  </si>
  <si>
    <t>SUPERVISOR 24H L-D</t>
  </si>
  <si>
    <t>Serv. Vig. 24 H Diurno sin arma Aero. San Vicente del Caguan</t>
  </si>
  <si>
    <t>EDIF. ANTIGUO DAS / CRA 28 17 00</t>
  </si>
  <si>
    <t>EDIF. JUSTICIA TRANCISIONAL / CRA 30 13 24</t>
  </si>
  <si>
    <t>ASUNTOS JURIDICOS / AV 28 39 31</t>
  </si>
  <si>
    <t>ANALISIS AMBIENTAL / CRA 18A 39A 39</t>
  </si>
  <si>
    <t>AQUIMINDIA / KM 4 VIA SUBA COTA</t>
  </si>
  <si>
    <t>EDIFICIO WBC / CRA 86 51 68 PISO 5 Y 7</t>
  </si>
  <si>
    <t>EDIFICIO VILLEGAS / CRA 13 73 50</t>
  </si>
  <si>
    <t>CASA SOLEDAD / CALLE 46 27 52</t>
  </si>
  <si>
    <t>EDIF. CAPITAL TOWER / AV LA ESPERANZA 51 40 PISOS 6 - 8 Y 10</t>
  </si>
  <si>
    <t>EDIF. INURBE MUSEO / CRA 13 18 51</t>
  </si>
  <si>
    <t>ALMACEN GENERAL / CRA 33 15 39</t>
  </si>
  <si>
    <t>SUMATORIA - TOTALES</t>
  </si>
  <si>
    <t>SUBTOTAL SERVICIOS</t>
  </si>
  <si>
    <t>IVA</t>
  </si>
  <si>
    <t>TOTAL</t>
  </si>
  <si>
    <t>CUADRO DETALLADO SERVICIOS DE VIGILANCIA PRIVADA - FONDO ESPECIAL PARA LA ADMINISTRACION DE BIENES DE LA FISCALÍA GENERAL DE LA NACIÓN</t>
  </si>
  <si>
    <t>TENJO</t>
  </si>
  <si>
    <t>VEREDA JACALITO</t>
  </si>
  <si>
    <t>TOTAL A PAGAR</t>
  </si>
  <si>
    <t xml:space="preserve"> </t>
  </si>
  <si>
    <t>SUB TOTAL ANTES DE AIU (I+J+K)*H</t>
  </si>
  <si>
    <t>CAJICA</t>
  </si>
  <si>
    <t>SECCIONAL DG 3 SUR No 6 38</t>
  </si>
  <si>
    <t>CAQUEZA</t>
  </si>
  <si>
    <t>SECCIONAL CALLE 4A 3 53/57/59</t>
  </si>
  <si>
    <t>SECCIONAL CALLE 4A 3 68</t>
  </si>
  <si>
    <t>Serv. Vig. 24 H Diurno sin arma Aero. El Dorado</t>
  </si>
  <si>
    <t>FINCA CANINOS</t>
  </si>
  <si>
    <t>CHIA</t>
  </si>
  <si>
    <t>SECCIONAL CALLE 12 1C 52 BRR 20 DE JULIO</t>
  </si>
  <si>
    <t>CHOACHI</t>
  </si>
  <si>
    <t>SECCIONAL CARRERA 4 4 21 PISO 2</t>
  </si>
  <si>
    <t>Serv. Vig. 12 H Diurno con canino Aero. Guaymaral</t>
  </si>
  <si>
    <t>CHOCONTA</t>
  </si>
  <si>
    <t>SECCIONAL CALLE 3 4/35</t>
  </si>
  <si>
    <t>Serv. Vig. 12 H Diurno sin arma Aero. Flandes</t>
  </si>
  <si>
    <t>FACATATIVA</t>
  </si>
  <si>
    <t>SECCIONAL CALLE 13 8B 20 BRR COPIGUE</t>
  </si>
  <si>
    <t>Serv. Vig. 24 H Diurno con arma Aero. Flandes</t>
  </si>
  <si>
    <t>SECCIONAL CTI CALLE 13A 6 57</t>
  </si>
  <si>
    <t>FLANDES</t>
  </si>
  <si>
    <t>SECCIONAL CALLE 10 4 10 LA CAPILLA</t>
  </si>
  <si>
    <t>FUNZA</t>
  </si>
  <si>
    <t>FISCALIA INFANCIA Y ADOLESCENCIA</t>
  </si>
  <si>
    <t>Serv. Vig. 12 H Diurno con canino Aero. Florencia</t>
  </si>
  <si>
    <t>Serv. Vig. 24 H Diurno con arma Aero. Ibague</t>
  </si>
  <si>
    <t>FUSAGASUGA</t>
  </si>
  <si>
    <t>SECCIONAL TV 12 16 04 Y DG 16 11 85</t>
  </si>
  <si>
    <t>SECCIONAL-LOCAL Y CTI TV 12 16 04 Y DG 16 11 85</t>
  </si>
  <si>
    <t>Serv. Vig. 24 H Diurno con arma Aero. Leticia</t>
  </si>
  <si>
    <t>GIRARDOT</t>
  </si>
  <si>
    <t>CARRERA 12 16 33 PISO 3 Y 4</t>
  </si>
  <si>
    <t>URI Y CTI</t>
  </si>
  <si>
    <t>Serv. Vig. 24 H Diurno sin arma Aero. Leticia</t>
  </si>
  <si>
    <t>GUADUAS</t>
  </si>
  <si>
    <t>SECCIONAL CALLE 3 1 36</t>
  </si>
  <si>
    <t>Serv. Vig. 24 H Diurno con arma Aero. Neiva</t>
  </si>
  <si>
    <t>LA MESA</t>
  </si>
  <si>
    <t>SECCIONAL CALLE 4 15 08 BRR TOLEDO</t>
  </si>
  <si>
    <t>LA VEGA</t>
  </si>
  <si>
    <t>SECCIONAL CR 23 70 96 BRR LA PAMPA</t>
  </si>
  <si>
    <t>MADRID</t>
  </si>
  <si>
    <t>SECCIONAL CR 7 8 52</t>
  </si>
  <si>
    <t>Serv. Vig. 24 H Diurno con arma Aero. Pitalito</t>
  </si>
  <si>
    <t>Serv. Vig. 12 H Diurno sin arma Aero. Pitalito</t>
  </si>
  <si>
    <t>MOSQUERA</t>
  </si>
  <si>
    <t>SECCIONAL CALLE 5 2 73</t>
  </si>
  <si>
    <t>Serv. Vig. 24 H Diurno sin arma Aero. Mariquita</t>
  </si>
  <si>
    <t>PACHO</t>
  </si>
  <si>
    <t>SECCIONAL CALLE 6 17 11 PISO 3</t>
  </si>
  <si>
    <t>Serv. Vig. 12 H Diurno sin arma Aero. Puerto Asis</t>
  </si>
  <si>
    <t>SILVANIA</t>
  </si>
  <si>
    <t>SECCIONAL CRA 8A 9 02 LOCAL 104</t>
  </si>
  <si>
    <t>Serv. Vig. 24 H Diurno sin arma Aero. Puerto Asis</t>
  </si>
  <si>
    <t>SIMIJACA</t>
  </si>
  <si>
    <t>SECCIONAL CALLE 7 7 42</t>
  </si>
  <si>
    <t>SOACHA</t>
  </si>
  <si>
    <t>SECCIONAL CALLE 11 6 70 PISOS 1-2-3</t>
  </si>
  <si>
    <t>SECCIONAL CALLE 13 4A 11 BRR SAN BERNARDO</t>
  </si>
  <si>
    <t>Serv. Vig. 12 H Diurno sin arma Aero. San Vicente del Caguan</t>
  </si>
  <si>
    <t>UBATE</t>
  </si>
  <si>
    <t>SECCIONAL CRA 6 8 27 CENTRO</t>
  </si>
  <si>
    <t>VILLETA</t>
  </si>
  <si>
    <t>SECCIONAL DG 1 11 09 PISO 1 Y 2</t>
  </si>
  <si>
    <t>ZIPAQUIRA</t>
  </si>
  <si>
    <t>SECCIONAL CALLE 7D 16 32 BRR ALGARRA</t>
  </si>
  <si>
    <t>Serv. Vig. 24 H Diurno con arma Aero. Villa Garzon</t>
  </si>
  <si>
    <t>SECCIONAL TV 18 7D 33 BRR ALGARRA</t>
  </si>
  <si>
    <t>SUBACHOQUE</t>
  </si>
  <si>
    <t>FISCALIA LOCAL</t>
  </si>
  <si>
    <t>Serv. Vig. 24 H Diurno con arma Estacion Neiva</t>
  </si>
  <si>
    <t>SECCIONAL MONTEVIDEO</t>
  </si>
  <si>
    <t>AMAZONAS</t>
  </si>
  <si>
    <t>LETICIA</t>
  </si>
  <si>
    <t>SECCIONAL CRA 8 11 80 BRR JOSE MARIA HERNANDEZ</t>
  </si>
  <si>
    <t>Serv. Vig. 24 H Diurno con arma Estacion Flandes</t>
  </si>
  <si>
    <t>PARQUEADERO FISCALIA</t>
  </si>
  <si>
    <t>FISCALIA C.A.V</t>
  </si>
  <si>
    <t>BOYACA</t>
  </si>
  <si>
    <t>CHIQUINQUIRA</t>
  </si>
  <si>
    <t>SECCIONAL Y POLICIA JUDICIAL CRA 9 14 90</t>
  </si>
  <si>
    <t>Serv. Vig. 12 H Diurno con canino - NEAA y CGAC</t>
  </si>
  <si>
    <t>SECCIONAL Y POLICIA JUDICIAL CRA 9 14 86</t>
  </si>
  <si>
    <t>Serv. Vig. 12 H Diurno L-V sin arma - El Dorado</t>
  </si>
  <si>
    <t>TUNJA</t>
  </si>
  <si>
    <t>SECCIONAL SAU CALLE 26 9 10</t>
  </si>
  <si>
    <t>Serv. Vig. 24 H Diurno sin arma - Flandes</t>
  </si>
  <si>
    <t>DUITAMA</t>
  </si>
  <si>
    <t>SECCIONAL Y LOCAL CALLE 17 16 67</t>
  </si>
  <si>
    <t>Serv. Vig. 24 H Diurno con arma Aero. Dorado</t>
  </si>
  <si>
    <t>SECCIOANL Y POLICIA JUDICIAL CRA 16 17 53/55</t>
  </si>
  <si>
    <t>EL COCUY</t>
  </si>
  <si>
    <t>UNIDAD LOCAL Y SECCIONAL CRA 4A 6 71/75</t>
  </si>
  <si>
    <t>Serv. Vig. 24 H Diurno sin arma - Guaymaral</t>
  </si>
  <si>
    <t>GUATEQUE</t>
  </si>
  <si>
    <t>UNIDAD LOCAL Y SECCIONAL CRA 8 6 61</t>
  </si>
  <si>
    <t>LABRANZA GRANDE</t>
  </si>
  <si>
    <t>UNIDAD LOCAL Y SECCIONAL CALLE 9 10 58</t>
  </si>
  <si>
    <t>MIRAFLORES</t>
  </si>
  <si>
    <t>SECCIOANL CRA 8 4 11</t>
  </si>
  <si>
    <t>MUZO</t>
  </si>
  <si>
    <t>SECCIONAL CALLE 6 6 07</t>
  </si>
  <si>
    <t>PAIPA</t>
  </si>
  <si>
    <t>SECCIONAL CRA 19 24 42/44/46</t>
  </si>
  <si>
    <t>PAJARITO</t>
  </si>
  <si>
    <t>UNIDAD LOCAL CRA 2 4 23</t>
  </si>
  <si>
    <t>RAMIRIQUI</t>
  </si>
  <si>
    <t>SECCIONAL Y POLICIA JUDICIAL CRA 6 6 58</t>
  </si>
  <si>
    <t>SAMACA</t>
  </si>
  <si>
    <t>UNIDAD LOCAL CRA 6 4 53 PISO 2</t>
  </si>
  <si>
    <t>URI SAU CRA 16 18 26/36</t>
  </si>
  <si>
    <t>SANTA ROSA VTBO</t>
  </si>
  <si>
    <t>FISCALIA ESPECIALIZADA Y POLICIA JUDICIAL</t>
  </si>
  <si>
    <t>SOATA</t>
  </si>
  <si>
    <t>UNIDAD LOCAL CALLE 9 2 57</t>
  </si>
  <si>
    <t>UNIDAD LOCAL Y CTI CALLE 10 4 07</t>
  </si>
  <si>
    <t>MONIQUIRA</t>
  </si>
  <si>
    <t>UNIDAD LOCAL CALLE 19 3 22</t>
  </si>
  <si>
    <t>SOGAMOSO</t>
  </si>
  <si>
    <t>UNIDAD SAU CALLE 15 14 22</t>
  </si>
  <si>
    <t>SECCIONAL CRA 12 16 29/31</t>
  </si>
  <si>
    <t>SECCIONAL Y POLICIA JUDICIAL CALLE 26 9A 42/56/68 Y CRA 10 26 16</t>
  </si>
  <si>
    <t>SECCIONAL CAIVAS</t>
  </si>
  <si>
    <t>SECCIONAL URI</t>
  </si>
  <si>
    <t>GESTION DOCUMENTAL</t>
  </si>
  <si>
    <t>APOYO A LA GESTION</t>
  </si>
  <si>
    <t>SECCIONAL CRIMINALISTICA</t>
  </si>
  <si>
    <t>URI Y POLICIA</t>
  </si>
  <si>
    <t>PARQUEADERO Y POLICIA JUDICIAL</t>
  </si>
  <si>
    <t>EDIFICIO E.D.A</t>
  </si>
  <si>
    <t>DIRECCION FISCALIAS BOYACA</t>
  </si>
  <si>
    <t>VILLA DE LEYVA</t>
  </si>
  <si>
    <t>UNIDAD LOCAL Y SECCIONAL Y POLICIA JUDICIAL</t>
  </si>
  <si>
    <t>GARAGOA</t>
  </si>
  <si>
    <t>SECCIONAL Y LOCAL CALLE 6 16 34</t>
  </si>
  <si>
    <t>TOTALES</t>
  </si>
  <si>
    <t>BOYACA F.E.A.B</t>
  </si>
  <si>
    <t>PATIO UNICO INCAUTADOS</t>
  </si>
  <si>
    <t>Suma total</t>
  </si>
  <si>
    <t>SUBTOTAL</t>
  </si>
  <si>
    <t>AIU</t>
  </si>
  <si>
    <t>VR TOTAL</t>
  </si>
  <si>
    <t>Servicios de Vigilancia Privada - BOGOTA DC</t>
  </si>
  <si>
    <t>Servicios de Vigilancia Privada - CAJICA</t>
  </si>
  <si>
    <t>Servicios de Vigilancia Privada - CAQUEZA</t>
  </si>
  <si>
    <t>Servicios de Vigilancia Privada - CHIA</t>
  </si>
  <si>
    <t>Servicios de Vigilancia Privada - CHIQUINQUIRA</t>
  </si>
  <si>
    <t>Servicios de Vigilancia Privada - CHOACHI</t>
  </si>
  <si>
    <t>Servicios de Vigilancia Privada - CHOCONTA</t>
  </si>
  <si>
    <t>Servicios de Vigilancia Privada - DUITAMA</t>
  </si>
  <si>
    <t>Servicios de Vigilancia Privada - EL COCUY</t>
  </si>
  <si>
    <t>Servicios de Vigilancia Privada - FACATATIVA</t>
  </si>
  <si>
    <t>Servicios de Vigilancia Privada - FLANDES</t>
  </si>
  <si>
    <t>Servicios de Vigilancia Privada - FUNZA</t>
  </si>
  <si>
    <t>Servicios de Vigilancia Privada - FUSAGASUGA</t>
  </si>
  <si>
    <t>Servicios de Vigilancia Privada - GARAGOA</t>
  </si>
  <si>
    <t>Servicios de Vigilancia Privada - GIRARDOT</t>
  </si>
  <si>
    <t>Servicios de Vigilancia Privada - GUADUAS</t>
  </si>
  <si>
    <t>Servicios de Vigilancia Privada - GUATEQUE</t>
  </si>
  <si>
    <t>Servicios de Vigilancia Privada - LA MESA</t>
  </si>
  <si>
    <t>Servicios de Vigilancia Privada - LA VEGA</t>
  </si>
  <si>
    <t>Servicios de Vigilancia Privada - LABRANZA GRANDE</t>
  </si>
  <si>
    <t>Servicios de Vigilancia Privada - LETICIA</t>
  </si>
  <si>
    <t>Servicios de Vigilancia Privada - MADRID</t>
  </si>
  <si>
    <t>Servicios de Vigilancia Privada - MIRAFLORES</t>
  </si>
  <si>
    <t>Servicios de Vigilancia Privada - MONIQUIRA</t>
  </si>
  <si>
    <t>Servicios de Vigilancia Privada - MOSQUERA</t>
  </si>
  <si>
    <t>Servicios de Vigilancia Privada - MUZO</t>
  </si>
  <si>
    <t>Servicios de Vigilancia Privada - PACHO</t>
  </si>
  <si>
    <t>Servicios de Vigilancia Privada - PAIPA</t>
  </si>
  <si>
    <t>Servicios de Vigilancia Privada - PAJARITO</t>
  </si>
  <si>
    <t>Servicios de Vigilancia Privada - RAMIRIQUI</t>
  </si>
  <si>
    <t>Servicios de Vigilancia Privada - SAMACA</t>
  </si>
  <si>
    <t>Servicios de Vigilancia Privada - SANTA ROSA VTBO</t>
  </si>
  <si>
    <t>Servicios de Vigilancia Privada - SILVANIA</t>
  </si>
  <si>
    <t>Servicios de Vigilancia Privada - SIMIJACA</t>
  </si>
  <si>
    <t>Servicios de Vigilancia Privada - SOACHA</t>
  </si>
  <si>
    <t>Servicios de Vigilancia Privada - SOATA</t>
  </si>
  <si>
    <t>Servicios de Vigilancia Privada - SOGAMOSO</t>
  </si>
  <si>
    <t>Servicios de Vigilancia Privada - SUBACHOQUE</t>
  </si>
  <si>
    <t>Servicios de Vigilancia Privada - TUNJA</t>
  </si>
  <si>
    <t>Servicios de Vigilancia Privada - UBATE</t>
  </si>
  <si>
    <t>Servicios de Vigilancia Privada - VILLA DE LEYVA</t>
  </si>
  <si>
    <t>Servicios de Vigilancia Privada - VILLETA</t>
  </si>
  <si>
    <t>Servicios de Vigilancia Privada - ZIPAQUIRA</t>
  </si>
  <si>
    <t>Servicios de Vigilancia Privada - Suma total</t>
  </si>
  <si>
    <t>FORMATO</t>
  </si>
  <si>
    <t>FORMATO 7 PROPUESTA ECONOMICA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</si>
  <si>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</si>
  <si>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</si>
  <si>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</si>
  <si>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OBJETO: CONTRATAR LA PRESTACION DE SERVICIOS DE VIGILANCIA Y SEGURIDAD PARA LAS INSTALACIONES Y AEROPUERTOS ADMINISTRADOS POR LA AERONAUTICA CIVIL POR LOTES (VF).</t>
  </si>
  <si>
    <t>CIUDAD</t>
  </si>
  <si>
    <t>VALOR PRIMA SEGURO DE VIDA POR SERVICIO MENSUAL UNITARIO</t>
  </si>
  <si>
    <t>SUB TOTAL ANTES DE AIU (K+L+M)*J</t>
  </si>
  <si>
    <t>VALOR TOTALVIGENCIA 2023 (1 al 31 de agosto 2023)</t>
  </si>
  <si>
    <t>SEGURIDAD REGULADA</t>
  </si>
  <si>
    <t>AEROPUERTOS</t>
  </si>
  <si>
    <t>BOGOTA</t>
  </si>
  <si>
    <t xml:space="preserve">EL DORADO (BOGOTA) </t>
  </si>
  <si>
    <t>PUESTO 12 HORAS (DIURNO)</t>
  </si>
  <si>
    <t>SERVICIO SIN ARMA</t>
  </si>
  <si>
    <t xml:space="preserve">PUESTO 24 HORAS </t>
  </si>
  <si>
    <t>SERVICIO ARMADO</t>
  </si>
  <si>
    <t>PUESTO 24 HORAS</t>
  </si>
  <si>
    <t>PUESTO 24 HORAS (CGAC)</t>
  </si>
  <si>
    <t>Serv. Vig. 24 H Diurno sin arma Aero. El Dorado CGAC</t>
  </si>
  <si>
    <t>GUAYMARAL</t>
  </si>
  <si>
    <t>Serv. Vig. 24 H Diurno con arma Aero. Guaymaral</t>
  </si>
  <si>
    <t>SERVICIO CON CANINO</t>
  </si>
  <si>
    <t>TOLIMA</t>
  </si>
  <si>
    <t>CAQUETA</t>
  </si>
  <si>
    <t>FLORENCIA</t>
  </si>
  <si>
    <t>GUSTAVO ARTUNDUAGA PAREDES (FLORENCIA)</t>
  </si>
  <si>
    <t>Serv. Vig. 24 H Diurno con arma Aero. Florencia</t>
  </si>
  <si>
    <t>PUESTO 16 HORAS (DIURNO)</t>
  </si>
  <si>
    <t>Serv. Vig. 16 H Diurno sin arma Aero. Florencia</t>
  </si>
  <si>
    <t>PUESTO 12 HORAS (DIURNO CON CANINO)</t>
  </si>
  <si>
    <t>IBAGUE</t>
  </si>
  <si>
    <t xml:space="preserve">PERALES (IBAGUE) </t>
  </si>
  <si>
    <t>Serv. Vig. 16 H Diurno sin arma Aero. Ibague</t>
  </si>
  <si>
    <t xml:space="preserve">ALFREDO VASQUEZ COBO (LETICIA) </t>
  </si>
  <si>
    <t>Serv. Vig. 12 H Diurno sin arma Aero. Leticia</t>
  </si>
  <si>
    <t>Serv. Vig. 12 H Diurno con canino Aero. Leticia</t>
  </si>
  <si>
    <t>HUILA</t>
  </si>
  <si>
    <t>NEIVA</t>
  </si>
  <si>
    <t xml:space="preserve">BENITO SALAS (NEIVA) </t>
  </si>
  <si>
    <t>Serv. Vig. 16 H Diurno sin arma Aero. Neiva</t>
  </si>
  <si>
    <t>PITALITO</t>
  </si>
  <si>
    <t>CONTADOR (PITALITO)</t>
  </si>
  <si>
    <t>MARIQUITA</t>
  </si>
  <si>
    <t>JOSÉ CELESTINO MUTIS (MARIQUITA)</t>
  </si>
  <si>
    <t>PUTUMAYO</t>
  </si>
  <si>
    <t>PUERTOASIS</t>
  </si>
  <si>
    <t>TRES DE MAYO (PUERTO ASIS)</t>
  </si>
  <si>
    <t>SAN VICENTE DEL CAGUAN</t>
  </si>
  <si>
    <t xml:space="preserve">SAN VICENTE DEL CAGUAN </t>
  </si>
  <si>
    <t>JUAN JOSE RONDON</t>
  </si>
  <si>
    <t>Serv. Vig. 24 H Diurno con arma Aero. Paipa</t>
  </si>
  <si>
    <t>Serv. Vig. 12 H Diurno sin arma Aero. Paipa</t>
  </si>
  <si>
    <t>VILLA GARZON</t>
  </si>
  <si>
    <t>Serv. Vig. 12 H Diurno sin arma Aero. Villa Garzon</t>
  </si>
  <si>
    <t>GUSTAVO ROJAS PINILLA  DE TUNJA</t>
  </si>
  <si>
    <t>Serv. Vig. 24 H Diurno con arma Aero. Tunja</t>
  </si>
  <si>
    <t>ESTACIONES</t>
  </si>
  <si>
    <t>RADAR (FLANDES)</t>
  </si>
  <si>
    <t>ESPINAL</t>
  </si>
  <si>
    <t xml:space="preserve">VOR EL ESPINAL </t>
  </si>
  <si>
    <t>Serv. Vig. 24 H Diurno con arma Estacion Espinal</t>
  </si>
  <si>
    <t>PICALEÑA</t>
  </si>
  <si>
    <t>Serv. Vig. 24 H Diurno con arma Estacion Ibague</t>
  </si>
  <si>
    <t>VOR TOTUMO NEIVA</t>
  </si>
  <si>
    <t>VOR</t>
  </si>
  <si>
    <t>Serv. Vig. 24 H Diurno con arma Estacion Mariquita</t>
  </si>
  <si>
    <t>ADMINISTRATIVOS</t>
  </si>
  <si>
    <t>Serv. Vig. 24 H Diurno sin arma - El Dorado</t>
  </si>
  <si>
    <t>Serv. Vig. 24 H Diurno con arma - El Dorado</t>
  </si>
  <si>
    <t>Serv. Vig. 12 H Diurno sin arma - El Dorado</t>
  </si>
  <si>
    <t>PUESTO 12 HORAS (DIURNO) NEAA - CGAC</t>
  </si>
  <si>
    <t>PUESTO 12 HORAS (DIURNO) lun-Vie sin festivos</t>
  </si>
  <si>
    <t>Serv. Vig. 24 H Diurno sin arma - Ibague</t>
  </si>
  <si>
    <t>Serv. Vig. 24 H Diurno sin arma - Mariquita</t>
  </si>
  <si>
    <t>Serv. Vig. 24 H Diurno sin arma - Paipa</t>
  </si>
  <si>
    <t>CHAPARRAL</t>
  </si>
  <si>
    <t>NAVAS PARDO (CHAPARRAL)</t>
  </si>
  <si>
    <t>Serv. Vig. 24 H Diurno sin arma - Chaparral</t>
  </si>
  <si>
    <t>Serv. Vig. 24 H Diurno sin arma - San Vicente del Caguan</t>
  </si>
  <si>
    <t>NO REGULADA</t>
  </si>
  <si>
    <t>SUPERVISORES</t>
  </si>
  <si>
    <t>SUPERVISOR 12 HORAS (DIURNO)</t>
  </si>
  <si>
    <t>BOTÓN DE PÁNICO</t>
  </si>
  <si>
    <t>Serv. Supervision 12 H Diurno - Villa Garzon</t>
  </si>
  <si>
    <t xml:space="preserve">SUPERVISOR 24 HORAS </t>
  </si>
  <si>
    <t>Serv. Supervision 24 H - Aero. El Dorado</t>
  </si>
  <si>
    <t>SUPERVISOR  24 HORAS CGAC</t>
  </si>
  <si>
    <t>Serv. Supervision 24 H - CGAC</t>
  </si>
  <si>
    <t>SUPERVISOR  24 HORAS INSTALACIONES ADMINISTRATIVAS</t>
  </si>
  <si>
    <t>Serv. Supervision 24 H - Instalaciones Admon</t>
  </si>
  <si>
    <t>SUPERVISOR 24 HORAS 
CSGC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</si>
  <si>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</si>
  <si>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OMT24 HORAS CCTV</t>
  </si>
  <si>
    <t>Serv. OMT 24 H - Centro Situacional Crisis</t>
  </si>
  <si>
    <t>SUPERVISOR  24 HORAS</t>
  </si>
  <si>
    <t>Serv. Supervision 24 H - Florencia</t>
  </si>
  <si>
    <t>OMT  16 HORAS CCTV DIURNO</t>
  </si>
  <si>
    <t>Serv. OMT 16 H Diurno - Florencia</t>
  </si>
  <si>
    <t>PUESTO 16 HORAS CCTV</t>
  </si>
  <si>
    <t>Serv. OMT 16 H Diurno - Ibague</t>
  </si>
  <si>
    <t>Serv. Supervision 24 H - Ibague</t>
  </si>
  <si>
    <t>Serv. Supervision 24 H - Leticia</t>
  </si>
  <si>
    <t>SUPERVISOR  24 CCTV</t>
  </si>
  <si>
    <t>Serv. Supervision 24 H - CCTV Leticia</t>
  </si>
  <si>
    <t xml:space="preserve">OMT  24 HORAS CCTV </t>
  </si>
  <si>
    <t>Serv. OMT 24 H - Neiva</t>
  </si>
  <si>
    <t>Serv. Supervision 24 H - Neiva</t>
  </si>
  <si>
    <t>CONTADOR</t>
  </si>
  <si>
    <t>SUPERVISOR  12 HORAS (DIURNO)</t>
  </si>
  <si>
    <t>Serv. Supervision 12 H Diurno -  Pitalito</t>
  </si>
  <si>
    <t>OMT 12 HORAS CCTV DIURNAS</t>
  </si>
  <si>
    <t>Serv. OMT 12 H Diurno - Puerto Asis</t>
  </si>
  <si>
    <t xml:space="preserve">SUPERVISOR  24 HORAS </t>
  </si>
  <si>
    <t>Serv. Supervision 24 H - Puerto Asis</t>
  </si>
  <si>
    <t>SUPERVISOR 12 HORAS (DIURNAS)</t>
  </si>
  <si>
    <t>Serv. Supervision 12 H Diurno - San Vicente del Caguan</t>
  </si>
  <si>
    <t>FLAMINGO SUAREZ CAMACHO</t>
  </si>
  <si>
    <t>Serv. Supervision 12 H Diurno - Guaymaral</t>
  </si>
  <si>
    <t>Serv. Supervision 12 H Diurno - Paipa</t>
  </si>
  <si>
    <t>Serv. Supervision 12 H Diurno  - Mariquita</t>
  </si>
  <si>
    <t>SUPERVISOR 12 HORAS DIURNAS</t>
  </si>
  <si>
    <t>Serv. Supervision 12 H Diurno - Flandes</t>
  </si>
  <si>
    <t>SERVICIOS LOGISTICOS</t>
  </si>
  <si>
    <t>SERVICIO 24 HORAS</t>
  </si>
  <si>
    <t xml:space="preserve">TECNICO MESA DE AYUDA </t>
  </si>
  <si>
    <t>Serv. Tecnico mesa de ayuda - Bogota</t>
  </si>
  <si>
    <t>Serv. Vig. 24 H Diurno sin arma - Leticia</t>
  </si>
  <si>
    <t>AEROPUERTO</t>
  </si>
  <si>
    <t>GARITA DE VIGILANCIA CON BAÑO</t>
  </si>
  <si>
    <t>Garita de vigilancia con baño Florencia</t>
  </si>
  <si>
    <t>Garita de vigilancia con baño Ibague</t>
  </si>
  <si>
    <t>Garita de vigilancia con baño Leticia</t>
  </si>
  <si>
    <t>Garita de vigilancia con baño Neiva</t>
  </si>
  <si>
    <t>Garita de vigilancia con baño Pitalito</t>
  </si>
  <si>
    <t>PUERTO ASIS</t>
  </si>
  <si>
    <t>Garita de vigilancia con baño Puerto Asis</t>
  </si>
  <si>
    <t>Garita de vigilancia con baño El Caguan</t>
  </si>
  <si>
    <t>Garita de vigilancia con baño Villa Garzon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</si>
  <si>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</si>
  <si>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</si>
  <si>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</si>
  <si>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VALOR TOTALVIGENCIA 2023 (1 al 31 de mayo 2023)</t>
  </si>
  <si>
    <t>GUAIMARAL</t>
  </si>
  <si>
    <t>NO REGULADA MIA</t>
  </si>
  <si>
    <t>PO POR ITEM</t>
  </si>
  <si>
    <t>MARGEN MINIMO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</si>
  <si>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</si>
  <si>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REPRESENTANTE LEGAL</t>
  </si>
  <si>
    <t>COSERVIPP LTDA</t>
  </si>
  <si>
    <t>NOMBRE</t>
  </si>
  <si>
    <t>FABIO PORTILLA SANCHEZ</t>
  </si>
  <si>
    <t>NIT</t>
  </si>
  <si>
    <t>800.163.265-6</t>
  </si>
  <si>
    <t>DIRECCION</t>
  </si>
  <si>
    <t>CRA 47A No 93-78</t>
  </si>
  <si>
    <t>TELEFONOS , FAX</t>
  </si>
  <si>
    <t>DIRECCION CORREO ELECTRONICO</t>
  </si>
  <si>
    <t>dir.licitaciones@coservippltda.com.co</t>
  </si>
  <si>
    <t>NUMERO DE CELULAR</t>
  </si>
  <si>
    <t>Bogota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</si>
  <si>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</si>
  <si>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</si>
  <si>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</si>
  <si>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</si>
  <si>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31 de mayo 2024)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</si>
  <si>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</si>
  <si>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30 de junio 2024)</t>
  </si>
  <si>
    <t>Total general</t>
  </si>
  <si>
    <t>TOTAL A PAGAR NOVIEMBRE 2024</t>
  </si>
  <si>
    <t>Factura de Venta No BUNK 8</t>
  </si>
  <si>
    <t>RESUMEN FACTURA</t>
  </si>
  <si>
    <t>NOTA CREDITO - ANS</t>
  </si>
  <si>
    <t>Del 1 al 14 de Julio 2025</t>
  </si>
  <si>
    <t>Del 01 al 30 de Agosto 2025</t>
  </si>
  <si>
    <t>ANS APLICADAS EN EL MES</t>
  </si>
  <si>
    <t>TOTAL A FACTURAR EN EL MES</t>
  </si>
  <si>
    <t>Del 1 al 31 de Enero 2026</t>
  </si>
  <si>
    <t>SERVICONI</t>
  </si>
  <si>
    <t>COSERVIPP</t>
  </si>
  <si>
    <t>MIEMBRO UT</t>
  </si>
  <si>
    <t>TOTAL INGRESOS</t>
  </si>
  <si>
    <t>SERVICONI LTDA</t>
  </si>
  <si>
    <t>VR. FACTURAS</t>
  </si>
  <si>
    <t>INGRESOS MES DE MAY-2026 SIN ANS</t>
  </si>
  <si>
    <t>INGRESOS MES DE MAY-2026 CON ANS</t>
  </si>
  <si>
    <t>Del 1 al 31 de Mayo de 2026</t>
  </si>
  <si>
    <t xml:space="preserve">FACTURA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</si>
</sst>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3" formatCode="_-* #,##0.00_-;\-* #,##0.00_-;_-* &quot;-&quot;??_-;_-@_-"/>
    <numFmt numFmtId="164" formatCode="_-* #,##0_-;\-* #,##0_-;_-* &quot;-&quot;??_-;_-@"/>
    <numFmt numFmtId="165" formatCode="#,##0.00_ ;[Red]\-#,##0.00\ "/>
    <numFmt numFmtId="166" formatCode="_-* #,##0.00_-;\-* #,##0.00_-;_-* &quot;-&quot;??_-;_-@"/>
    <numFmt numFmtId="167" formatCode="_-&quot;$&quot;\ * #,##0.00_-;\-&quot;$&quot;\ * #,##0.00_-;_-&quot;$&quot;\ * &quot;-&quot;??_-;_-@"/>
    <numFmt numFmtId="168" formatCode="_-&quot;$&quot;\ * #,##0_-;\-&quot;$&quot;\ * #,##0_-;_-&quot;$&quot;\ * &quot;-&quot;_-;_-@"/>
    <numFmt numFmtId="169" formatCode="_-* #,##0_-;\-* #,##0_-;_-* &quot;-&quot;??_-;_-@_-"/>
    <numFmt numFmtId="170" formatCode="0.0000%"/>
  </numFmts>
  <fonts count="4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1"/>
      <name val="Calibri"/>
      <family val="2"/>
    </font>
    <font>
      <b/>
      <sz val="9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7F7F7F"/>
      <name val="Calibri"/>
      <family val="2"/>
    </font>
    <font>
      <sz val="11"/>
      <color rgb="FFA5A5A5"/>
      <name val="Calibri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entury Gothic"/>
      <family val="2"/>
    </font>
    <font>
      <sz val="11"/>
      <color rgb="FFFFFF00"/>
      <name val="Calibri"/>
      <family val="2"/>
    </font>
    <font>
      <sz val="8"/>
      <color theme="1"/>
      <name val="Century Schoolbook"/>
      <family val="1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b/>
      <sz val="14"/>
      <color theme="1"/>
      <name val="Calibri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2"/>
      <name val="Calibri"/>
      <family val="2"/>
    </font>
    <font>
      <b/>
      <sz val="11"/>
      <color theme="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FF0000"/>
      <name val="Arial"/>
      <family val="2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B4A7D6"/>
        <bgColor rgb="FFB4A7D6"/>
      </patternFill>
    </fill>
    <fill>
      <patternFill patternType="solid">
        <fgColor rgb="FFFFD966"/>
        <bgColor rgb="FFFFD966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66FF"/>
        <bgColor rgb="FFFF66FF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4">
    <xf numFmtId="0" fontId="0" fillId="0" borderId="0"/>
    <xf numFmtId="43" fontId="31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17" borderId="0" applyNumberFormat="0" applyBorder="0" applyAlignment="0" applyProtection="0"/>
  </cellStyleXfs>
  <cellXfs count="318">
    <xf numFmtId="0" fontId="0" fillId="0" borderId="0" xfId="0"/>
    <xf numFmtId="3" fontId="2" fillId="0" borderId="4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left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3" fontId="8" fillId="3" borderId="4" xfId="0" applyNumberFormat="1" applyFont="1" applyFill="1" applyBorder="1"/>
    <xf numFmtId="164" fontId="8" fillId="3" borderId="4" xfId="0" applyNumberFormat="1" applyFont="1" applyFill="1" applyBorder="1"/>
    <xf numFmtId="0" fontId="7" fillId="0" borderId="0" xfId="0" applyFont="1"/>
    <xf numFmtId="164" fontId="7" fillId="0" borderId="0" xfId="0" applyNumberFormat="1" applyFont="1"/>
    <xf numFmtId="164" fontId="7" fillId="0" borderId="4" xfId="0" applyNumberFormat="1" applyFont="1" applyBorder="1"/>
    <xf numFmtId="164" fontId="8" fillId="0" borderId="4" xfId="0" applyNumberFormat="1" applyFont="1" applyBorder="1"/>
    <xf numFmtId="3" fontId="5" fillId="0" borderId="4" xfId="0" applyNumberFormat="1" applyFont="1" applyBorder="1" applyAlignment="1">
      <alignment horizontal="left" vertical="center"/>
    </xf>
    <xf numFmtId="3" fontId="5" fillId="5" borderId="4" xfId="0" applyNumberFormat="1" applyFont="1" applyFill="1" applyBorder="1" applyAlignment="1">
      <alignment horizontal="center" vertical="center"/>
    </xf>
    <xf numFmtId="164" fontId="5" fillId="6" borderId="4" xfId="0" applyNumberFormat="1" applyFont="1" applyFill="1" applyBorder="1" applyAlignment="1">
      <alignment horizontal="center" vertical="center"/>
    </xf>
    <xf numFmtId="3" fontId="8" fillId="0" borderId="4" xfId="0" applyNumberFormat="1" applyFont="1" applyBorder="1"/>
    <xf numFmtId="0" fontId="9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0" xfId="0" applyFont="1"/>
    <xf numFmtId="3" fontId="10" fillId="0" borderId="4" xfId="0" applyNumberFormat="1" applyFont="1" applyBorder="1"/>
    <xf numFmtId="164" fontId="10" fillId="0" borderId="4" xfId="0" applyNumberFormat="1" applyFont="1" applyBorder="1"/>
    <xf numFmtId="0" fontId="9" fillId="0" borderId="4" xfId="0" applyFont="1" applyBorder="1"/>
    <xf numFmtId="164" fontId="9" fillId="0" borderId="4" xfId="0" applyNumberFormat="1" applyFont="1" applyBorder="1"/>
    <xf numFmtId="0" fontId="11" fillId="0" borderId="0" xfId="0" applyFont="1"/>
    <xf numFmtId="0" fontId="12" fillId="0" borderId="0" xfId="0" applyFont="1"/>
    <xf numFmtId="0" fontId="13" fillId="0" borderId="4" xfId="0" applyFont="1" applyBorder="1" applyAlignment="1">
      <alignment vertical="center" wrapText="1"/>
    </xf>
    <xf numFmtId="0" fontId="7" fillId="0" borderId="4" xfId="0" applyFont="1" applyBorder="1"/>
    <xf numFmtId="0" fontId="11" fillId="0" borderId="3" xfId="0" applyFont="1" applyBorder="1"/>
    <xf numFmtId="0" fontId="11" fillId="0" borderId="4" xfId="0" applyFont="1" applyBorder="1"/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5" fontId="11" fillId="0" borderId="4" xfId="0" applyNumberFormat="1" applyFont="1" applyBorder="1"/>
    <xf numFmtId="0" fontId="12" fillId="0" borderId="4" xfId="0" applyFont="1" applyBorder="1"/>
    <xf numFmtId="0" fontId="7" fillId="7" borderId="13" xfId="0" applyFont="1" applyFill="1" applyBorder="1"/>
    <xf numFmtId="3" fontId="5" fillId="7" borderId="4" xfId="0" applyNumberFormat="1" applyFont="1" applyFill="1" applyBorder="1" applyAlignment="1">
      <alignment horizontal="center" vertical="center" wrapText="1"/>
    </xf>
    <xf numFmtId="3" fontId="6" fillId="7" borderId="4" xfId="0" applyNumberFormat="1" applyFont="1" applyFill="1" applyBorder="1" applyAlignment="1">
      <alignment horizontal="center" vertical="center" wrapText="1"/>
    </xf>
    <xf numFmtId="3" fontId="5" fillId="7" borderId="4" xfId="0" applyNumberFormat="1" applyFont="1" applyFill="1" applyBorder="1" applyAlignment="1">
      <alignment horizontal="center" vertical="center"/>
    </xf>
    <xf numFmtId="166" fontId="5" fillId="7" borderId="4" xfId="0" applyNumberFormat="1" applyFont="1" applyFill="1" applyBorder="1" applyAlignment="1">
      <alignment horizontal="center" vertical="center"/>
    </xf>
    <xf numFmtId="166" fontId="5" fillId="7" borderId="4" xfId="0" applyNumberFormat="1" applyFont="1" applyFill="1" applyBorder="1" applyAlignment="1">
      <alignment horizontal="center" vertical="center" wrapText="1"/>
    </xf>
    <xf numFmtId="166" fontId="20" fillId="7" borderId="4" xfId="0" applyNumberFormat="1" applyFont="1" applyFill="1" applyBorder="1" applyAlignment="1">
      <alignment horizontal="center" vertical="center"/>
    </xf>
    <xf numFmtId="0" fontId="7" fillId="7" borderId="4" xfId="0" applyFont="1" applyFill="1" applyBorder="1"/>
    <xf numFmtId="0" fontId="21" fillId="7" borderId="4" xfId="0" applyFont="1" applyFill="1" applyBorder="1"/>
    <xf numFmtId="0" fontId="11" fillId="7" borderId="4" xfId="0" applyFont="1" applyFill="1" applyBorder="1"/>
    <xf numFmtId="167" fontId="11" fillId="7" borderId="4" xfId="0" applyNumberFormat="1" applyFont="1" applyFill="1" applyBorder="1"/>
    <xf numFmtId="168" fontId="11" fillId="7" borderId="4" xfId="0" applyNumberFormat="1" applyFont="1" applyFill="1" applyBorder="1"/>
    <xf numFmtId="0" fontId="11" fillId="7" borderId="15" xfId="0" applyFont="1" applyFill="1" applyBorder="1"/>
    <xf numFmtId="165" fontId="11" fillId="7" borderId="4" xfId="0" applyNumberFormat="1" applyFont="1" applyFill="1" applyBorder="1"/>
    <xf numFmtId="0" fontId="12" fillId="7" borderId="4" xfId="0" applyFont="1" applyFill="1" applyBorder="1"/>
    <xf numFmtId="166" fontId="7" fillId="7" borderId="13" xfId="0" applyNumberFormat="1" applyFont="1" applyFill="1" applyBorder="1"/>
    <xf numFmtId="0" fontId="11" fillId="7" borderId="13" xfId="0" applyFont="1" applyFill="1" applyBorder="1"/>
    <xf numFmtId="166" fontId="7" fillId="7" borderId="18" xfId="0" applyNumberFormat="1" applyFont="1" applyFill="1" applyBorder="1"/>
    <xf numFmtId="0" fontId="11" fillId="7" borderId="18" xfId="0" applyFont="1" applyFill="1" applyBorder="1"/>
    <xf numFmtId="166" fontId="11" fillId="7" borderId="13" xfId="0" applyNumberFormat="1" applyFont="1" applyFill="1" applyBorder="1"/>
    <xf numFmtId="166" fontId="5" fillId="7" borderId="19" xfId="0" applyNumberFormat="1" applyFont="1" applyFill="1" applyBorder="1" applyAlignment="1">
      <alignment horizontal="center" vertical="center"/>
    </xf>
    <xf numFmtId="166" fontId="20" fillId="7" borderId="19" xfId="0" applyNumberFormat="1" applyFont="1" applyFill="1" applyBorder="1" applyAlignment="1">
      <alignment horizontal="center" vertical="center"/>
    </xf>
    <xf numFmtId="0" fontId="7" fillId="7" borderId="19" xfId="0" applyFont="1" applyFill="1" applyBorder="1"/>
    <xf numFmtId="0" fontId="11" fillId="7" borderId="19" xfId="0" applyFont="1" applyFill="1" applyBorder="1"/>
    <xf numFmtId="167" fontId="11" fillId="7" borderId="19" xfId="0" applyNumberFormat="1" applyFont="1" applyFill="1" applyBorder="1"/>
    <xf numFmtId="168" fontId="11" fillId="7" borderId="19" xfId="0" applyNumberFormat="1" applyFont="1" applyFill="1" applyBorder="1"/>
    <xf numFmtId="0" fontId="11" fillId="7" borderId="20" xfId="0" applyFont="1" applyFill="1" applyBorder="1"/>
    <xf numFmtId="165" fontId="11" fillId="7" borderId="19" xfId="0" applyNumberFormat="1" applyFont="1" applyFill="1" applyBorder="1"/>
    <xf numFmtId="0" fontId="12" fillId="7" borderId="19" xfId="0" applyFont="1" applyFill="1" applyBorder="1"/>
    <xf numFmtId="0" fontId="7" fillId="8" borderId="13" xfId="0" applyFont="1" applyFill="1" applyBorder="1"/>
    <xf numFmtId="3" fontId="5" fillId="8" borderId="4" xfId="0" applyNumberFormat="1" applyFont="1" applyFill="1" applyBorder="1" applyAlignment="1">
      <alignment horizontal="center" vertical="center" wrapText="1"/>
    </xf>
    <xf numFmtId="3" fontId="6" fillId="8" borderId="4" xfId="0" applyNumberFormat="1" applyFont="1" applyFill="1" applyBorder="1" applyAlignment="1">
      <alignment horizontal="center" vertical="center" wrapText="1"/>
    </xf>
    <xf numFmtId="3" fontId="5" fillId="8" borderId="4" xfId="0" applyNumberFormat="1" applyFont="1" applyFill="1" applyBorder="1" applyAlignment="1">
      <alignment horizontal="center" vertical="center"/>
    </xf>
    <xf numFmtId="166" fontId="5" fillId="8" borderId="4" xfId="0" applyNumberFormat="1" applyFont="1" applyFill="1" applyBorder="1" applyAlignment="1">
      <alignment horizontal="center" vertical="center"/>
    </xf>
    <xf numFmtId="166" fontId="5" fillId="8" borderId="4" xfId="0" applyNumberFormat="1" applyFont="1" applyFill="1" applyBorder="1" applyAlignment="1">
      <alignment horizontal="center" vertical="center" wrapText="1"/>
    </xf>
    <xf numFmtId="166" fontId="20" fillId="8" borderId="4" xfId="0" applyNumberFormat="1" applyFont="1" applyFill="1" applyBorder="1" applyAlignment="1">
      <alignment horizontal="center" vertical="center"/>
    </xf>
    <xf numFmtId="0" fontId="7" fillId="8" borderId="4" xfId="0" applyFont="1" applyFill="1" applyBorder="1"/>
    <xf numFmtId="0" fontId="11" fillId="8" borderId="4" xfId="0" applyFont="1" applyFill="1" applyBorder="1"/>
    <xf numFmtId="167" fontId="11" fillId="8" borderId="4" xfId="0" applyNumberFormat="1" applyFont="1" applyFill="1" applyBorder="1"/>
    <xf numFmtId="168" fontId="11" fillId="8" borderId="4" xfId="0" applyNumberFormat="1" applyFont="1" applyFill="1" applyBorder="1"/>
    <xf numFmtId="0" fontId="11" fillId="8" borderId="15" xfId="0" applyFont="1" applyFill="1" applyBorder="1"/>
    <xf numFmtId="165" fontId="11" fillId="8" borderId="4" xfId="0" applyNumberFormat="1" applyFont="1" applyFill="1" applyBorder="1"/>
    <xf numFmtId="0" fontId="12" fillId="8" borderId="4" xfId="0" applyFont="1" applyFill="1" applyBorder="1"/>
    <xf numFmtId="166" fontId="7" fillId="8" borderId="13" xfId="0" applyNumberFormat="1" applyFont="1" applyFill="1" applyBorder="1"/>
    <xf numFmtId="0" fontId="11" fillId="8" borderId="13" xfId="0" applyFont="1" applyFill="1" applyBorder="1"/>
    <xf numFmtId="166" fontId="11" fillId="8" borderId="13" xfId="0" applyNumberFormat="1" applyFont="1" applyFill="1" applyBorder="1"/>
    <xf numFmtId="167" fontId="21" fillId="7" borderId="4" xfId="0" applyNumberFormat="1" applyFont="1" applyFill="1" applyBorder="1"/>
    <xf numFmtId="3" fontId="6" fillId="7" borderId="4" xfId="0" applyNumberFormat="1" applyFont="1" applyFill="1" applyBorder="1" applyAlignment="1">
      <alignment horizontal="center" vertical="center"/>
    </xf>
    <xf numFmtId="3" fontId="6" fillId="8" borderId="4" xfId="0" applyNumberFormat="1" applyFont="1" applyFill="1" applyBorder="1" applyAlignment="1">
      <alignment horizontal="center" vertical="center"/>
    </xf>
    <xf numFmtId="167" fontId="21" fillId="8" borderId="4" xfId="0" applyNumberFormat="1" applyFont="1" applyFill="1" applyBorder="1"/>
    <xf numFmtId="166" fontId="22" fillId="8" borderId="4" xfId="0" applyNumberFormat="1" applyFont="1" applyFill="1" applyBorder="1"/>
    <xf numFmtId="1" fontId="22" fillId="8" borderId="21" xfId="0" applyNumberFormat="1" applyFont="1" applyFill="1" applyBorder="1" applyAlignment="1">
      <alignment horizontal="center" vertical="center" wrapText="1"/>
    </xf>
    <xf numFmtId="1" fontId="22" fillId="8" borderId="15" xfId="0" applyNumberFormat="1" applyFont="1" applyFill="1" applyBorder="1" applyAlignment="1">
      <alignment horizontal="center" vertical="center" wrapText="1"/>
    </xf>
    <xf numFmtId="167" fontId="23" fillId="8" borderId="4" xfId="0" applyNumberFormat="1" applyFont="1" applyFill="1" applyBorder="1"/>
    <xf numFmtId="0" fontId="21" fillId="8" borderId="4" xfId="0" applyFont="1" applyFill="1" applyBorder="1"/>
    <xf numFmtId="1" fontId="22" fillId="0" borderId="1" xfId="0" applyNumberFormat="1" applyFont="1" applyBorder="1" applyAlignment="1">
      <alignment horizontal="center" vertical="center" wrapText="1"/>
    </xf>
    <xf numFmtId="1" fontId="22" fillId="0" borderId="3" xfId="0" applyNumberFormat="1" applyFont="1" applyBorder="1" applyAlignment="1">
      <alignment horizontal="center" vertical="center" wrapText="1"/>
    </xf>
    <xf numFmtId="1" fontId="22" fillId="0" borderId="4" xfId="0" applyNumberFormat="1" applyFont="1" applyBorder="1" applyAlignment="1">
      <alignment vertical="center" wrapText="1"/>
    </xf>
    <xf numFmtId="3" fontId="6" fillId="0" borderId="4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166" fontId="22" fillId="0" borderId="4" xfId="0" applyNumberFormat="1" applyFont="1" applyBorder="1"/>
    <xf numFmtId="166" fontId="7" fillId="0" borderId="4" xfId="0" applyNumberFormat="1" applyFont="1" applyBorder="1"/>
    <xf numFmtId="166" fontId="20" fillId="0" borderId="4" xfId="0" applyNumberFormat="1" applyFont="1" applyBorder="1" applyAlignment="1">
      <alignment horizontal="center" vertical="center"/>
    </xf>
    <xf numFmtId="167" fontId="23" fillId="0" borderId="4" xfId="0" applyNumberFormat="1" applyFont="1" applyBorder="1"/>
    <xf numFmtId="0" fontId="21" fillId="0" borderId="4" xfId="0" applyFont="1" applyBorder="1"/>
    <xf numFmtId="167" fontId="11" fillId="0" borderId="4" xfId="0" applyNumberFormat="1" applyFont="1" applyBorder="1"/>
    <xf numFmtId="168" fontId="11" fillId="0" borderId="4" xfId="0" applyNumberFormat="1" applyFont="1" applyBorder="1"/>
    <xf numFmtId="167" fontId="21" fillId="0" borderId="4" xfId="0" applyNumberFormat="1" applyFont="1" applyBorder="1"/>
    <xf numFmtId="1" fontId="22" fillId="8" borderId="4" xfId="0" applyNumberFormat="1" applyFont="1" applyFill="1" applyBorder="1" applyAlignment="1">
      <alignment vertical="center" wrapText="1"/>
    </xf>
    <xf numFmtId="166" fontId="7" fillId="8" borderId="4" xfId="0" applyNumberFormat="1" applyFont="1" applyFill="1" applyBorder="1"/>
    <xf numFmtId="0" fontId="8" fillId="9" borderId="4" xfId="0" applyFont="1" applyFill="1" applyBorder="1" applyAlignment="1">
      <alignment horizontal="center"/>
    </xf>
    <xf numFmtId="166" fontId="8" fillId="9" borderId="4" xfId="0" applyNumberFormat="1" applyFont="1" applyFill="1" applyBorder="1"/>
    <xf numFmtId="166" fontId="7" fillId="0" borderId="0" xfId="0" applyNumberFormat="1" applyFont="1"/>
    <xf numFmtId="166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6" fontId="5" fillId="10" borderId="4" xfId="0" applyNumberFormat="1" applyFont="1" applyFill="1" applyBorder="1" applyAlignment="1">
      <alignment horizontal="center" vertical="center" wrapText="1"/>
    </xf>
    <xf numFmtId="166" fontId="5" fillId="10" borderId="4" xfId="0" applyNumberFormat="1" applyFont="1" applyFill="1" applyBorder="1" applyAlignment="1">
      <alignment horizontal="center" vertical="center"/>
    </xf>
    <xf numFmtId="164" fontId="11" fillId="0" borderId="0" xfId="0" applyNumberFormat="1" applyFont="1"/>
    <xf numFmtId="3" fontId="5" fillId="11" borderId="4" xfId="0" applyNumberFormat="1" applyFont="1" applyFill="1" applyBorder="1" applyAlignment="1">
      <alignment horizontal="center" vertical="center" wrapText="1"/>
    </xf>
    <xf numFmtId="166" fontId="7" fillId="0" borderId="11" xfId="0" applyNumberFormat="1" applyFont="1" applyBorder="1"/>
    <xf numFmtId="166" fontId="7" fillId="11" borderId="18" xfId="0" applyNumberFormat="1" applyFont="1" applyFill="1" applyBorder="1"/>
    <xf numFmtId="0" fontId="11" fillId="0" borderId="11" xfId="0" applyFont="1" applyBorder="1"/>
    <xf numFmtId="166" fontId="11" fillId="0" borderId="0" xfId="0" applyNumberFormat="1" applyFont="1"/>
    <xf numFmtId="164" fontId="5" fillId="0" borderId="17" xfId="0" applyNumberFormat="1" applyFont="1" applyBorder="1" applyAlignment="1">
      <alignment horizontal="center" vertical="center"/>
    </xf>
    <xf numFmtId="166" fontId="20" fillId="0" borderId="17" xfId="0" applyNumberFormat="1" applyFont="1" applyBorder="1" applyAlignment="1">
      <alignment horizontal="center" vertical="center"/>
    </xf>
    <xf numFmtId="0" fontId="7" fillId="0" borderId="17" xfId="0" applyFont="1" applyBorder="1"/>
    <xf numFmtId="0" fontId="11" fillId="0" borderId="17" xfId="0" applyFont="1" applyBorder="1"/>
    <xf numFmtId="167" fontId="11" fillId="0" borderId="17" xfId="0" applyNumberFormat="1" applyFont="1" applyBorder="1"/>
    <xf numFmtId="168" fontId="11" fillId="0" borderId="17" xfId="0" applyNumberFormat="1" applyFont="1" applyBorder="1"/>
    <xf numFmtId="0" fontId="11" fillId="0" borderId="12" xfId="0" applyFont="1" applyBorder="1"/>
    <xf numFmtId="165" fontId="11" fillId="0" borderId="17" xfId="0" applyNumberFormat="1" applyFont="1" applyBorder="1"/>
    <xf numFmtId="0" fontId="12" fillId="0" borderId="17" xfId="0" applyFont="1" applyBorder="1"/>
    <xf numFmtId="3" fontId="5" fillId="12" borderId="4" xfId="0" applyNumberFormat="1" applyFont="1" applyFill="1" applyBorder="1" applyAlignment="1">
      <alignment horizontal="center" vertical="center" wrapText="1"/>
    </xf>
    <xf numFmtId="166" fontId="7" fillId="12" borderId="13" xfId="0" applyNumberFormat="1" applyFont="1" applyFill="1" applyBorder="1"/>
    <xf numFmtId="3" fontId="5" fillId="13" borderId="4" xfId="0" applyNumberFormat="1" applyFont="1" applyFill="1" applyBorder="1" applyAlignment="1">
      <alignment horizontal="center" vertical="center" wrapText="1"/>
    </xf>
    <xf numFmtId="166" fontId="7" fillId="13" borderId="13" xfId="0" applyNumberFormat="1" applyFont="1" applyFill="1" applyBorder="1"/>
    <xf numFmtId="3" fontId="5" fillId="11" borderId="4" xfId="0" applyNumberFormat="1" applyFont="1" applyFill="1" applyBorder="1" applyAlignment="1">
      <alignment horizontal="center" vertical="center"/>
    </xf>
    <xf numFmtId="164" fontId="5" fillId="5" borderId="4" xfId="0" applyNumberFormat="1" applyFont="1" applyFill="1" applyBorder="1" applyAlignment="1">
      <alignment horizontal="center" vertical="center"/>
    </xf>
    <xf numFmtId="164" fontId="8" fillId="9" borderId="4" xfId="0" applyNumberFormat="1" applyFont="1" applyFill="1" applyBorder="1"/>
    <xf numFmtId="0" fontId="18" fillId="0" borderId="14" xfId="0" applyFont="1" applyBorder="1" applyAlignment="1">
      <alignment vertical="center" textRotation="90"/>
    </xf>
    <xf numFmtId="0" fontId="19" fillId="0" borderId="14" xfId="0" applyFont="1" applyBorder="1" applyAlignment="1">
      <alignment vertical="center" textRotation="90"/>
    </xf>
    <xf numFmtId="3" fontId="5" fillId="0" borderId="14" xfId="0" applyNumberFormat="1" applyFont="1" applyBorder="1" applyAlignment="1">
      <alignment vertical="center" wrapText="1"/>
    </xf>
    <xf numFmtId="0" fontId="7" fillId="0" borderId="16" xfId="0" applyFont="1" applyBorder="1"/>
    <xf numFmtId="0" fontId="7" fillId="14" borderId="13" xfId="0" applyFont="1" applyFill="1" applyBorder="1"/>
    <xf numFmtId="0" fontId="7" fillId="14" borderId="22" xfId="0" applyFont="1" applyFill="1" applyBorder="1"/>
    <xf numFmtId="3" fontId="5" fillId="14" borderId="4" xfId="0" applyNumberFormat="1" applyFont="1" applyFill="1" applyBorder="1" applyAlignment="1">
      <alignment horizontal="center" vertical="center" wrapText="1"/>
    </xf>
    <xf numFmtId="3" fontId="5" fillId="14" borderId="23" xfId="0" applyNumberFormat="1" applyFont="1" applyFill="1" applyBorder="1" applyAlignment="1">
      <alignment vertical="center" wrapText="1"/>
    </xf>
    <xf numFmtId="3" fontId="6" fillId="14" borderId="4" xfId="0" applyNumberFormat="1" applyFont="1" applyFill="1" applyBorder="1" applyAlignment="1">
      <alignment horizontal="center" vertical="center" wrapText="1"/>
    </xf>
    <xf numFmtId="3" fontId="5" fillId="14" borderId="4" xfId="0" applyNumberFormat="1" applyFont="1" applyFill="1" applyBorder="1" applyAlignment="1">
      <alignment horizontal="center" vertical="center"/>
    </xf>
    <xf numFmtId="166" fontId="5" fillId="14" borderId="4" xfId="0" applyNumberFormat="1" applyFont="1" applyFill="1" applyBorder="1" applyAlignment="1">
      <alignment horizontal="center" vertical="center"/>
    </xf>
    <xf numFmtId="164" fontId="5" fillId="14" borderId="4" xfId="0" applyNumberFormat="1" applyFont="1" applyFill="1" applyBorder="1" applyAlignment="1">
      <alignment horizontal="center" vertical="center"/>
    </xf>
    <xf numFmtId="164" fontId="5" fillId="14" borderId="4" xfId="0" applyNumberFormat="1" applyFont="1" applyFill="1" applyBorder="1" applyAlignment="1">
      <alignment horizontal="center" vertical="center" wrapText="1"/>
    </xf>
    <xf numFmtId="166" fontId="20" fillId="14" borderId="4" xfId="0" applyNumberFormat="1" applyFont="1" applyFill="1" applyBorder="1" applyAlignment="1">
      <alignment horizontal="center" vertical="center"/>
    </xf>
    <xf numFmtId="0" fontId="7" fillId="14" borderId="4" xfId="0" applyFont="1" applyFill="1" applyBorder="1"/>
    <xf numFmtId="0" fontId="11" fillId="14" borderId="4" xfId="0" applyFont="1" applyFill="1" applyBorder="1"/>
    <xf numFmtId="167" fontId="11" fillId="14" borderId="4" xfId="0" applyNumberFormat="1" applyFont="1" applyFill="1" applyBorder="1"/>
    <xf numFmtId="168" fontId="11" fillId="14" borderId="4" xfId="0" applyNumberFormat="1" applyFont="1" applyFill="1" applyBorder="1"/>
    <xf numFmtId="0" fontId="11" fillId="14" borderId="15" xfId="0" applyFont="1" applyFill="1" applyBorder="1"/>
    <xf numFmtId="165" fontId="11" fillId="14" borderId="4" xfId="0" applyNumberFormat="1" applyFont="1" applyFill="1" applyBorder="1"/>
    <xf numFmtId="0" fontId="12" fillId="14" borderId="4" xfId="0" applyFont="1" applyFill="1" applyBorder="1"/>
    <xf numFmtId="166" fontId="7" fillId="14" borderId="13" xfId="0" applyNumberFormat="1" applyFont="1" applyFill="1" applyBorder="1"/>
    <xf numFmtId="0" fontId="11" fillId="14" borderId="13" xfId="0" applyFont="1" applyFill="1" applyBorder="1"/>
    <xf numFmtId="0" fontId="7" fillId="14" borderId="19" xfId="0" applyFont="1" applyFill="1" applyBorder="1"/>
    <xf numFmtId="3" fontId="5" fillId="0" borderId="14" xfId="0" applyNumberFormat="1" applyFont="1" applyBorder="1" applyAlignment="1">
      <alignment vertical="center"/>
    </xf>
    <xf numFmtId="0" fontId="18" fillId="0" borderId="14" xfId="0" applyFont="1" applyBorder="1" applyAlignment="1">
      <alignment vertical="center" textRotation="90" wrapText="1"/>
    </xf>
    <xf numFmtId="3" fontId="6" fillId="0" borderId="14" xfId="0" applyNumberFormat="1" applyFont="1" applyBorder="1" applyAlignment="1">
      <alignment vertical="center" wrapText="1"/>
    </xf>
    <xf numFmtId="3" fontId="6" fillId="14" borderId="23" xfId="0" applyNumberFormat="1" applyFont="1" applyFill="1" applyBorder="1" applyAlignment="1">
      <alignment vertical="center" wrapText="1"/>
    </xf>
    <xf numFmtId="3" fontId="6" fillId="14" borderId="4" xfId="0" applyNumberFormat="1" applyFont="1" applyFill="1" applyBorder="1" applyAlignment="1">
      <alignment horizontal="center" vertical="center"/>
    </xf>
    <xf numFmtId="167" fontId="21" fillId="14" borderId="4" xfId="0" applyNumberFormat="1" applyFont="1" applyFill="1" applyBorder="1"/>
    <xf numFmtId="0" fontId="19" fillId="14" borderId="23" xfId="0" applyFont="1" applyFill="1" applyBorder="1" applyAlignment="1">
      <alignment vertical="center" textRotation="90" wrapText="1"/>
    </xf>
    <xf numFmtId="166" fontId="22" fillId="14" borderId="4" xfId="0" applyNumberFormat="1" applyFont="1" applyFill="1" applyBorder="1"/>
    <xf numFmtId="164" fontId="22" fillId="0" borderId="4" xfId="0" applyNumberFormat="1" applyFont="1" applyBorder="1"/>
    <xf numFmtId="1" fontId="22" fillId="14" borderId="21" xfId="0" applyNumberFormat="1" applyFont="1" applyFill="1" applyBorder="1" applyAlignment="1">
      <alignment horizontal="center" vertical="center" wrapText="1"/>
    </xf>
    <xf numFmtId="1" fontId="22" fillId="14" borderId="15" xfId="0" applyNumberFormat="1" applyFont="1" applyFill="1" applyBorder="1" applyAlignment="1">
      <alignment horizontal="center" vertical="center" wrapText="1"/>
    </xf>
    <xf numFmtId="1" fontId="22" fillId="14" borderId="4" xfId="0" applyNumberFormat="1" applyFont="1" applyFill="1" applyBorder="1" applyAlignment="1">
      <alignment vertical="center" wrapText="1"/>
    </xf>
    <xf numFmtId="164" fontId="22" fillId="14" borderId="4" xfId="0" applyNumberFormat="1" applyFont="1" applyFill="1" applyBorder="1"/>
    <xf numFmtId="164" fontId="7" fillId="14" borderId="4" xfId="0" applyNumberFormat="1" applyFont="1" applyFill="1" applyBorder="1"/>
    <xf numFmtId="0" fontId="21" fillId="14" borderId="4" xfId="0" applyFont="1" applyFill="1" applyBorder="1"/>
    <xf numFmtId="0" fontId="8" fillId="0" borderId="4" xfId="0" applyFont="1" applyBorder="1" applyAlignment="1">
      <alignment horizontal="center"/>
    </xf>
    <xf numFmtId="166" fontId="8" fillId="0" borderId="4" xfId="0" applyNumberFormat="1" applyFont="1" applyBorder="1"/>
    <xf numFmtId="164" fontId="7" fillId="0" borderId="11" xfId="0" applyNumberFormat="1" applyFont="1" applyBorder="1"/>
    <xf numFmtId="164" fontId="7" fillId="0" borderId="2" xfId="0" applyNumberFormat="1" applyFont="1" applyBorder="1"/>
    <xf numFmtId="164" fontId="25" fillId="0" borderId="2" xfId="0" applyNumberFormat="1" applyFont="1" applyBorder="1"/>
    <xf numFmtId="164" fontId="5" fillId="8" borderId="4" xfId="0" applyNumberFormat="1" applyFont="1" applyFill="1" applyBorder="1" applyAlignment="1">
      <alignment horizontal="center" vertical="center"/>
    </xf>
    <xf numFmtId="3" fontId="6" fillId="9" borderId="4" xfId="0" applyNumberFormat="1" applyFont="1" applyFill="1" applyBorder="1" applyAlignment="1">
      <alignment horizontal="center" vertical="center" wrapText="1"/>
    </xf>
    <xf numFmtId="3" fontId="6" fillId="9" borderId="4" xfId="0" applyNumberFormat="1" applyFont="1" applyFill="1" applyBorder="1" applyAlignment="1">
      <alignment horizontal="center" vertical="center"/>
    </xf>
    <xf numFmtId="166" fontId="5" fillId="9" borderId="4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164" fontId="7" fillId="8" borderId="4" xfId="0" applyNumberFormat="1" applyFont="1" applyFill="1" applyBorder="1"/>
    <xf numFmtId="3" fontId="8" fillId="3" borderId="4" xfId="0" applyNumberFormat="1" applyFont="1" applyFill="1" applyBorder="1" applyAlignment="1">
      <alignment horizontal="center"/>
    </xf>
    <xf numFmtId="164" fontId="7" fillId="0" borderId="27" xfId="0" applyNumberFormat="1" applyFont="1" applyBorder="1"/>
    <xf numFmtId="164" fontId="7" fillId="0" borderId="28" xfId="0" applyNumberFormat="1" applyFont="1" applyBorder="1"/>
    <xf numFmtId="164" fontId="8" fillId="0" borderId="29" xfId="0" applyNumberFormat="1" applyFont="1" applyBorder="1"/>
    <xf numFmtId="164" fontId="8" fillId="0" borderId="30" xfId="0" applyNumberFormat="1" applyFont="1" applyBorder="1"/>
    <xf numFmtId="164" fontId="8" fillId="0" borderId="31" xfId="0" applyNumberFormat="1" applyFont="1" applyBorder="1"/>
    <xf numFmtId="164" fontId="8" fillId="0" borderId="32" xfId="0" applyNumberFormat="1" applyFont="1" applyBorder="1"/>
    <xf numFmtId="164" fontId="8" fillId="0" borderId="33" xfId="0" applyNumberFormat="1" applyFont="1" applyBorder="1"/>
    <xf numFmtId="164" fontId="8" fillId="0" borderId="34" xfId="0" applyNumberFormat="1" applyFont="1" applyBorder="1"/>
    <xf numFmtId="164" fontId="29" fillId="15" borderId="27" xfId="0" applyNumberFormat="1" applyFont="1" applyFill="1" applyBorder="1"/>
    <xf numFmtId="164" fontId="29" fillId="15" borderId="4" xfId="0" applyNumberFormat="1" applyFont="1" applyFill="1" applyBorder="1"/>
    <xf numFmtId="164" fontId="29" fillId="15" borderId="28" xfId="0" applyNumberFormat="1" applyFont="1" applyFill="1" applyBorder="1"/>
    <xf numFmtId="164" fontId="29" fillId="15" borderId="29" xfId="0" applyNumberFormat="1" applyFont="1" applyFill="1" applyBorder="1"/>
    <xf numFmtId="164" fontId="29" fillId="15" borderId="30" xfId="0" applyNumberFormat="1" applyFont="1" applyFill="1" applyBorder="1"/>
    <xf numFmtId="164" fontId="29" fillId="15" borderId="31" xfId="0" applyNumberFormat="1" applyFont="1" applyFill="1" applyBorder="1"/>
    <xf numFmtId="166" fontId="7" fillId="0" borderId="28" xfId="0" applyNumberFormat="1" applyFont="1" applyBorder="1"/>
    <xf numFmtId="43" fontId="0" fillId="0" borderId="0" xfId="1" applyFont="1"/>
    <xf numFmtId="0" fontId="7" fillId="0" borderId="4" xfId="0" applyFont="1" applyBorder="1" applyAlignment="1">
      <alignment horizontal="left" wrapText="1"/>
    </xf>
    <xf numFmtId="164" fontId="32" fillId="16" borderId="4" xfId="0" applyNumberFormat="1" applyFont="1" applyFill="1" applyBorder="1"/>
    <xf numFmtId="164" fontId="32" fillId="16" borderId="28" xfId="0" applyNumberFormat="1" applyFont="1" applyFill="1" applyBorder="1"/>
    <xf numFmtId="164" fontId="32" fillId="16" borderId="30" xfId="0" applyNumberFormat="1" applyFont="1" applyFill="1" applyBorder="1"/>
    <xf numFmtId="164" fontId="32" fillId="16" borderId="31" xfId="0" applyNumberFormat="1" applyFont="1" applyFill="1" applyBorder="1"/>
    <xf numFmtId="169" fontId="0" fillId="0" borderId="0" xfId="1" applyNumberFormat="1" applyFont="1"/>
    <xf numFmtId="164" fontId="0" fillId="0" borderId="0" xfId="0" applyNumberFormat="1"/>
    <xf numFmtId="164" fontId="2" fillId="0" borderId="22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4" fontId="37" fillId="0" borderId="0" xfId="0" applyNumberFormat="1" applyFont="1"/>
    <xf numFmtId="0" fontId="37" fillId="17" borderId="35" xfId="3" applyBorder="1" applyAlignment="1">
      <alignment horizontal="center"/>
    </xf>
    <xf numFmtId="164" fontId="37" fillId="17" borderId="35" xfId="3" applyNumberFormat="1" applyBorder="1" applyAlignment="1">
      <alignment horizontal="center"/>
    </xf>
    <xf numFmtId="164" fontId="37" fillId="17" borderId="35" xfId="3" applyNumberFormat="1" applyBorder="1" applyAlignment="1">
      <alignment horizontal="center" vertical="center"/>
    </xf>
    <xf numFmtId="0" fontId="1" fillId="0" borderId="36" xfId="0" applyFont="1" applyBorder="1"/>
    <xf numFmtId="166" fontId="0" fillId="0" borderId="36" xfId="0" applyNumberFormat="1" applyBorder="1"/>
    <xf numFmtId="43" fontId="0" fillId="0" borderId="36" xfId="1" applyFont="1" applyBorder="1"/>
    <xf numFmtId="166" fontId="0" fillId="0" borderId="37" xfId="0" applyNumberFormat="1" applyBorder="1"/>
    <xf numFmtId="170" fontId="0" fillId="0" borderId="35" xfId="2" applyNumberFormat="1" applyFont="1" applyBorder="1" applyAlignment="1">
      <alignment horizontal="center" vertical="center"/>
    </xf>
    <xf numFmtId="9" fontId="0" fillId="0" borderId="35" xfId="2" applyFont="1" applyBorder="1" applyAlignment="1">
      <alignment horizontal="center" vertical="center"/>
    </xf>
    <xf numFmtId="170" fontId="36" fillId="0" borderId="35" xfId="2" applyNumberFormat="1" applyFont="1" applyBorder="1" applyAlignment="1">
      <alignment horizontal="center" vertical="center"/>
    </xf>
    <xf numFmtId="0" fontId="1" fillId="0" borderId="35" xfId="0" applyFont="1" applyBorder="1"/>
    <xf numFmtId="166" fontId="0" fillId="0" borderId="35" xfId="0" applyNumberFormat="1" applyBorder="1"/>
    <xf numFmtId="43" fontId="0" fillId="0" borderId="35" xfId="0" applyNumberFormat="1" applyBorder="1"/>
    <xf numFmtId="166" fontId="0" fillId="0" borderId="38" xfId="0" applyNumberFormat="1" applyBorder="1"/>
    <xf numFmtId="164" fontId="0" fillId="0" borderId="35" xfId="0" applyNumberFormat="1" applyBorder="1" applyAlignment="1">
      <alignment horizontal="center" vertical="center"/>
    </xf>
    <xf numFmtId="170" fontId="0" fillId="0" borderId="35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5" fillId="17" borderId="35" xfId="3" applyFont="1" applyBorder="1"/>
    <xf numFmtId="166" fontId="35" fillId="17" borderId="35" xfId="3" applyNumberFormat="1" applyFont="1" applyBorder="1"/>
    <xf numFmtId="43" fontId="35" fillId="17" borderId="35" xfId="3" applyNumberFormat="1" applyFont="1" applyBorder="1"/>
    <xf numFmtId="4" fontId="0" fillId="0" borderId="0" xfId="0" applyNumberFormat="1"/>
    <xf numFmtId="0" fontId="7" fillId="0" borderId="4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43" fontId="0" fillId="0" borderId="0" xfId="0" applyNumberFormat="1"/>
    <xf numFmtId="0" fontId="7" fillId="18" borderId="4" xfId="0" applyFont="1" applyFill="1" applyBorder="1" applyAlignment="1">
      <alignment horizontal="left" vertical="center"/>
    </xf>
    <xf numFmtId="3" fontId="5" fillId="18" borderId="4" xfId="0" applyNumberFormat="1" applyFont="1" applyFill="1" applyBorder="1" applyAlignment="1">
      <alignment horizontal="center" vertical="center" wrapText="1"/>
    </xf>
    <xf numFmtId="3" fontId="6" fillId="18" borderId="4" xfId="0" applyNumberFormat="1" applyFont="1" applyFill="1" applyBorder="1" applyAlignment="1">
      <alignment horizontal="center" vertical="center" wrapText="1"/>
    </xf>
    <xf numFmtId="3" fontId="5" fillId="18" borderId="4" xfId="0" applyNumberFormat="1" applyFont="1" applyFill="1" applyBorder="1" applyAlignment="1">
      <alignment horizontal="center" vertical="center"/>
    </xf>
    <xf numFmtId="164" fontId="5" fillId="18" borderId="4" xfId="0" applyNumberFormat="1" applyFont="1" applyFill="1" applyBorder="1" applyAlignment="1">
      <alignment horizontal="center" vertical="center"/>
    </xf>
    <xf numFmtId="164" fontId="5" fillId="18" borderId="4" xfId="0" applyNumberFormat="1" applyFont="1" applyFill="1" applyBorder="1" applyAlignment="1">
      <alignment horizontal="center" vertical="center" wrapText="1"/>
    </xf>
    <xf numFmtId="164" fontId="0" fillId="18" borderId="0" xfId="0" applyNumberFormat="1" applyFill="1"/>
    <xf numFmtId="164" fontId="0" fillId="18" borderId="0" xfId="0" applyNumberFormat="1" applyFill="1" applyAlignment="1">
      <alignment vertical="center"/>
    </xf>
    <xf numFmtId="164" fontId="8" fillId="3" borderId="22" xfId="0" applyNumberFormat="1" applyFont="1" applyFill="1" applyBorder="1"/>
    <xf numFmtId="164" fontId="38" fillId="0" borderId="4" xfId="0" applyNumberFormat="1" applyFont="1" applyBorder="1" applyAlignment="1">
      <alignment horizontal="center" vertical="center"/>
    </xf>
    <xf numFmtId="164" fontId="38" fillId="0" borderId="4" xfId="0" applyNumberFormat="1" applyFont="1" applyBorder="1" applyAlignment="1">
      <alignment horizontal="center" vertical="center" wrapText="1"/>
    </xf>
    <xf numFmtId="164" fontId="39" fillId="0" borderId="0" xfId="0" applyNumberFormat="1" applyFont="1"/>
    <xf numFmtId="0" fontId="39" fillId="0" borderId="0" xfId="0" applyFont="1"/>
    <xf numFmtId="0" fontId="36" fillId="0" borderId="35" xfId="0" applyFont="1" applyBorder="1" applyAlignment="1">
      <alignment horizontal="center"/>
    </xf>
    <xf numFmtId="3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8" fillId="3" borderId="1" xfId="0" applyFont="1" applyFill="1" applyBorder="1" applyAlignment="1">
      <alignment horizontal="center"/>
    </xf>
    <xf numFmtId="164" fontId="8" fillId="0" borderId="24" xfId="0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164" fontId="32" fillId="16" borderId="24" xfId="0" applyNumberFormat="1" applyFont="1" applyFill="1" applyBorder="1" applyAlignment="1">
      <alignment horizontal="center" vertical="center" wrapText="1"/>
    </xf>
    <xf numFmtId="0" fontId="33" fillId="16" borderId="25" xfId="0" applyFont="1" applyFill="1" applyBorder="1" applyAlignment="1">
      <alignment vertical="center"/>
    </xf>
    <xf numFmtId="0" fontId="33" fillId="16" borderId="26" xfId="0" applyFont="1" applyFill="1" applyBorder="1" applyAlignment="1">
      <alignment vertical="center"/>
    </xf>
    <xf numFmtId="3" fontId="2" fillId="4" borderId="1" xfId="0" applyNumberFormat="1" applyFont="1" applyFill="1" applyBorder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0" fontId="0" fillId="0" borderId="0" xfId="0"/>
    <xf numFmtId="164" fontId="29" fillId="15" borderId="24" xfId="0" applyNumberFormat="1" applyFont="1" applyFill="1" applyBorder="1" applyAlignment="1">
      <alignment horizontal="center" wrapText="1"/>
    </xf>
    <xf numFmtId="0" fontId="30" fillId="15" borderId="25" xfId="0" applyFont="1" applyFill="1" applyBorder="1"/>
    <xf numFmtId="0" fontId="30" fillId="15" borderId="26" xfId="0" applyFont="1" applyFill="1" applyBorder="1"/>
    <xf numFmtId="0" fontId="8" fillId="0" borderId="1" xfId="0" applyFont="1" applyBorder="1" applyAlignment="1">
      <alignment horizontal="center"/>
    </xf>
    <xf numFmtId="3" fontId="6" fillId="7" borderId="14" xfId="0" applyNumberFormat="1" applyFont="1" applyFill="1" applyBorder="1" applyAlignment="1">
      <alignment horizontal="center" vertical="center" wrapText="1"/>
    </xf>
    <xf numFmtId="0" fontId="3" fillId="0" borderId="17" xfId="0" applyFont="1" applyBorder="1"/>
    <xf numFmtId="3" fontId="5" fillId="7" borderId="14" xfId="0" applyNumberFormat="1" applyFont="1" applyFill="1" applyBorder="1" applyAlignment="1">
      <alignment horizontal="center" vertical="center" wrapText="1"/>
    </xf>
    <xf numFmtId="0" fontId="3" fillId="0" borderId="16" xfId="0" applyFont="1" applyBorder="1"/>
    <xf numFmtId="3" fontId="6" fillId="8" borderId="14" xfId="0" applyNumberFormat="1" applyFont="1" applyFill="1" applyBorder="1" applyAlignment="1">
      <alignment horizontal="center" vertical="center" wrapText="1"/>
    </xf>
    <xf numFmtId="3" fontId="5" fillId="7" borderId="14" xfId="0" applyNumberFormat="1" applyFont="1" applyFill="1" applyBorder="1" applyAlignment="1">
      <alignment horizontal="center" vertical="center"/>
    </xf>
    <xf numFmtId="3" fontId="5" fillId="8" borderId="1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13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8" fillId="7" borderId="14" xfId="0" applyFont="1" applyFill="1" applyBorder="1" applyAlignment="1">
      <alignment horizontal="center" vertical="center" textRotation="90"/>
    </xf>
    <xf numFmtId="0" fontId="19" fillId="7" borderId="14" xfId="0" applyFont="1" applyFill="1" applyBorder="1" applyAlignment="1">
      <alignment horizontal="center" vertical="center" textRotation="90"/>
    </xf>
    <xf numFmtId="0" fontId="18" fillId="7" borderId="14" xfId="0" applyFont="1" applyFill="1" applyBorder="1" applyAlignment="1">
      <alignment horizontal="center" vertical="center" textRotation="90" wrapText="1"/>
    </xf>
    <xf numFmtId="0" fontId="19" fillId="8" borderId="14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3" fontId="6" fillId="0" borderId="14" xfId="0" applyNumberFormat="1" applyFont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/>
    </xf>
    <xf numFmtId="3" fontId="5" fillId="0" borderId="14" xfId="0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 textRotation="90" wrapText="1"/>
    </xf>
    <xf numFmtId="0" fontId="19" fillId="0" borderId="14" xfId="0" applyFont="1" applyBorder="1" applyAlignment="1">
      <alignment horizontal="center" vertical="center" textRotation="90"/>
    </xf>
    <xf numFmtId="0" fontId="19" fillId="0" borderId="14" xfId="0" applyFont="1" applyBorder="1" applyAlignment="1">
      <alignment horizontal="center" vertical="center" textRotation="90" wrapText="1"/>
    </xf>
    <xf numFmtId="0" fontId="24" fillId="0" borderId="2" xfId="0" applyFont="1" applyBorder="1" applyAlignment="1">
      <alignment horizontal="center"/>
    </xf>
    <xf numFmtId="3" fontId="5" fillId="12" borderId="14" xfId="0" applyNumberFormat="1" applyFont="1" applyFill="1" applyBorder="1" applyAlignment="1">
      <alignment horizontal="center" vertical="center" wrapText="1"/>
    </xf>
    <xf numFmtId="3" fontId="5" fillId="12" borderId="14" xfId="0" applyNumberFormat="1" applyFont="1" applyFill="1" applyBorder="1" applyAlignment="1">
      <alignment horizontal="center" vertical="center"/>
    </xf>
    <xf numFmtId="3" fontId="5" fillId="11" borderId="14" xfId="0" applyNumberFormat="1" applyFont="1" applyFill="1" applyBorder="1" applyAlignment="1">
      <alignment horizontal="center" vertical="center" wrapText="1"/>
    </xf>
    <xf numFmtId="3" fontId="5" fillId="13" borderId="14" xfId="0" applyNumberFormat="1" applyFont="1" applyFill="1" applyBorder="1" applyAlignment="1">
      <alignment horizontal="center" vertical="center" wrapText="1"/>
    </xf>
    <xf numFmtId="0" fontId="0" fillId="0" borderId="39" xfId="0" pivotButton="1" applyBorder="1"/>
    <xf numFmtId="3" fontId="0" fillId="0" borderId="39" xfId="0" applyNumberFormat="1" applyBorder="1"/>
    <xf numFmtId="3" fontId="0" fillId="0" borderId="40" xfId="0" applyNumberFormat="1" applyBorder="1"/>
    <xf numFmtId="3" fontId="0" fillId="0" borderId="41" xfId="0" applyNumberFormat="1" applyBorder="1"/>
  </cellXfs>
  <cellStyles count="4">
    <cellStyle name="Énfasis5" xfId="3" builtinId="45"/>
    <cellStyle name="Millares" xfId="1" builtinId="3"/>
    <cellStyle name="Normal" xfId="0" builtinId="0"/>
    <cellStyle name="Porcentaje" xfId="2" builtinId="5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ENTRO-SUR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4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  <xdr:oneCellAnchor>
    <xdr:from>
      <xdr:col>3</xdr:col>
      <xdr:colOff>752475</xdr:colOff>
      <xdr:row>1</xdr:row>
      <xdr:rowOff>161925</xdr:rowOff>
    </xdr:from>
    <xdr:ext cx="1790700" cy="1447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16</xdr:row>
      <xdr:rowOff>0</xdr:rowOff>
    </xdr:from>
    <xdr:ext cx="76200" cy="933450"/>
    <xdr:sp macro="" textlink="">
      <xdr:nvSpPr>
        <xdr:cNvPr id="6" name="Shap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0</xdr:rowOff>
    </xdr:from>
    <xdr:ext cx="76200" cy="933450"/>
    <xdr:sp macro="" textlink="">
      <xdr:nvSpPr>
        <xdr:cNvPr id="7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Mariac/Downloads/Cuadro%20facturacion%20Bunker%20Mayo%202026.xlsx" TargetMode="External"/><Relationship Id="rId2" Type="http://schemas.openxmlformats.org/officeDocument/2006/relationships/externalLinkPath" Target="file:///C:\Users\Mariac\Downloads\Cuadro%20facturacion%20Bunker%20Mayo%202026.xlsx" TargetMode="External"/><Relationship Id="rId1" Type="http://schemas.openxmlformats.org/officeDocument/2006/relationships/externalLinkPath" Target="/Users/Mariac/Downloads/Cuadro%20facturacion%20Bunker%20May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UADRO SERVICIOS"/>
      <sheetName val="Mayo 2026"/>
      <sheetName val="TOTAL FACTURA JULIO"/>
      <sheetName val="Copia de AGOSTO 2024"/>
      <sheetName val="Tabla dinámica 1"/>
      <sheetName val="Hoja 2"/>
      <sheetName val="Copia de NOVIEMBRE 2023"/>
      <sheetName val="JULIO 2023 del 15-31"/>
      <sheetName val="AGOSTO 2023 (2)"/>
      <sheetName val="ABRIL 2024 (2)"/>
      <sheetName val="JUNIO 2024 (2)"/>
    </sheetNames>
    <sheetDataSet>
      <sheetData sheetId="0"/>
      <sheetData sheetId="1">
        <row r="54">
          <cell r="P54">
            <v>2252899857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User" refreshedDate="46182.436260532406" refreshedVersion="8" recordCount="72" xr:uid="{00000000-000A-0000-FFFF-FFFF03000000}">
  <cacheSource type="worksheet">
    <worksheetSource ref="A1:L73" sheet="Copia de AGOSTO 2024"/>
  </cacheSource>
  <cacheFields count="12">
    <cacheField name="DEPARTAMENTO" numFmtId="3">
      <sharedItems/>
    </cacheField>
    <cacheField name="CIUDAD/MUNICIPIO" numFmtId="3">
      <sharedItems count="43">
        <s v="CAJICA"/>
        <s v="CAQUEZA"/>
        <s v="CHIA"/>
        <s v="CHOACHI"/>
        <s v="CHOCONTA"/>
        <s v="FACATATIVA"/>
        <s v="FLANDES"/>
        <s v="FUNZA"/>
        <s v="FUSAGASUGA"/>
        <s v="GIRARDOT"/>
        <s v="GUADUAS"/>
        <s v="LA MESA"/>
        <s v="LA VEGA"/>
        <s v="MADRID"/>
        <s v="MOSQUERA"/>
        <s v="PACHO"/>
        <s v="SILVANIA"/>
        <s v="SIMIJACA"/>
        <s v="SOACHA"/>
        <s v="UBATE"/>
        <s v="VILLETA"/>
        <s v="ZIPAQUIRA"/>
        <s v="SUBACHOQUE"/>
        <s v="BOGOTA DC"/>
        <s v="LETICIA"/>
        <s v="CHIQUINQUIRA"/>
        <s v="TUNJA"/>
        <s v="DUITAMA"/>
        <s v="EL COCUY"/>
        <s v="GUATEQUE"/>
        <s v="LABRANZA GRANDE"/>
        <s v="MIRAFLORES"/>
        <s v="MUZO"/>
        <s v="PAIPA"/>
        <s v="PAJARITO"/>
        <s v="RAMIRIQUI"/>
        <s v="SAMACA"/>
        <s v="SANTA ROSA VTBO"/>
        <s v="SOATA"/>
        <s v="MONIQUIRA"/>
        <s v="SOGAMOSO"/>
        <s v="VILLA DE LEYVA"/>
        <s v="GARAGOA"/>
      </sharedItems>
    </cacheField>
    <cacheField name="NOMBRE DEL PUESTO" numFmtId="0">
      <sharedItems/>
    </cacheField>
    <cacheField name="DESCRIPCIÓN DEL SERVICIO" numFmtId="3">
      <sharedItems/>
    </cacheField>
    <cacheField name="ELEMENTOS DEL SERVICIO " numFmtId="3">
      <sharedItems/>
    </cacheField>
    <cacheField name=" " numFmtId="3">
      <sharedItems containsBlank="1"/>
    </cacheField>
    <cacheField name="No. DIAS" numFmtId="3">
      <sharedItems containsSemiMixedTypes="0" containsString="0" containsNumber="1" containsInteger="1" minValue="0" maxValue="30"/>
    </cacheField>
    <cacheField name="No. SERVICIOS" numFmtId="3">
      <sharedItems containsSemiMixedTypes="0" containsString="0" containsNumber="1" containsInteger="1" minValue="0" maxValue="3"/>
    </cacheField>
    <cacheField name="SUB TOTAL ANTES DE AIU (I+J+K)*H" numFmtId="164">
      <sharedItems containsSemiMixedTypes="0" containsString="0" containsNumber="1" containsInteger="1" minValue="0" maxValue="39215550"/>
    </cacheField>
    <cacheField name="AIU (10%)" numFmtId="164">
      <sharedItems containsSemiMixedTypes="0" containsString="0" containsNumber="1" minValue="0" maxValue="3921555"/>
    </cacheField>
    <cacheField name="% DE IVA (19%)" numFmtId="164">
      <sharedItems containsSemiMixedTypes="0" containsString="0" containsNumber="1" minValue="0" maxValue="745095.45"/>
    </cacheField>
    <cacheField name="VALOR TOTAL" numFmtId="164">
      <sharedItems containsSemiMixedTypes="0" containsString="0" containsNumber="1" containsInteger="1" minValue="0" maxValue="399606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s v="CUNDINAMARCA"/>
    <x v="0"/>
    <s v="SECCIONAL DG 3 SUR No 6 38"/>
    <s v="12 HORAS L-V SIN FESTIVOS"/>
    <s v="SIN ARMA"/>
    <s v="Serv. Vig. 12 H Diurno sin arma Aero. El Dorado"/>
    <n v="30"/>
    <n v="1"/>
    <n v="3831330"/>
    <n v="383133"/>
    <n v="72795.27"/>
    <n v="3904125"/>
  </r>
  <r>
    <s v="CUNDINAMARCA"/>
    <x v="1"/>
    <s v="SECCIONAL CALLE 4A 3 53/57/59"/>
    <s v="24 HORAS L-D"/>
    <s v="CON ARMA"/>
    <s v="Serv. Vig. 24 H Diurno con arma Aero. El Dorado"/>
    <n v="30"/>
    <n v="1"/>
    <n v="13071850"/>
    <n v="1307185"/>
    <n v="248365.15"/>
    <n v="13320215"/>
  </r>
  <r>
    <s v="CUNDINAMARCA"/>
    <x v="1"/>
    <s v="SECCIONAL CALLE 4A 3 68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1"/>
    <s v="FINCA CANINOS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2"/>
    <s v="SECCIONAL CALLE 12 1C 52 BRR 20 DE JULIO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3"/>
    <s v="SECCIONAL CARRERA 4 4 21 PISO 2"/>
    <s v="12 HORAS L-V SIN FESTIVOS"/>
    <s v="SIN ARMA"/>
    <s v="Serv. Vig. 12 H Diurno con canino Aero. Guaymaral"/>
    <n v="30"/>
    <n v="1"/>
    <n v="3831330"/>
    <n v="383133"/>
    <n v="72795.27"/>
    <n v="3904125"/>
  </r>
  <r>
    <s v="CUNDINAMARCA"/>
    <x v="4"/>
    <s v="SECCIONAL CALLE 3 4/35"/>
    <s v="24 HORAS L-D"/>
    <s v="CON ARMA"/>
    <s v="Serv. Vig. 12 H Diurno sin arma Aero. Flandes"/>
    <n v="30"/>
    <n v="1"/>
    <n v="13071850"/>
    <n v="1307185"/>
    <n v="248365.15"/>
    <n v="13320215"/>
  </r>
  <r>
    <s v="CUNDINAMARCA"/>
    <x v="5"/>
    <s v="SECCIONAL CALLE 13 8B 20 BRR COPIGUE"/>
    <s v="24 HORAS L-D"/>
    <s v="CON ARMA"/>
    <s v="Serv. Vig. 24 H Diurno con arma Aero. Flandes"/>
    <n v="30"/>
    <n v="1"/>
    <n v="13071850"/>
    <n v="1307185"/>
    <n v="248365.15"/>
    <n v="13320215"/>
  </r>
  <r>
    <s v="CUNDINAMARCA"/>
    <x v="5"/>
    <s v="SECCIONAL CTI CALLE 13A 6 57"/>
    <s v="24 HORAS L-D"/>
    <s v="CON ARMA"/>
    <s v="Serv. Vig. 24 H Diurno con arma Aero. Flandes"/>
    <n v="30"/>
    <n v="1"/>
    <n v="13071850"/>
    <n v="1307185"/>
    <n v="248365.15"/>
    <n v="13320215"/>
  </r>
  <r>
    <s v="CUNDINAMARCA"/>
    <x v="6"/>
    <s v="SECCIONAL CALLE 10 4 10 LA CAPILLA"/>
    <s v="24 HORAS L-D"/>
    <s v="CON ARMA"/>
    <s v="Serv. Vig. 24 H Diurno con arma Aero. Flandes"/>
    <n v="30"/>
    <n v="1"/>
    <n v="13071850"/>
    <n v="1307185"/>
    <n v="248365.15"/>
    <n v="13320215"/>
  </r>
  <r>
    <s v="CUNDINAMARCA"/>
    <x v="7"/>
    <s v="FISCALIA INFANCIA Y ADOLESCENCIA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7"/>
    <s v="FISCALIA INFANCIA Y ADOLESCENCIA"/>
    <s v="12 HORAS L-V SIN FESTIVOS"/>
    <s v="CON ARMA"/>
    <s v="Serv. Vig. 24 H Diurno con arma Aero. Ibague"/>
    <n v="30"/>
    <n v="1"/>
    <n v="3902281"/>
    <n v="390228.10000000003"/>
    <n v="74143.339000000007"/>
    <n v="3976424"/>
  </r>
  <r>
    <s v="CUNDINAMARCA"/>
    <x v="8"/>
    <s v="SECCIONAL TV 12 16 04 Y DG 16 11 85"/>
    <s v="24 HORAS L-D"/>
    <s v="CON ARMA"/>
    <s v="Serv. Vig. 12 H Diurno con canino Aero. Florencia"/>
    <n v="30"/>
    <n v="2"/>
    <n v="26143700"/>
    <n v="2614370"/>
    <n v="496730.3"/>
    <n v="26640430"/>
  </r>
  <r>
    <s v="CUNDINAMARCA"/>
    <x v="8"/>
    <s v="SECCIONAL-LOCAL Y CTI TV 12 16 04 Y DG 16 11 85"/>
    <s v="12 HORAS L-V SIN FESTIVOS"/>
    <s v="SIN ARMA"/>
    <s v="Serv. Vig. 24 H Diurno con arma Aero. Leticia"/>
    <n v="30"/>
    <n v="1"/>
    <n v="3831330"/>
    <n v="383133"/>
    <n v="72795.27"/>
    <n v="3904125"/>
  </r>
  <r>
    <s v="CUNDINAMARCA"/>
    <x v="9"/>
    <s v="CARRERA 12 16 33 PISO 3 Y 4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12 HORAS L-V SIN FESTIVOS"/>
    <s v="SIN ARMA"/>
    <s v="Serv. Vig. 24 H Diurno sin arma Aero. Leticia"/>
    <n v="30"/>
    <n v="1"/>
    <n v="3831330"/>
    <n v="383133"/>
    <n v="72795.27"/>
    <n v="3904125"/>
  </r>
  <r>
    <s v="CUNDINAMARCA"/>
    <x v="10"/>
    <s v="SECCIONAL CALLE 3 1 36"/>
    <s v="24 HORAS L-D"/>
    <s v="CON ARMA"/>
    <s v="Serv. Vig. 24 H Diurno con arma Aero. Neiva"/>
    <n v="30"/>
    <n v="1"/>
    <n v="13071850"/>
    <n v="1307185"/>
    <n v="248365.15"/>
    <n v="13320215"/>
  </r>
  <r>
    <s v="CUNDINAMARCA"/>
    <x v="11"/>
    <s v="SECCIONAL CALLE 4 15 08 BRR TOLEDO"/>
    <s v="24 HORAS L-D"/>
    <s v="CON ARMA"/>
    <s v="Serv. Vig. 24 H Diurno con arma Aero. Neiva"/>
    <n v="30"/>
    <n v="1"/>
    <n v="13071850"/>
    <n v="1307185"/>
    <n v="248365.15"/>
    <n v="13320215"/>
  </r>
  <r>
    <s v="CUNDINAMARCA"/>
    <x v="12"/>
    <s v="SECCIONAL CR 23 70 96 BRR LA PAMPA"/>
    <s v="12 HORAS L-V SIN FESTIVOS"/>
    <s v="SIN ARMA"/>
    <s v="Serv. Vig. 12 H Diurno con canino Aero. Neiva"/>
    <n v="30"/>
    <n v="1"/>
    <n v="3831330"/>
    <n v="383133"/>
    <n v="72795.27"/>
    <n v="3904125"/>
  </r>
  <r>
    <s v="CUNDINAMARCA"/>
    <x v="13"/>
    <s v="SECCIONAL CR 7 8 52"/>
    <s v="24 HORAS L-D"/>
    <s v="CON ARMA"/>
    <s v="Serv. Vig. 24 H Diurno con arma Aero. Pitalito"/>
    <n v="30"/>
    <n v="1"/>
    <n v="13071850"/>
    <n v="1307185"/>
    <n v="248365.15"/>
    <n v="13320215"/>
  </r>
  <r>
    <s v="CUNDINAMARCA"/>
    <x v="13"/>
    <s v="URI Y CTI"/>
    <s v="12 HORAS L-V SIN FESTIVOS"/>
    <s v="CON ARMA"/>
    <s v="Serv. Vig. 12 H Diurno sin arma Aero. Pitalito"/>
    <n v="30"/>
    <n v="1"/>
    <n v="3902281"/>
    <n v="390228.10000000003"/>
    <n v="74143.339000000007"/>
    <n v="3976424"/>
  </r>
  <r>
    <s v="CUNDINAMARCA"/>
    <x v="14"/>
    <s v="SECCIONAL CALLE 5 2 73"/>
    <s v="12 HORAS L-V SIN FESTIVOS"/>
    <s v="CON ARMA"/>
    <s v="Serv. Vig. 24 H Diurno sin arma Aero. Mariquita"/>
    <n v="30"/>
    <n v="1"/>
    <n v="3902281"/>
    <n v="390228.10000000003"/>
    <n v="74143.339000000007"/>
    <n v="3976424"/>
  </r>
  <r>
    <s v="CUNDINAMARCA"/>
    <x v="15"/>
    <s v="SECCIONAL CALLE 6 17 11 PISO 3"/>
    <s v="24 HORAS L-D"/>
    <s v="CON ARMA"/>
    <s v="Serv. Vig. 12 H Diurno sin arma Aero. Puerto Asis"/>
    <n v="30"/>
    <n v="1"/>
    <n v="13071850"/>
    <n v="1307185"/>
    <n v="248365.15"/>
    <n v="13320215"/>
  </r>
  <r>
    <s v="CUNDINAMARCA"/>
    <x v="16"/>
    <s v="SECCIONAL CRA 8A 9 02 LOCAL 104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7"/>
    <s v="SECCIONAL CALLE 7 7 42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8"/>
    <s v="SECCIONAL CALLE 11 6 70 PISOS 1-2-3"/>
    <s v="24 HORAS L-D"/>
    <s v="CON ARMA"/>
    <s v="Serv. Vig. 24 H Diurno sin arma Aero. San Vicente del Caguan"/>
    <n v="30"/>
    <n v="2"/>
    <n v="26143700"/>
    <n v="2614370"/>
    <n v="496730.3"/>
    <n v="26640430"/>
  </r>
  <r>
    <s v="CUNDINAMARCA"/>
    <x v="18"/>
    <s v="SECCIONAL CALLE 13 4A 11 BRR SAN BERNARD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18"/>
    <s v="SECCIONAL CALLE 13 4A 11 BRR SAN BERNARDO"/>
    <s v="12 HORAS L-V SIN FESTIVOS"/>
    <s v="CON ARMA"/>
    <s v="Serv. Vig. 12 H Diurno sin arma Aero. San Vicente del Caguan"/>
    <n v="30"/>
    <n v="1"/>
    <n v="3902281"/>
    <n v="390228.10000000003"/>
    <n v="74143.339000000007"/>
    <n v="3976424"/>
  </r>
  <r>
    <s v="CUNDINAMARCA"/>
    <x v="19"/>
    <s v="SECCIONAL CRA 6 8 27 CENTR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0"/>
    <s v="SECCIONAL DG 1 11 09 PISO 1 Y 2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1"/>
    <s v="SECCIONAL CALLE 7D 16 32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1"/>
    <s v="SECCIONAL TV 18 7D 33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2"/>
    <s v="FISCALIA LOCAL"/>
    <s v="12 HORAS L-V SIN FESTIVOS"/>
    <s v="CON ARMA"/>
    <s v="Serv. Vig. 24 H Diurno con arma Estacion Neiva"/>
    <n v="0"/>
    <n v="0"/>
    <n v="0"/>
    <n v="0"/>
    <n v="0"/>
    <n v="0"/>
  </r>
  <r>
    <s v="BOGOTA DC"/>
    <x v="23"/>
    <s v="SECCIONAL MONTEVIDEO"/>
    <s v="24 HORAS L-D"/>
    <s v="CON ARMA"/>
    <s v="Serv. Vig. 24 H Diurno con arma Aero. Villa Garzon"/>
    <n v="30"/>
    <n v="3"/>
    <n v="39215550"/>
    <n v="3921555"/>
    <n v="745095.45"/>
    <n v="39960645"/>
  </r>
  <r>
    <s v="BOGOTA DC"/>
    <x v="23"/>
    <s v="SECCIONAL MONTEVIDEO"/>
    <s v="12 HORAS L-V SIN FESTIVOS"/>
    <s v="SIN ARMA"/>
    <m/>
    <n v="30"/>
    <n v="3"/>
    <n v="11493990"/>
    <n v="1149399"/>
    <n v="218385.81"/>
    <n v="11712376"/>
  </r>
  <r>
    <s v="AMAZONAS"/>
    <x v="24"/>
    <s v="SECCIONAL CRA 8 11 80 BRR JOSE MARIA HERNANDEZ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PARQUEADERO FISCALIA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FISCALIA C.A.V"/>
    <s v="24 HORAS L-D"/>
    <s v="CON ARMA"/>
    <s v="Serv. Vig. 24 H Diurno con arma Estacion Flandes"/>
    <n v="30"/>
    <n v="1"/>
    <n v="13071850"/>
    <n v="1307185"/>
    <n v="0"/>
    <n v="13071850"/>
  </r>
  <r>
    <s v="BOYACA"/>
    <x v="25"/>
    <s v="SECCIONAL Y POLICIA JUDICIAL CRA 9 14 90"/>
    <s v="24 HORAS L-D"/>
    <s v="CON ARMA"/>
    <s v="Serv. Vig. 12 H Diurno con canino - NEAA y CGAC"/>
    <n v="30"/>
    <n v="1"/>
    <n v="13071850"/>
    <n v="1307185"/>
    <n v="248365.15"/>
    <n v="13320215"/>
  </r>
  <r>
    <s v="BOYACA"/>
    <x v="25"/>
    <s v="SECCIONAL Y POLICIA JUDICIAL CRA 9 14 86"/>
    <s v="12 HORAS L-V SIN FESTIVOS"/>
    <s v="CON ARMA"/>
    <s v="Serv. Vig. 12 H Diurno L-V sin arma - El Dorado"/>
    <n v="30"/>
    <n v="1"/>
    <n v="3902281"/>
    <n v="390228.10000000003"/>
    <n v="74143.339000000007"/>
    <n v="3976424"/>
  </r>
  <r>
    <s v="BOYACA"/>
    <x v="26"/>
    <s v="SECCIONAL SAU CALLE 26 9 10"/>
    <s v="12 HORAS L-V SIN FESTIVOS"/>
    <s v="CON ARMA"/>
    <s v="Serv. Vig. 24 H Diurno sin arma - Flandes"/>
    <n v="30"/>
    <n v="1"/>
    <n v="3902281"/>
    <n v="390228.10000000003"/>
    <n v="74143.339000000007"/>
    <n v="3976424"/>
  </r>
  <r>
    <s v="BOYACA"/>
    <x v="27"/>
    <s v="SECCIONAL Y LOCAL CALLE 17 16 67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7"/>
    <s v="SECCIOANL Y POLICIA JUDICIAL CRA 16 17 53/55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8"/>
    <s v="UNIDAD LOCAL Y SECCIONAL CRA 4A 6 71/75"/>
    <s v="12 HORAS L-V SIN FESTIVOS"/>
    <s v="CON ARMA"/>
    <s v="Serv. Vig. 24 H Diurno sin arma - Guaymaral"/>
    <n v="30"/>
    <n v="1"/>
    <n v="3902281"/>
    <n v="390228.10000000003"/>
    <n v="74143.339000000007"/>
    <n v="3976424"/>
  </r>
  <r>
    <s v="BOYACA"/>
    <x v="29"/>
    <s v="UNIDAD LOCAL Y SECCIONAL CRA 8 6 61"/>
    <s v="12 HORAS L-V SIN FESTIVOS"/>
    <s v="SIN ARMA"/>
    <m/>
    <n v="30"/>
    <n v="1"/>
    <n v="3831330"/>
    <n v="383133"/>
    <n v="72795.27"/>
    <n v="3904125"/>
  </r>
  <r>
    <s v="BOYACA"/>
    <x v="30"/>
    <s v="UNIDAD LOCAL Y SECCIONAL CALLE 9 10 58"/>
    <s v="12 HORAS L-V SIN FESTIVOS"/>
    <s v="CON ARMA"/>
    <m/>
    <n v="30"/>
    <n v="1"/>
    <n v="3902281"/>
    <n v="390228.10000000003"/>
    <n v="74143.339000000007"/>
    <n v="3976424"/>
  </r>
  <r>
    <s v="BOYACA"/>
    <x v="31"/>
    <s v="SECCIOANL CRA 8 4 11"/>
    <s v="12 HORAS L-V SIN FESTIVOS"/>
    <s v="CON ARMA"/>
    <m/>
    <n v="30"/>
    <n v="1"/>
    <n v="3902281"/>
    <n v="390228.10000000003"/>
    <n v="74143.339000000007"/>
    <n v="3976424"/>
  </r>
  <r>
    <s v="BOYACA"/>
    <x v="32"/>
    <s v="SECCIONAL CALLE 6 6 07"/>
    <s v="12 HORAS L-V SIN FESTIVOS"/>
    <s v="CON ARMA"/>
    <m/>
    <n v="30"/>
    <n v="1"/>
    <n v="3902281"/>
    <n v="390228.10000000003"/>
    <n v="74143.339000000007"/>
    <n v="3976424"/>
  </r>
  <r>
    <s v="BOYACA"/>
    <x v="33"/>
    <s v="SECCIONAL CRA 19 24 42/44/46"/>
    <s v="12 HORAS L-V SIN FESTIVOS"/>
    <s v="CON ARMA"/>
    <m/>
    <n v="30"/>
    <n v="1"/>
    <n v="3902281"/>
    <n v="390228.10000000003"/>
    <n v="74143.339000000007"/>
    <n v="3976424"/>
  </r>
  <r>
    <s v="BOYACA"/>
    <x v="34"/>
    <s v="UNIDAD LOCAL CRA 2 4 23"/>
    <s v="12 HORAS L-V SIN FESTIVOS"/>
    <s v="CON ARMA"/>
    <m/>
    <n v="30"/>
    <n v="1"/>
    <n v="3902281"/>
    <n v="390228.10000000003"/>
    <n v="74143.339000000007"/>
    <n v="3976424"/>
  </r>
  <r>
    <s v="BOYACA"/>
    <x v="35"/>
    <s v="SECCIONAL Y POLICIA JUDICIAL CRA 6 6 58"/>
    <s v="12 HORAS L-V SIN FESTIVOS"/>
    <s v="SIN ARMA"/>
    <m/>
    <n v="30"/>
    <n v="1"/>
    <n v="3831330"/>
    <n v="383133"/>
    <n v="72795.27"/>
    <n v="3904125"/>
  </r>
  <r>
    <s v="BOYACA"/>
    <x v="36"/>
    <s v="UNIDAD LOCAL CRA 6 4 53 PISO 2"/>
    <s v="12 HORAS L-V SIN FESTIVOS"/>
    <s v="CON ARMA"/>
    <m/>
    <n v="30"/>
    <n v="1"/>
    <n v="3902281"/>
    <n v="390228.10000000003"/>
    <n v="74143.339000000007"/>
    <n v="3976424"/>
  </r>
  <r>
    <s v="BOYACA"/>
    <x v="27"/>
    <s v="URI SAU CRA 16 18 26/36"/>
    <s v="24 HORAS L-D"/>
    <s v="CON ARMA"/>
    <m/>
    <n v="30"/>
    <n v="1"/>
    <n v="13071850"/>
    <n v="1307185"/>
    <n v="248365.15"/>
    <n v="13320215"/>
  </r>
  <r>
    <s v="BOYACA"/>
    <x v="37"/>
    <s v="FISCALIA ESPECIALIZADA Y POLICIA JUDICIAL"/>
    <s v="12 HORAS L-V SIN FESTIVOS"/>
    <s v="CON ARMA"/>
    <m/>
    <n v="30"/>
    <n v="1"/>
    <n v="3902281"/>
    <n v="390228.10000000003"/>
    <n v="74143.339000000007"/>
    <n v="3976424"/>
  </r>
  <r>
    <s v="BOYACA"/>
    <x v="38"/>
    <s v="UNIDAD LOCAL CALLE 9 2 57"/>
    <s v="12 HORAS L-V SIN FESTIVOS"/>
    <s v="SIN ARMA"/>
    <m/>
    <n v="30"/>
    <n v="1"/>
    <n v="3831330"/>
    <n v="383133"/>
    <n v="72795.27"/>
    <n v="3904125"/>
  </r>
  <r>
    <s v="BOYACA"/>
    <x v="18"/>
    <s v="UNIDAD LOCAL Y CTI CALLE 10 4 07"/>
    <s v="12 HORAS L-V SIN FESTIVOS"/>
    <s v="SIN ARMA"/>
    <m/>
    <n v="30"/>
    <n v="1"/>
    <n v="3831330"/>
    <n v="383133"/>
    <n v="72795.27"/>
    <n v="3904125"/>
  </r>
  <r>
    <s v="BOYACA"/>
    <x v="39"/>
    <s v="UNIDAD LOCAL CALLE 19 3 22"/>
    <s v="12 HORAS L-V SIN FESTIVOS"/>
    <s v="SIN ARMA"/>
    <m/>
    <n v="30"/>
    <n v="1"/>
    <n v="3831330"/>
    <n v="383133"/>
    <n v="72795.27"/>
    <n v="3904125"/>
  </r>
  <r>
    <s v="BOYACA"/>
    <x v="40"/>
    <s v="UNIDAD SAU CALLE 15 14 22"/>
    <s v="24 HORAS L-D"/>
    <s v="CON ARMA"/>
    <m/>
    <n v="30"/>
    <n v="1"/>
    <n v="13071850"/>
    <n v="1307185"/>
    <n v="248365.15"/>
    <n v="13320215"/>
  </r>
  <r>
    <s v="BOYACA"/>
    <x v="40"/>
    <s v="SECCIONAL CRA 12 16 29/31"/>
    <s v="12 HORAS L-V SIN FESTIVOS"/>
    <s v="SIN ARMA"/>
    <m/>
    <n v="30"/>
    <n v="1"/>
    <n v="3831330"/>
    <n v="383133"/>
    <n v="72795.27"/>
    <n v="3904125"/>
  </r>
  <r>
    <s v="BOYACA"/>
    <x v="40"/>
    <s v="SECCIONAL Y POLICIA JUDICIAL CALLE 26 9A 42/56/68 Y CRA 10 26 16"/>
    <s v="12 HORAS L-V SIN FESTIVOS"/>
    <s v="SIN ARMA"/>
    <m/>
    <n v="30"/>
    <n v="1"/>
    <n v="3831330"/>
    <n v="383133"/>
    <n v="72795.27"/>
    <n v="3904125"/>
  </r>
  <r>
    <s v="BOYACA"/>
    <x v="26"/>
    <s v="SECCIONAL CAIVAS"/>
    <s v="12 HORAS L-V SIN FESTIVOS"/>
    <s v="SIN ARMA"/>
    <m/>
    <n v="30"/>
    <n v="1"/>
    <n v="3831330"/>
    <n v="383133"/>
    <n v="72795.27"/>
    <n v="3904125"/>
  </r>
  <r>
    <s v="BOYACA"/>
    <x v="26"/>
    <s v="SECCIONAL URI"/>
    <s v="24 HORAS L-D"/>
    <s v="CON ARMA"/>
    <m/>
    <n v="30"/>
    <n v="1"/>
    <n v="13071850"/>
    <n v="1307185"/>
    <n v="248365.15"/>
    <n v="13320215"/>
  </r>
  <r>
    <s v="BOYACA"/>
    <x v="26"/>
    <s v="GESTION DOCUMENTAL"/>
    <s v="12 HORAS L-V SIN FESTIVOS"/>
    <s v="SIN ARMA"/>
    <m/>
    <n v="30"/>
    <n v="1"/>
    <n v="3831330"/>
    <n v="383133"/>
    <n v="72795.27"/>
    <n v="3904125"/>
  </r>
  <r>
    <s v="BOYACA"/>
    <x v="26"/>
    <s v="APOYO A LA GESTION"/>
    <s v="12 HORAS L-V SIN FESTIVOS"/>
    <s v="SIN ARMA"/>
    <m/>
    <n v="30"/>
    <n v="1"/>
    <n v="3831330"/>
    <n v="383133"/>
    <n v="72795.27"/>
    <n v="3904125"/>
  </r>
  <r>
    <s v="BOYACA"/>
    <x v="26"/>
    <s v="SECCIONAL CRIMINALISTICA"/>
    <s v="12 HORAS L-V SIN FESTIVOS"/>
    <s v="SIN ARMA"/>
    <m/>
    <n v="30"/>
    <n v="1"/>
    <n v="3831330"/>
    <n v="383133"/>
    <n v="72795.27"/>
    <n v="3904125"/>
  </r>
  <r>
    <s v="BOYACA"/>
    <x v="26"/>
    <s v="URI Y POLICIA"/>
    <s v="24 HORAS L-D"/>
    <s v="CON ARMA"/>
    <m/>
    <n v="30"/>
    <n v="1"/>
    <n v="13071850"/>
    <n v="1307185"/>
    <n v="248365.15"/>
    <n v="13320215"/>
  </r>
  <r>
    <s v="BOYACA"/>
    <x v="26"/>
    <s v="PARQUEADERO Y POLICIA JUDICIAL"/>
    <s v="12 HORAS L-V SIN FESTIVOS"/>
    <s v="SIN ARMA"/>
    <m/>
    <n v="30"/>
    <n v="1"/>
    <n v="3831330"/>
    <n v="383133"/>
    <n v="72795.27"/>
    <n v="3904125"/>
  </r>
  <r>
    <s v="BOYACA"/>
    <x v="26"/>
    <s v="EDIFICIO E.D.A"/>
    <s v="12 HORAS L-V SIN FESTIVOS"/>
    <s v="CON ARMA"/>
    <m/>
    <n v="30"/>
    <n v="1"/>
    <n v="3902281"/>
    <n v="390228.10000000003"/>
    <n v="74143.339000000007"/>
    <n v="3976424"/>
  </r>
  <r>
    <s v="BOYACA"/>
    <x v="26"/>
    <s v="DIRECCION FISCALIAS BOYACA"/>
    <s v="24 HORAS L-D"/>
    <s v="CON ARMA"/>
    <m/>
    <n v="30"/>
    <n v="1"/>
    <n v="13071850"/>
    <n v="1307185"/>
    <n v="248365.15"/>
    <n v="13320215"/>
  </r>
  <r>
    <s v="BOYACA"/>
    <x v="41"/>
    <s v="UNIDAD LOCAL Y SECCIONAL Y POLICIA JUDICIAL"/>
    <s v="12 HORAS L-V SIN FESTIVOS"/>
    <s v="SIN ARMA"/>
    <m/>
    <n v="30"/>
    <n v="1"/>
    <n v="3831330"/>
    <n v="383133"/>
    <n v="72795.27"/>
    <n v="3904125"/>
  </r>
  <r>
    <s v="BOYACA"/>
    <x v="42"/>
    <s v="SECCIONAL Y LOCAL CALLE 6 16 34"/>
    <s v="12 HORAS L-V SIN FESTIVOS"/>
    <s v="CON ARMA"/>
    <m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a dinámica 1" cacheId="22" applyNumberFormats="0" applyBorderFormats="0" applyFontFormats="0" applyPatternFormats="0" applyAlignmentFormats="0" applyWidthHeightFormats="0" dataCaption="" updatedVersion="8" compact="0" compactData="0">
  <location ref="A1:A45" firstHeaderRow="1" firstDataRow="1" firstDataCol="1"/>
  <pivotFields count="12">
    <pivotField name="DEPARTAMENTO" compact="0" numFmtId="3" outline="0" multipleItemSelectionAllowed="1" showAll="0"/>
    <pivotField name="CIUDAD/MUNICIPIO" axis="axisRow" compact="0" numFmtId="3" outline="0" multipleItemSelectionAllowed="1" showAll="0" sortType="ascending">
      <items count="44">
        <item x="23"/>
        <item x="0"/>
        <item x="1"/>
        <item x="2"/>
        <item x="25"/>
        <item x="3"/>
        <item x="4"/>
        <item x="27"/>
        <item x="28"/>
        <item x="5"/>
        <item x="6"/>
        <item x="7"/>
        <item x="8"/>
        <item x="42"/>
        <item x="9"/>
        <item x="10"/>
        <item x="29"/>
        <item x="11"/>
        <item x="12"/>
        <item x="30"/>
        <item x="24"/>
        <item x="13"/>
        <item x="31"/>
        <item x="39"/>
        <item x="14"/>
        <item x="32"/>
        <item x="15"/>
        <item x="33"/>
        <item x="34"/>
        <item x="35"/>
        <item x="36"/>
        <item x="37"/>
        <item x="16"/>
        <item x="17"/>
        <item x="18"/>
        <item x="38"/>
        <item x="40"/>
        <item x="22"/>
        <item x="26"/>
        <item x="19"/>
        <item x="41"/>
        <item x="20"/>
        <item x="21"/>
        <item t="default"/>
      </items>
    </pivotField>
    <pivotField name="NOMBRE DEL PUESTO" compact="0" numFmtId="3" outline="0" multipleItemSelectionAllowed="1" showAll="0"/>
    <pivotField name="DESCRIPCIÓN DEL SERVICIO" compact="0" numFmtId="3" outline="0" multipleItemSelectionAllowed="1" showAll="0"/>
    <pivotField name="ELEMENTOS DEL SERVICIO " compact="0" numFmtId="3" outline="0" multipleItemSelectionAllowed="1" showAll="0"/>
    <pivotField name=" " compact="0" numFmtId="3" outline="0" multipleItemSelectionAllowed="1" showAll="0"/>
    <pivotField name="No. DIAS" compact="0" numFmtId="3" outline="0" multipleItemSelectionAllowed="1" showAll="0"/>
    <pivotField name="No. SERVICIOS" compact="0" numFmtId="3" outline="0" multipleItemSelectionAllowed="1" showAll="0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dir.licitaciones@coservippltda.com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ir.licitaciones@coservippltda.com.co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ir.licitaciones@coservippltda.com.co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83"/>
  <sheetViews>
    <sheetView showGridLines="0" topLeftCell="D1" zoomScale="85" zoomScaleNormal="85" workbookViewId="0">
      <pane ySplit="2" topLeftCell="A3" activePane="bottomLeft" state="frozen"/>
      <selection pane="bottomLeft" activeCell="M63" sqref="M6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58" t="s">
        <v>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60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428</v>
      </c>
      <c r="H3" s="8">
        <v>14</v>
      </c>
      <c r="I3" s="8">
        <v>3</v>
      </c>
      <c r="J3" s="9">
        <f>(9.14*1423500)+1500</f>
        <v>13012290</v>
      </c>
      <c r="K3" s="9">
        <f>+J3*10%</f>
        <v>1301229</v>
      </c>
      <c r="L3" s="9">
        <f>(J3+K3)/30*H3</f>
        <v>6679642.2000000002</v>
      </c>
      <c r="M3" s="9">
        <f t="shared" ref="M3:M34" si="0">L3*I3</f>
        <v>20038926.600000001</v>
      </c>
      <c r="N3" s="10">
        <f t="shared" ref="N3:N53" si="1">ROUND(M3*10%,0)</f>
        <v>2003893</v>
      </c>
      <c r="O3" s="9">
        <f t="shared" ref="O3:O53" si="2">ROUND(N3*19%,0)</f>
        <v>380740</v>
      </c>
      <c r="P3" s="9">
        <f t="shared" ref="P3:P53" si="3">+ROUND(M3+O3,0)</f>
        <v>20419667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428</v>
      </c>
      <c r="H4" s="8">
        <v>14</v>
      </c>
      <c r="I4" s="8">
        <v>1</v>
      </c>
      <c r="J4" s="9">
        <f>(9.14*1423500)+1500</f>
        <v>13012290</v>
      </c>
      <c r="K4" s="9">
        <f>+J4*0.08</f>
        <v>1040983.2000000001</v>
      </c>
      <c r="L4" s="9">
        <f t="shared" ref="L4:L53" si="4">(J4+K4)/30*H4</f>
        <v>6558194.1600000001</v>
      </c>
      <c r="M4" s="9">
        <f t="shared" si="0"/>
        <v>6558194.1600000001</v>
      </c>
      <c r="N4" s="10">
        <f t="shared" si="1"/>
        <v>655819</v>
      </c>
      <c r="O4" s="9">
        <f t="shared" si="2"/>
        <v>124606</v>
      </c>
      <c r="P4" s="9">
        <f t="shared" si="3"/>
        <v>6682800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428</v>
      </c>
      <c r="H5" s="8">
        <v>14</v>
      </c>
      <c r="I5" s="8">
        <v>1</v>
      </c>
      <c r="J5" s="9">
        <f>((((9.14*1423500)+1500)*0.5597)/15*12)/30*22</f>
        <v>4272680.8449599994</v>
      </c>
      <c r="K5" s="9">
        <f>+J5*0.08</f>
        <v>341814.46759679995</v>
      </c>
      <c r="L5" s="9">
        <f t="shared" si="4"/>
        <v>2153431.1458598399</v>
      </c>
      <c r="M5" s="9">
        <f t="shared" si="0"/>
        <v>2153431.1458598399</v>
      </c>
      <c r="N5" s="10">
        <f t="shared" si="1"/>
        <v>215343</v>
      </c>
      <c r="O5" s="9">
        <f t="shared" si="2"/>
        <v>40915</v>
      </c>
      <c r="P5" s="9">
        <f t="shared" si="3"/>
        <v>2194346</v>
      </c>
    </row>
    <row r="6" spans="1:16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428</v>
      </c>
      <c r="H6" s="8">
        <v>14</v>
      </c>
      <c r="I6" s="8">
        <v>3</v>
      </c>
      <c r="J6" s="9">
        <f>(9.14*1423500)+1500</f>
        <v>13012290</v>
      </c>
      <c r="K6" s="9">
        <f>+J6*10%</f>
        <v>1301229</v>
      </c>
      <c r="L6" s="9">
        <f t="shared" si="4"/>
        <v>6679642.2000000002</v>
      </c>
      <c r="M6" s="9">
        <f t="shared" si="0"/>
        <v>20038926.600000001</v>
      </c>
      <c r="N6" s="10">
        <f t="shared" si="1"/>
        <v>2003893</v>
      </c>
      <c r="O6" s="9">
        <f t="shared" si="2"/>
        <v>380740</v>
      </c>
      <c r="P6" s="9">
        <f t="shared" si="3"/>
        <v>20419667</v>
      </c>
    </row>
    <row r="7" spans="1:16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428</v>
      </c>
      <c r="H7" s="8">
        <v>14</v>
      </c>
      <c r="I7" s="8">
        <v>2</v>
      </c>
      <c r="J7" s="9">
        <f>((((9.14*1423500)+1500)*0.5597)/15*12)/30*22</f>
        <v>4272680.8449599994</v>
      </c>
      <c r="K7" s="9">
        <f>+J7*0.08</f>
        <v>341814.46759679995</v>
      </c>
      <c r="L7" s="9">
        <f t="shared" si="4"/>
        <v>2153431.1458598399</v>
      </c>
      <c r="M7" s="9">
        <f t="shared" si="0"/>
        <v>4306862.2917196797</v>
      </c>
      <c r="N7" s="10">
        <f t="shared" si="1"/>
        <v>430686</v>
      </c>
      <c r="O7" s="9">
        <f t="shared" si="2"/>
        <v>81830</v>
      </c>
      <c r="P7" s="9">
        <f t="shared" si="3"/>
        <v>4388692</v>
      </c>
    </row>
    <row r="8" spans="1:16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428</v>
      </c>
      <c r="H8" s="8">
        <v>14</v>
      </c>
      <c r="I8" s="8">
        <v>3</v>
      </c>
      <c r="J8" s="9">
        <f>(9.14*1423500)+1500</f>
        <v>13012290</v>
      </c>
      <c r="K8" s="9">
        <f>+J8*10%</f>
        <v>1301229</v>
      </c>
      <c r="L8" s="9">
        <f t="shared" si="4"/>
        <v>6679642.2000000002</v>
      </c>
      <c r="M8" s="9">
        <f t="shared" si="0"/>
        <v>20038926.600000001</v>
      </c>
      <c r="N8" s="10">
        <f t="shared" si="1"/>
        <v>2003893</v>
      </c>
      <c r="O8" s="9">
        <f t="shared" si="2"/>
        <v>380740</v>
      </c>
      <c r="P8" s="9">
        <f t="shared" si="3"/>
        <v>20419667</v>
      </c>
    </row>
    <row r="9" spans="1:16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428</v>
      </c>
      <c r="H9" s="8">
        <v>14</v>
      </c>
      <c r="I9" s="8">
        <v>4</v>
      </c>
      <c r="J9" s="9">
        <f>((((9.14*1423500)+1500)*0.5597)/15*12)/30*22</f>
        <v>4272680.8449599994</v>
      </c>
      <c r="K9" s="9">
        <f>+J9*0.08</f>
        <v>341814.46759679995</v>
      </c>
      <c r="L9" s="9">
        <f t="shared" si="4"/>
        <v>2153431.1458598399</v>
      </c>
      <c r="M9" s="9">
        <f t="shared" si="0"/>
        <v>8613724.5834393594</v>
      </c>
      <c r="N9" s="10">
        <f t="shared" si="1"/>
        <v>861372</v>
      </c>
      <c r="O9" s="9">
        <f t="shared" si="2"/>
        <v>163661</v>
      </c>
      <c r="P9" s="9">
        <f t="shared" si="3"/>
        <v>8777386</v>
      </c>
    </row>
    <row r="10" spans="1:16" x14ac:dyDescent="0.25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428</v>
      </c>
      <c r="H10" s="8">
        <v>14</v>
      </c>
      <c r="I10" s="8">
        <v>1</v>
      </c>
      <c r="J10" s="9">
        <f t="shared" ref="J10:J11" si="5">(9.14*1423500)+1500</f>
        <v>13012290</v>
      </c>
      <c r="K10" s="9">
        <f>+J10*10%</f>
        <v>1301229</v>
      </c>
      <c r="L10" s="9">
        <f t="shared" si="4"/>
        <v>6679642.2000000002</v>
      </c>
      <c r="M10" s="9">
        <f t="shared" si="0"/>
        <v>6679642.2000000002</v>
      </c>
      <c r="N10" s="10">
        <f t="shared" si="1"/>
        <v>667964</v>
      </c>
      <c r="O10" s="9">
        <f t="shared" si="2"/>
        <v>126913</v>
      </c>
      <c r="P10" s="9">
        <f t="shared" si="3"/>
        <v>6806555</v>
      </c>
    </row>
    <row r="11" spans="1:16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428</v>
      </c>
      <c r="H11" s="8">
        <v>14</v>
      </c>
      <c r="I11" s="8">
        <v>1</v>
      </c>
      <c r="J11" s="9">
        <f t="shared" si="5"/>
        <v>13012290</v>
      </c>
      <c r="K11" s="9">
        <f>+J11*10%</f>
        <v>1301229</v>
      </c>
      <c r="L11" s="9">
        <f t="shared" si="4"/>
        <v>6679642.2000000002</v>
      </c>
      <c r="M11" s="9">
        <f t="shared" si="0"/>
        <v>6679642.2000000002</v>
      </c>
      <c r="N11" s="10">
        <f t="shared" si="1"/>
        <v>667964</v>
      </c>
      <c r="O11" s="9">
        <f t="shared" si="2"/>
        <v>126913</v>
      </c>
      <c r="P11" s="9">
        <f t="shared" si="3"/>
        <v>6806555</v>
      </c>
    </row>
    <row r="12" spans="1:16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428</v>
      </c>
      <c r="H12" s="8">
        <v>14</v>
      </c>
      <c r="I12" s="8">
        <v>1</v>
      </c>
      <c r="J12" s="9">
        <f>((((9.14*1423500)+1500)*0.5597)/15*12)/30*22</f>
        <v>4272680.8449599994</v>
      </c>
      <c r="K12" s="9">
        <f>+J12*0.08</f>
        <v>341814.46759679995</v>
      </c>
      <c r="L12" s="9">
        <f t="shared" si="4"/>
        <v>2153431.1458598399</v>
      </c>
      <c r="M12" s="9">
        <f t="shared" si="0"/>
        <v>2153431.1458598399</v>
      </c>
      <c r="N12" s="10">
        <f t="shared" si="1"/>
        <v>215343</v>
      </c>
      <c r="O12" s="9">
        <f t="shared" si="2"/>
        <v>40915</v>
      </c>
      <c r="P12" s="9">
        <f t="shared" si="3"/>
        <v>2194346</v>
      </c>
    </row>
    <row r="13" spans="1:16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428</v>
      </c>
      <c r="H13" s="8">
        <v>14</v>
      </c>
      <c r="I13" s="8">
        <v>3</v>
      </c>
      <c r="J13" s="9">
        <f>(9.14*1423500)+1500</f>
        <v>13012290</v>
      </c>
      <c r="K13" s="9">
        <f>+J13*10%</f>
        <v>1301229</v>
      </c>
      <c r="L13" s="9">
        <f t="shared" si="4"/>
        <v>6679642.2000000002</v>
      </c>
      <c r="M13" s="9">
        <f t="shared" si="0"/>
        <v>20038926.600000001</v>
      </c>
      <c r="N13" s="10">
        <f t="shared" si="1"/>
        <v>2003893</v>
      </c>
      <c r="O13" s="9">
        <f t="shared" si="2"/>
        <v>380740</v>
      </c>
      <c r="P13" s="9">
        <f t="shared" si="3"/>
        <v>20419667</v>
      </c>
    </row>
    <row r="14" spans="1:16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428</v>
      </c>
      <c r="H14" s="8">
        <v>14</v>
      </c>
      <c r="I14" s="8">
        <v>4</v>
      </c>
      <c r="J14" s="9">
        <f>((((9.14*1423500)+1500)*0.5597)/15*12)/30*22</f>
        <v>4272680.8449599994</v>
      </c>
      <c r="K14" s="9">
        <f>+J14*0.08</f>
        <v>341814.46759679995</v>
      </c>
      <c r="L14" s="9">
        <f t="shared" si="4"/>
        <v>2153431.1458598399</v>
      </c>
      <c r="M14" s="9">
        <f t="shared" si="0"/>
        <v>8613724.5834393594</v>
      </c>
      <c r="N14" s="10">
        <f t="shared" si="1"/>
        <v>861372</v>
      </c>
      <c r="O14" s="9">
        <f t="shared" si="2"/>
        <v>163661</v>
      </c>
      <c r="P14" s="9">
        <f t="shared" si="3"/>
        <v>8777386</v>
      </c>
    </row>
    <row r="15" spans="1:16" x14ac:dyDescent="0.25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428</v>
      </c>
      <c r="H15" s="8">
        <v>14</v>
      </c>
      <c r="I15" s="8">
        <v>3</v>
      </c>
      <c r="J15" s="9">
        <f t="shared" ref="J15:J17" si="6">(9.14*1423500)+1500</f>
        <v>13012290</v>
      </c>
      <c r="K15" s="9">
        <f>+J15*10%</f>
        <v>1301229</v>
      </c>
      <c r="L15" s="9">
        <f t="shared" si="4"/>
        <v>6679642.2000000002</v>
      </c>
      <c r="M15" s="9">
        <f t="shared" si="0"/>
        <v>20038926.600000001</v>
      </c>
      <c r="N15" s="10">
        <f t="shared" si="1"/>
        <v>2003893</v>
      </c>
      <c r="O15" s="9">
        <f t="shared" si="2"/>
        <v>380740</v>
      </c>
      <c r="P15" s="9">
        <f t="shared" si="3"/>
        <v>20419667</v>
      </c>
    </row>
    <row r="16" spans="1:16" x14ac:dyDescent="0.25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428</v>
      </c>
      <c r="H16" s="8">
        <v>14</v>
      </c>
      <c r="I16" s="8">
        <v>4</v>
      </c>
      <c r="J16" s="9">
        <f t="shared" si="6"/>
        <v>13012290</v>
      </c>
      <c r="K16" s="9">
        <f>+J16*10%</f>
        <v>1301229</v>
      </c>
      <c r="L16" s="9">
        <f t="shared" si="4"/>
        <v>6679642.2000000002</v>
      </c>
      <c r="M16" s="9">
        <f t="shared" si="0"/>
        <v>26718568.800000001</v>
      </c>
      <c r="N16" s="10">
        <f t="shared" si="1"/>
        <v>2671857</v>
      </c>
      <c r="O16" s="9">
        <f t="shared" si="2"/>
        <v>507653</v>
      </c>
      <c r="P16" s="9">
        <f t="shared" si="3"/>
        <v>27226222</v>
      </c>
    </row>
    <row r="17" spans="1:16" x14ac:dyDescent="0.25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428</v>
      </c>
      <c r="H17" s="8">
        <v>14</v>
      </c>
      <c r="I17" s="8">
        <v>1</v>
      </c>
      <c r="J17" s="9">
        <f t="shared" si="6"/>
        <v>13012290</v>
      </c>
      <c r="K17" s="9">
        <f>+J17*10%</f>
        <v>1301229</v>
      </c>
      <c r="L17" s="9">
        <f t="shared" si="4"/>
        <v>6679642.2000000002</v>
      </c>
      <c r="M17" s="9">
        <f t="shared" si="0"/>
        <v>6679642.2000000002</v>
      </c>
      <c r="N17" s="10">
        <f t="shared" si="1"/>
        <v>667964</v>
      </c>
      <c r="O17" s="9">
        <f t="shared" si="2"/>
        <v>126913</v>
      </c>
      <c r="P17" s="9">
        <f t="shared" si="3"/>
        <v>6806555</v>
      </c>
    </row>
    <row r="18" spans="1:16" x14ac:dyDescent="0.25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428</v>
      </c>
      <c r="H18" s="8">
        <v>14</v>
      </c>
      <c r="I18" s="8">
        <v>1</v>
      </c>
      <c r="J18" s="9">
        <f>((((9.14*1423500)+1500)*0.5597)/15*12)/30*22</f>
        <v>4272680.8449599994</v>
      </c>
      <c r="K18" s="9">
        <f>+J18*0.08</f>
        <v>341814.46759679995</v>
      </c>
      <c r="L18" s="9">
        <f t="shared" si="4"/>
        <v>2153431.1458598399</v>
      </c>
      <c r="M18" s="9">
        <f t="shared" si="0"/>
        <v>2153431.1458598399</v>
      </c>
      <c r="N18" s="10">
        <f t="shared" si="1"/>
        <v>215343</v>
      </c>
      <c r="O18" s="9">
        <f t="shared" si="2"/>
        <v>40915</v>
      </c>
      <c r="P18" s="9">
        <f t="shared" si="3"/>
        <v>2194346</v>
      </c>
    </row>
    <row r="19" spans="1:16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428</v>
      </c>
      <c r="H19" s="8">
        <v>14</v>
      </c>
      <c r="I19" s="8">
        <v>3</v>
      </c>
      <c r="J19" s="9">
        <f>(9.14*1423500)+1500</f>
        <v>13012290</v>
      </c>
      <c r="K19" s="9">
        <f>+J19*10%</f>
        <v>1301229</v>
      </c>
      <c r="L19" s="9">
        <f t="shared" si="4"/>
        <v>6679642.2000000002</v>
      </c>
      <c r="M19" s="9">
        <f t="shared" si="0"/>
        <v>20038926.600000001</v>
      </c>
      <c r="N19" s="10">
        <f t="shared" si="1"/>
        <v>2003893</v>
      </c>
      <c r="O19" s="9">
        <f t="shared" si="2"/>
        <v>380740</v>
      </c>
      <c r="P19" s="9">
        <f t="shared" si="3"/>
        <v>20419667</v>
      </c>
    </row>
    <row r="20" spans="1:16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428</v>
      </c>
      <c r="H20" s="8">
        <v>14</v>
      </c>
      <c r="I20" s="8">
        <v>2</v>
      </c>
      <c r="J20" s="9">
        <f>((((9.14*1423500)+1500)*0.5597)/15*12)/30*22</f>
        <v>4272680.8449599994</v>
      </c>
      <c r="K20" s="9">
        <f>+J20*0.08</f>
        <v>341814.46759679995</v>
      </c>
      <c r="L20" s="9">
        <f t="shared" si="4"/>
        <v>2153431.1458598399</v>
      </c>
      <c r="M20" s="9">
        <f t="shared" si="0"/>
        <v>4306862.2917196797</v>
      </c>
      <c r="N20" s="10">
        <f t="shared" si="1"/>
        <v>430686</v>
      </c>
      <c r="O20" s="9">
        <f t="shared" si="2"/>
        <v>81830</v>
      </c>
      <c r="P20" s="9">
        <f t="shared" si="3"/>
        <v>4388692</v>
      </c>
    </row>
    <row r="21" spans="1:16" x14ac:dyDescent="0.25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428</v>
      </c>
      <c r="H21" s="8">
        <v>14</v>
      </c>
      <c r="I21" s="8">
        <v>1</v>
      </c>
      <c r="J21" s="9">
        <f t="shared" ref="J21:J24" si="7">(9.14*1423500)+1500</f>
        <v>13012290</v>
      </c>
      <c r="K21" s="9">
        <f>+J21*10%</f>
        <v>1301229</v>
      </c>
      <c r="L21" s="9">
        <f t="shared" si="4"/>
        <v>6679642.2000000002</v>
      </c>
      <c r="M21" s="9">
        <f t="shared" si="0"/>
        <v>6679642.2000000002</v>
      </c>
      <c r="N21" s="10">
        <f t="shared" si="1"/>
        <v>667964</v>
      </c>
      <c r="O21" s="9">
        <f t="shared" si="2"/>
        <v>126913</v>
      </c>
      <c r="P21" s="9">
        <f t="shared" si="3"/>
        <v>6806555</v>
      </c>
    </row>
    <row r="22" spans="1:16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428</v>
      </c>
      <c r="H22" s="8">
        <v>14</v>
      </c>
      <c r="I22" s="8">
        <v>1</v>
      </c>
      <c r="J22" s="9">
        <f t="shared" si="7"/>
        <v>13012290</v>
      </c>
      <c r="K22" s="9">
        <f>+J22*10%</f>
        <v>1301229</v>
      </c>
      <c r="L22" s="9">
        <f t="shared" si="4"/>
        <v>6679642.2000000002</v>
      </c>
      <c r="M22" s="9">
        <f t="shared" si="0"/>
        <v>6679642.2000000002</v>
      </c>
      <c r="N22" s="10">
        <f t="shared" si="1"/>
        <v>667964</v>
      </c>
      <c r="O22" s="9">
        <f t="shared" si="2"/>
        <v>126913</v>
      </c>
      <c r="P22" s="9">
        <f t="shared" si="3"/>
        <v>6806555</v>
      </c>
    </row>
    <row r="23" spans="1:16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428</v>
      </c>
      <c r="H23" s="8">
        <v>14</v>
      </c>
      <c r="I23" s="8">
        <v>1</v>
      </c>
      <c r="J23" s="9">
        <f t="shared" si="7"/>
        <v>13012290</v>
      </c>
      <c r="K23" s="9">
        <f>+J23*10%</f>
        <v>1301229</v>
      </c>
      <c r="L23" s="9">
        <f t="shared" si="4"/>
        <v>6679642.2000000002</v>
      </c>
      <c r="M23" s="9">
        <f t="shared" si="0"/>
        <v>6679642.2000000002</v>
      </c>
      <c r="N23" s="10">
        <f t="shared" si="1"/>
        <v>667964</v>
      </c>
      <c r="O23" s="9">
        <f t="shared" si="2"/>
        <v>126913</v>
      </c>
      <c r="P23" s="9">
        <f t="shared" si="3"/>
        <v>6806555</v>
      </c>
    </row>
    <row r="24" spans="1:16" x14ac:dyDescent="0.25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428</v>
      </c>
      <c r="H24" s="8">
        <v>14</v>
      </c>
      <c r="I24" s="8">
        <v>6</v>
      </c>
      <c r="J24" s="9">
        <f t="shared" si="7"/>
        <v>13012290</v>
      </c>
      <c r="K24" s="9">
        <f>+J24*10%</f>
        <v>1301229</v>
      </c>
      <c r="L24" s="9">
        <f t="shared" si="4"/>
        <v>6679642.2000000002</v>
      </c>
      <c r="M24" s="9">
        <f t="shared" si="0"/>
        <v>40077853.200000003</v>
      </c>
      <c r="N24" s="10">
        <f t="shared" si="1"/>
        <v>4007785</v>
      </c>
      <c r="O24" s="9">
        <f t="shared" si="2"/>
        <v>761479</v>
      </c>
      <c r="P24" s="9">
        <f t="shared" si="3"/>
        <v>40839332</v>
      </c>
    </row>
    <row r="25" spans="1:16" x14ac:dyDescent="0.25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428</v>
      </c>
      <c r="H25" s="8">
        <v>14</v>
      </c>
      <c r="I25" s="8">
        <v>3</v>
      </c>
      <c r="J25" s="9">
        <f>((((9.14*1423500)+1500)*0.5597)/15*12)/30*22</f>
        <v>4272680.8449599994</v>
      </c>
      <c r="K25" s="9">
        <f>+J25*0.08</f>
        <v>341814.46759679995</v>
      </c>
      <c r="L25" s="9">
        <f t="shared" si="4"/>
        <v>2153431.1458598399</v>
      </c>
      <c r="M25" s="9">
        <f t="shared" si="0"/>
        <v>6460293.43757952</v>
      </c>
      <c r="N25" s="10">
        <f t="shared" si="1"/>
        <v>646029</v>
      </c>
      <c r="O25" s="9">
        <f t="shared" si="2"/>
        <v>122746</v>
      </c>
      <c r="P25" s="9">
        <f t="shared" si="3"/>
        <v>6583039</v>
      </c>
    </row>
    <row r="26" spans="1:16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428</v>
      </c>
      <c r="H26" s="8">
        <v>14</v>
      </c>
      <c r="I26" s="8">
        <v>3</v>
      </c>
      <c r="J26" s="9">
        <f>(9.14*1423500)+1500</f>
        <v>13012290</v>
      </c>
      <c r="K26" s="9">
        <f>+J26*10%</f>
        <v>1301229</v>
      </c>
      <c r="L26" s="9">
        <f t="shared" si="4"/>
        <v>6679642.2000000002</v>
      </c>
      <c r="M26" s="9">
        <f t="shared" si="0"/>
        <v>20038926.600000001</v>
      </c>
      <c r="N26" s="10">
        <f t="shared" si="1"/>
        <v>2003893</v>
      </c>
      <c r="O26" s="9">
        <f t="shared" si="2"/>
        <v>380740</v>
      </c>
      <c r="P26" s="9">
        <f t="shared" si="3"/>
        <v>20419667</v>
      </c>
    </row>
    <row r="27" spans="1:16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428</v>
      </c>
      <c r="H27" s="8">
        <v>14</v>
      </c>
      <c r="I27" s="8">
        <v>1</v>
      </c>
      <c r="J27" s="9">
        <f>((((9.14*1423500)+1500)*0.5597)/15*12)/30*20</f>
        <v>3884255.3135999995</v>
      </c>
      <c r="K27" s="9">
        <f>+J27*0.08</f>
        <v>310740.42508799996</v>
      </c>
      <c r="L27" s="9">
        <f t="shared" si="4"/>
        <v>1957664.6780543998</v>
      </c>
      <c r="M27" s="9">
        <f t="shared" si="0"/>
        <v>1957664.6780543998</v>
      </c>
      <c r="N27" s="10">
        <f t="shared" si="1"/>
        <v>195766</v>
      </c>
      <c r="O27" s="9">
        <f t="shared" si="2"/>
        <v>37196</v>
      </c>
      <c r="P27" s="9">
        <f t="shared" si="3"/>
        <v>1994861</v>
      </c>
    </row>
    <row r="28" spans="1:16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428</v>
      </c>
      <c r="H28" s="8">
        <v>14</v>
      </c>
      <c r="I28" s="8">
        <v>1</v>
      </c>
      <c r="J28" s="9">
        <f t="shared" ref="J28:J29" si="8">(9.14*1423500)+1500</f>
        <v>13012290</v>
      </c>
      <c r="K28" s="9">
        <f>+J28*0.08</f>
        <v>1040983.2000000001</v>
      </c>
      <c r="L28" s="9">
        <f t="shared" si="4"/>
        <v>6558194.1600000001</v>
      </c>
      <c r="M28" s="9">
        <f t="shared" si="0"/>
        <v>6558194.1600000001</v>
      </c>
      <c r="N28" s="10">
        <f t="shared" si="1"/>
        <v>655819</v>
      </c>
      <c r="O28" s="9">
        <f t="shared" si="2"/>
        <v>124606</v>
      </c>
      <c r="P28" s="9">
        <f t="shared" si="3"/>
        <v>6682800</v>
      </c>
    </row>
    <row r="29" spans="1:16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428</v>
      </c>
      <c r="H29" s="8">
        <v>14</v>
      </c>
      <c r="I29" s="8">
        <v>1</v>
      </c>
      <c r="J29" s="9">
        <f t="shared" si="8"/>
        <v>13012290</v>
      </c>
      <c r="K29" s="9">
        <f>+J29*10%</f>
        <v>1301229</v>
      </c>
      <c r="L29" s="9">
        <f t="shared" si="4"/>
        <v>6679642.2000000002</v>
      </c>
      <c r="M29" s="9">
        <f t="shared" si="0"/>
        <v>6679642.2000000002</v>
      </c>
      <c r="N29" s="10">
        <f t="shared" si="1"/>
        <v>667964</v>
      </c>
      <c r="O29" s="9">
        <f t="shared" si="2"/>
        <v>126913</v>
      </c>
      <c r="P29" s="9">
        <f t="shared" si="3"/>
        <v>6806555</v>
      </c>
    </row>
    <row r="30" spans="1:16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428</v>
      </c>
      <c r="H30" s="8">
        <v>14</v>
      </c>
      <c r="I30" s="8">
        <v>1</v>
      </c>
      <c r="J30" s="9">
        <f>9.14*1423500+1500</f>
        <v>13012290</v>
      </c>
      <c r="K30" s="9">
        <f>+J30*10%</f>
        <v>1301229</v>
      </c>
      <c r="L30" s="9">
        <f t="shared" si="4"/>
        <v>6679642.2000000002</v>
      </c>
      <c r="M30" s="9">
        <f t="shared" si="0"/>
        <v>6679642.2000000002</v>
      </c>
      <c r="N30" s="10">
        <f t="shared" si="1"/>
        <v>667964</v>
      </c>
      <c r="O30" s="9">
        <f t="shared" si="2"/>
        <v>126913</v>
      </c>
      <c r="P30" s="9">
        <f t="shared" si="3"/>
        <v>6806555</v>
      </c>
    </row>
    <row r="31" spans="1:16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428</v>
      </c>
      <c r="H31" s="8">
        <v>14</v>
      </c>
      <c r="I31" s="8">
        <v>17</v>
      </c>
      <c r="J31" s="9">
        <f t="shared" ref="J31" si="9">(9.14*1423500)+1500</f>
        <v>13012290</v>
      </c>
      <c r="K31" s="9">
        <f>+J31*10%</f>
        <v>1301229</v>
      </c>
      <c r="L31" s="9">
        <f t="shared" si="4"/>
        <v>6679642.2000000002</v>
      </c>
      <c r="M31" s="9">
        <f t="shared" si="0"/>
        <v>113553917.40000001</v>
      </c>
      <c r="N31" s="10">
        <f t="shared" si="1"/>
        <v>11355392</v>
      </c>
      <c r="O31" s="9">
        <f t="shared" si="2"/>
        <v>2157524</v>
      </c>
      <c r="P31" s="9">
        <f t="shared" si="3"/>
        <v>115711441</v>
      </c>
    </row>
    <row r="32" spans="1:16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428</v>
      </c>
      <c r="H32" s="8">
        <v>14</v>
      </c>
      <c r="I32" s="8">
        <v>8</v>
      </c>
      <c r="J32" s="9">
        <f>(9.14*1423500)+1500</f>
        <v>13012290</v>
      </c>
      <c r="K32" s="9">
        <f>+J32*0.08</f>
        <v>1040983.2000000001</v>
      </c>
      <c r="L32" s="9">
        <f t="shared" si="4"/>
        <v>6558194.1600000001</v>
      </c>
      <c r="M32" s="9">
        <f t="shared" si="0"/>
        <v>52465553.280000001</v>
      </c>
      <c r="N32" s="10">
        <f t="shared" si="1"/>
        <v>5246555</v>
      </c>
      <c r="O32" s="9">
        <f t="shared" si="2"/>
        <v>996845</v>
      </c>
      <c r="P32" s="9">
        <f t="shared" si="3"/>
        <v>53462398</v>
      </c>
    </row>
    <row r="33" spans="1:16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428</v>
      </c>
      <c r="H33" s="8">
        <v>14</v>
      </c>
      <c r="I33" s="8">
        <v>21</v>
      </c>
      <c r="J33" s="9">
        <f>((((9.14*1423500)+1500)*0.5597)/15*12)/30*20</f>
        <v>3884255.3135999995</v>
      </c>
      <c r="K33" s="9">
        <f>+J33*0.08</f>
        <v>310740.42508799996</v>
      </c>
      <c r="L33" s="9">
        <f t="shared" si="4"/>
        <v>1957664.6780543998</v>
      </c>
      <c r="M33" s="9">
        <f t="shared" si="0"/>
        <v>41110958.239142396</v>
      </c>
      <c r="N33" s="10">
        <f t="shared" si="1"/>
        <v>4111096</v>
      </c>
      <c r="O33" s="9">
        <f t="shared" si="2"/>
        <v>781108</v>
      </c>
      <c r="P33" s="9">
        <f t="shared" si="3"/>
        <v>41892066</v>
      </c>
    </row>
    <row r="34" spans="1:16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428</v>
      </c>
      <c r="H34" s="8">
        <v>14</v>
      </c>
      <c r="I34" s="8">
        <v>1</v>
      </c>
      <c r="J34" s="9">
        <f>9.14*1423500+1500</f>
        <v>13012290</v>
      </c>
      <c r="K34" s="9">
        <f>+J34*10%</f>
        <v>1301229</v>
      </c>
      <c r="L34" s="9">
        <f t="shared" si="4"/>
        <v>6679642.2000000002</v>
      </c>
      <c r="M34" s="9">
        <f t="shared" si="0"/>
        <v>6679642.2000000002</v>
      </c>
      <c r="N34" s="10">
        <f t="shared" si="1"/>
        <v>667964</v>
      </c>
      <c r="O34" s="9">
        <f t="shared" si="2"/>
        <v>126913</v>
      </c>
      <c r="P34" s="9">
        <f t="shared" si="3"/>
        <v>6806555</v>
      </c>
    </row>
    <row r="35" spans="1:16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428</v>
      </c>
      <c r="H35" s="8">
        <v>14</v>
      </c>
      <c r="I35" s="8">
        <v>13</v>
      </c>
      <c r="J35" s="9">
        <f t="shared" ref="J35:J36" si="10">(9.14*1423500)+1500</f>
        <v>13012290</v>
      </c>
      <c r="K35" s="9">
        <f>+J35*10%</f>
        <v>1301229</v>
      </c>
      <c r="L35" s="9">
        <f t="shared" si="4"/>
        <v>6679642.2000000002</v>
      </c>
      <c r="M35" s="9">
        <f t="shared" ref="M35:M53" si="11">L35*I35</f>
        <v>86835348.600000009</v>
      </c>
      <c r="N35" s="10">
        <f t="shared" si="1"/>
        <v>8683535</v>
      </c>
      <c r="O35" s="9">
        <f t="shared" si="2"/>
        <v>1649872</v>
      </c>
      <c r="P35" s="9">
        <f t="shared" si="3"/>
        <v>88485221</v>
      </c>
    </row>
    <row r="36" spans="1:16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428</v>
      </c>
      <c r="H36" s="8">
        <v>14</v>
      </c>
      <c r="I36" s="8">
        <v>4</v>
      </c>
      <c r="J36" s="9">
        <f t="shared" si="10"/>
        <v>13012290</v>
      </c>
      <c r="K36" s="9">
        <f>+J36*0.08</f>
        <v>1040983.2000000001</v>
      </c>
      <c r="L36" s="9">
        <f t="shared" si="4"/>
        <v>6558194.1600000001</v>
      </c>
      <c r="M36" s="9">
        <f t="shared" si="11"/>
        <v>26232776.640000001</v>
      </c>
      <c r="N36" s="10">
        <f t="shared" si="1"/>
        <v>2623278</v>
      </c>
      <c r="O36" s="9">
        <f t="shared" si="2"/>
        <v>498423</v>
      </c>
      <c r="P36" s="9">
        <f t="shared" si="3"/>
        <v>26731200</v>
      </c>
    </row>
    <row r="37" spans="1:16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428</v>
      </c>
      <c r="H37" s="8">
        <v>14</v>
      </c>
      <c r="I37" s="8">
        <v>12</v>
      </c>
      <c r="J37" s="9">
        <f>((((9.14*1423500)+1500)*0.5597)/15*12)/30*20</f>
        <v>3884255.3135999995</v>
      </c>
      <c r="K37" s="9">
        <f>+J37*0.08</f>
        <v>310740.42508799996</v>
      </c>
      <c r="L37" s="9">
        <f t="shared" si="4"/>
        <v>1957664.6780543998</v>
      </c>
      <c r="M37" s="9">
        <f t="shared" si="11"/>
        <v>23491976.136652797</v>
      </c>
      <c r="N37" s="10">
        <f t="shared" si="1"/>
        <v>2349198</v>
      </c>
      <c r="O37" s="9">
        <f t="shared" si="2"/>
        <v>446348</v>
      </c>
      <c r="P37" s="9">
        <f t="shared" si="3"/>
        <v>23938324</v>
      </c>
    </row>
    <row r="38" spans="1:16" ht="24" x14ac:dyDescent="0.25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428</v>
      </c>
      <c r="H38" s="8">
        <v>14</v>
      </c>
      <c r="I38" s="8">
        <v>3</v>
      </c>
      <c r="J38" s="9">
        <f>(9.14*1423500)+1500</f>
        <v>13012290</v>
      </c>
      <c r="K38" s="9">
        <f>+J38*10%</f>
        <v>1301229</v>
      </c>
      <c r="L38" s="9">
        <f t="shared" si="4"/>
        <v>6679642.2000000002</v>
      </c>
      <c r="M38" s="9">
        <f t="shared" si="11"/>
        <v>20038926.600000001</v>
      </c>
      <c r="N38" s="10">
        <f t="shared" si="1"/>
        <v>2003893</v>
      </c>
      <c r="O38" s="9">
        <f t="shared" si="2"/>
        <v>380740</v>
      </c>
      <c r="P38" s="9">
        <f t="shared" si="3"/>
        <v>20419667</v>
      </c>
    </row>
    <row r="39" spans="1:16" ht="24" x14ac:dyDescent="0.25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428</v>
      </c>
      <c r="H39" s="8">
        <v>14</v>
      </c>
      <c r="I39" s="8">
        <v>8</v>
      </c>
      <c r="J39" s="9">
        <f>((((9.14*1423500)+1500)*0.5597)/15*12)/30*20</f>
        <v>3884255.3135999995</v>
      </c>
      <c r="K39" s="9">
        <f>+J39*0.08</f>
        <v>310740.42508799996</v>
      </c>
      <c r="L39" s="9">
        <f t="shared" si="4"/>
        <v>1957664.6780543998</v>
      </c>
      <c r="M39" s="9">
        <f t="shared" si="11"/>
        <v>15661317.424435198</v>
      </c>
      <c r="N39" s="10">
        <f t="shared" si="1"/>
        <v>1566132</v>
      </c>
      <c r="O39" s="9">
        <f t="shared" si="2"/>
        <v>297565</v>
      </c>
      <c r="P39" s="9">
        <f t="shared" si="3"/>
        <v>15958882</v>
      </c>
    </row>
    <row r="40" spans="1:16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428</v>
      </c>
      <c r="H40" s="8">
        <v>14</v>
      </c>
      <c r="I40" s="8">
        <v>1</v>
      </c>
      <c r="J40" s="9">
        <f>(9.14*1423500)+1500</f>
        <v>13012290</v>
      </c>
      <c r="K40" s="9">
        <f>+J40*10%</f>
        <v>1301229</v>
      </c>
      <c r="L40" s="9">
        <f t="shared" si="4"/>
        <v>6679642.2000000002</v>
      </c>
      <c r="M40" s="9">
        <f t="shared" si="11"/>
        <v>6679642.2000000002</v>
      </c>
      <c r="N40" s="10">
        <f t="shared" si="1"/>
        <v>667964</v>
      </c>
      <c r="O40" s="9">
        <f t="shared" si="2"/>
        <v>126913</v>
      </c>
      <c r="P40" s="9">
        <f t="shared" si="3"/>
        <v>6806555</v>
      </c>
    </row>
    <row r="41" spans="1:16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428</v>
      </c>
      <c r="H41" s="8">
        <v>14</v>
      </c>
      <c r="I41" s="8">
        <v>1</v>
      </c>
      <c r="J41" s="9">
        <f>((((9.14*1423500)+1500)*0.5597)/15*12)/30*20</f>
        <v>3884255.3135999995</v>
      </c>
      <c r="K41" s="9">
        <f>+J41*0.08</f>
        <v>310740.42508799996</v>
      </c>
      <c r="L41" s="9">
        <f t="shared" si="4"/>
        <v>1957664.6780543998</v>
      </c>
      <c r="M41" s="9">
        <f t="shared" si="11"/>
        <v>1957664.6780543998</v>
      </c>
      <c r="N41" s="10">
        <f t="shared" si="1"/>
        <v>195766</v>
      </c>
      <c r="O41" s="9">
        <f t="shared" si="2"/>
        <v>37196</v>
      </c>
      <c r="P41" s="9">
        <f t="shared" si="3"/>
        <v>1994861</v>
      </c>
    </row>
    <row r="42" spans="1:16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428</v>
      </c>
      <c r="H42" s="8">
        <v>14</v>
      </c>
      <c r="I42" s="8">
        <v>1</v>
      </c>
      <c r="J42" s="9">
        <f t="shared" ref="J42:J45" si="12">(9.14*1423500)+1500</f>
        <v>13012290</v>
      </c>
      <c r="K42" s="9">
        <f>+J42*10%</f>
        <v>1301229</v>
      </c>
      <c r="L42" s="9">
        <f t="shared" si="4"/>
        <v>6679642.2000000002</v>
      </c>
      <c r="M42" s="9">
        <f t="shared" si="11"/>
        <v>6679642.2000000002</v>
      </c>
      <c r="N42" s="10">
        <f t="shared" si="1"/>
        <v>667964</v>
      </c>
      <c r="O42" s="9">
        <f t="shared" si="2"/>
        <v>126913</v>
      </c>
      <c r="P42" s="9">
        <f t="shared" si="3"/>
        <v>6806555</v>
      </c>
    </row>
    <row r="43" spans="1:16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428</v>
      </c>
      <c r="H43" s="8">
        <v>14</v>
      </c>
      <c r="I43" s="8">
        <v>9</v>
      </c>
      <c r="J43" s="9">
        <f t="shared" si="12"/>
        <v>13012290</v>
      </c>
      <c r="K43" s="9">
        <f>+J43*10%</f>
        <v>1301229</v>
      </c>
      <c r="L43" s="9">
        <f t="shared" si="4"/>
        <v>6679642.2000000002</v>
      </c>
      <c r="M43" s="9">
        <f t="shared" si="11"/>
        <v>60116779.800000004</v>
      </c>
      <c r="N43" s="10">
        <f t="shared" si="1"/>
        <v>6011678</v>
      </c>
      <c r="O43" s="9">
        <f t="shared" si="2"/>
        <v>1142219</v>
      </c>
      <c r="P43" s="9">
        <f t="shared" si="3"/>
        <v>61258999</v>
      </c>
    </row>
    <row r="44" spans="1:16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428</v>
      </c>
      <c r="H44" s="8">
        <v>14</v>
      </c>
      <c r="I44" s="8">
        <v>1</v>
      </c>
      <c r="J44" s="9">
        <f t="shared" si="12"/>
        <v>13012290</v>
      </c>
      <c r="K44" s="9">
        <f>+J44*10%</f>
        <v>1301229</v>
      </c>
      <c r="L44" s="9">
        <f t="shared" si="4"/>
        <v>6679642.2000000002</v>
      </c>
      <c r="M44" s="9">
        <f t="shared" si="11"/>
        <v>6679642.2000000002</v>
      </c>
      <c r="N44" s="10">
        <f t="shared" si="1"/>
        <v>667964</v>
      </c>
      <c r="O44" s="9">
        <f t="shared" si="2"/>
        <v>126913</v>
      </c>
      <c r="P44" s="9">
        <f t="shared" si="3"/>
        <v>6806555</v>
      </c>
    </row>
    <row r="45" spans="1:16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428</v>
      </c>
      <c r="H45" s="8">
        <v>14</v>
      </c>
      <c r="I45" s="8">
        <v>1</v>
      </c>
      <c r="J45" s="9">
        <f t="shared" si="12"/>
        <v>13012290</v>
      </c>
      <c r="K45" s="9">
        <f>+J45*0.08</f>
        <v>1040983.2000000001</v>
      </c>
      <c r="L45" s="9">
        <f t="shared" si="4"/>
        <v>6558194.1600000001</v>
      </c>
      <c r="M45" s="9">
        <f t="shared" si="11"/>
        <v>6558194.1600000001</v>
      </c>
      <c r="N45" s="10">
        <f t="shared" si="1"/>
        <v>655819</v>
      </c>
      <c r="O45" s="9">
        <f t="shared" si="2"/>
        <v>124606</v>
      </c>
      <c r="P45" s="9">
        <f t="shared" si="3"/>
        <v>6682800</v>
      </c>
    </row>
    <row r="46" spans="1:16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428</v>
      </c>
      <c r="H46" s="8">
        <v>14</v>
      </c>
      <c r="I46" s="8">
        <v>1</v>
      </c>
      <c r="J46" s="9">
        <f>((((9.14*1423500)+1500)*0.5597)/15*12)/30*20</f>
        <v>3884255.3135999995</v>
      </c>
      <c r="K46" s="9">
        <f>+J46*0.08</f>
        <v>310740.42508799996</v>
      </c>
      <c r="L46" s="9">
        <f t="shared" si="4"/>
        <v>1957664.6780543998</v>
      </c>
      <c r="M46" s="9">
        <f t="shared" si="11"/>
        <v>1957664.6780543998</v>
      </c>
      <c r="N46" s="10">
        <f t="shared" si="1"/>
        <v>195766</v>
      </c>
      <c r="O46" s="9">
        <f t="shared" si="2"/>
        <v>37196</v>
      </c>
      <c r="P46" s="9">
        <f t="shared" si="3"/>
        <v>1994861</v>
      </c>
    </row>
    <row r="47" spans="1:16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428</v>
      </c>
      <c r="H47" s="8">
        <v>14</v>
      </c>
      <c r="I47" s="8">
        <v>1</v>
      </c>
      <c r="J47" s="9">
        <f>(9.14*1423500)+1500</f>
        <v>13012290</v>
      </c>
      <c r="K47" s="9">
        <f>+J47*10%</f>
        <v>1301229</v>
      </c>
      <c r="L47" s="9">
        <f t="shared" si="4"/>
        <v>6679642.2000000002</v>
      </c>
      <c r="M47" s="9">
        <f t="shared" si="11"/>
        <v>6679642.2000000002</v>
      </c>
      <c r="N47" s="10">
        <f t="shared" si="1"/>
        <v>667964</v>
      </c>
      <c r="O47" s="9">
        <f t="shared" si="2"/>
        <v>126913</v>
      </c>
      <c r="P47" s="9">
        <f t="shared" si="3"/>
        <v>6806555</v>
      </c>
    </row>
    <row r="48" spans="1:16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428</v>
      </c>
      <c r="H48" s="8">
        <v>14</v>
      </c>
      <c r="I48" s="8">
        <v>1</v>
      </c>
      <c r="J48" s="9">
        <f>((((9.14*1423500)+1500)*0.5597)/15*12)/30*20</f>
        <v>3884255.3135999995</v>
      </c>
      <c r="K48" s="9">
        <f>+J48*0.08</f>
        <v>310740.42508799996</v>
      </c>
      <c r="L48" s="9">
        <f t="shared" si="4"/>
        <v>1957664.6780543998</v>
      </c>
      <c r="M48" s="9">
        <f t="shared" si="11"/>
        <v>1957664.6780543998</v>
      </c>
      <c r="N48" s="10">
        <f t="shared" si="1"/>
        <v>195766</v>
      </c>
      <c r="O48" s="9">
        <f t="shared" si="2"/>
        <v>37196</v>
      </c>
      <c r="P48" s="9">
        <f t="shared" si="3"/>
        <v>1994861</v>
      </c>
    </row>
    <row r="49" spans="1:16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428</v>
      </c>
      <c r="H49" s="8">
        <v>14</v>
      </c>
      <c r="I49" s="8">
        <v>1</v>
      </c>
      <c r="J49" s="9">
        <f t="shared" ref="J49:J51" si="13">(9.14*1423500)+1500</f>
        <v>13012290</v>
      </c>
      <c r="K49" s="9">
        <f>+J49*10%</f>
        <v>1301229</v>
      </c>
      <c r="L49" s="9">
        <f t="shared" si="4"/>
        <v>6679642.2000000002</v>
      </c>
      <c r="M49" s="9">
        <f t="shared" si="11"/>
        <v>6679642.2000000002</v>
      </c>
      <c r="N49" s="10">
        <f t="shared" si="1"/>
        <v>667964</v>
      </c>
      <c r="O49" s="9">
        <f t="shared" si="2"/>
        <v>126913</v>
      </c>
      <c r="P49" s="9">
        <f t="shared" si="3"/>
        <v>6806555</v>
      </c>
    </row>
    <row r="50" spans="1:16" ht="24" x14ac:dyDescent="0.25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428</v>
      </c>
      <c r="H50" s="8">
        <v>14</v>
      </c>
      <c r="I50" s="8">
        <v>3</v>
      </c>
      <c r="J50" s="9">
        <f t="shared" si="13"/>
        <v>13012290</v>
      </c>
      <c r="K50" s="9">
        <f>+J50*10%</f>
        <v>1301229</v>
      </c>
      <c r="L50" s="9">
        <f t="shared" si="4"/>
        <v>6679642.2000000002</v>
      </c>
      <c r="M50" s="9">
        <f t="shared" si="11"/>
        <v>20038926.600000001</v>
      </c>
      <c r="N50" s="10">
        <f t="shared" si="1"/>
        <v>2003893</v>
      </c>
      <c r="O50" s="9">
        <f t="shared" si="2"/>
        <v>380740</v>
      </c>
      <c r="P50" s="9">
        <f t="shared" si="3"/>
        <v>20419667</v>
      </c>
    </row>
    <row r="51" spans="1:16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428</v>
      </c>
      <c r="H51" s="8">
        <v>14</v>
      </c>
      <c r="I51" s="8">
        <v>3</v>
      </c>
      <c r="J51" s="9">
        <f t="shared" si="13"/>
        <v>13012290</v>
      </c>
      <c r="K51" s="9">
        <f>+J51*10%</f>
        <v>1301229</v>
      </c>
      <c r="L51" s="9">
        <f t="shared" si="4"/>
        <v>6679642.2000000002</v>
      </c>
      <c r="M51" s="9">
        <f t="shared" si="11"/>
        <v>20038926.600000001</v>
      </c>
      <c r="N51" s="10">
        <f t="shared" si="1"/>
        <v>2003893</v>
      </c>
      <c r="O51" s="9">
        <f t="shared" si="2"/>
        <v>380740</v>
      </c>
      <c r="P51" s="9">
        <f t="shared" si="3"/>
        <v>20419667</v>
      </c>
    </row>
    <row r="52" spans="1:16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428</v>
      </c>
      <c r="H52" s="8">
        <v>14</v>
      </c>
      <c r="I52" s="8">
        <v>2</v>
      </c>
      <c r="J52" s="9">
        <f>((((9.14*1423500)+1500)*0.5597)/15*12)/30*20</f>
        <v>3884255.3135999995</v>
      </c>
      <c r="K52" s="9">
        <f>+J52*0.08</f>
        <v>310740.42508799996</v>
      </c>
      <c r="L52" s="9">
        <f t="shared" si="4"/>
        <v>1957664.6780543998</v>
      </c>
      <c r="M52" s="9">
        <f t="shared" si="11"/>
        <v>3915329.3561087996</v>
      </c>
      <c r="N52" s="10">
        <f t="shared" si="1"/>
        <v>391533</v>
      </c>
      <c r="O52" s="9">
        <f t="shared" si="2"/>
        <v>74391</v>
      </c>
      <c r="P52" s="9">
        <f t="shared" si="3"/>
        <v>3989720</v>
      </c>
    </row>
    <row r="53" spans="1:16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428</v>
      </c>
      <c r="H53" s="8">
        <v>14</v>
      </c>
      <c r="I53" s="8">
        <v>1</v>
      </c>
      <c r="J53" s="9">
        <f>(9.14*1423500)+1500</f>
        <v>13012290</v>
      </c>
      <c r="K53" s="9">
        <f>+J53*10%</f>
        <v>1301229</v>
      </c>
      <c r="L53" s="9">
        <f t="shared" si="4"/>
        <v>6679642.2000000002</v>
      </c>
      <c r="M53" s="9">
        <f t="shared" si="11"/>
        <v>6679642.2000000002</v>
      </c>
      <c r="N53" s="10">
        <f t="shared" si="1"/>
        <v>667964</v>
      </c>
      <c r="O53" s="9">
        <f t="shared" si="2"/>
        <v>126913</v>
      </c>
      <c r="P53" s="9">
        <f t="shared" si="3"/>
        <v>6806555</v>
      </c>
    </row>
    <row r="54" spans="1:16" ht="15.75" customHeight="1" x14ac:dyDescent="0.25">
      <c r="A54" s="261" t="s">
        <v>59</v>
      </c>
      <c r="B54" s="259"/>
      <c r="C54" s="259"/>
      <c r="D54" s="259"/>
      <c r="E54" s="259"/>
      <c r="F54" s="259"/>
      <c r="G54" s="259"/>
      <c r="H54" s="260"/>
      <c r="I54" s="12">
        <f t="shared" ref="I54:P54" si="14">SUM(I3:I53)</f>
        <v>174</v>
      </c>
      <c r="J54" s="13">
        <f t="shared" si="14"/>
        <v>520685639.26848</v>
      </c>
      <c r="K54" s="13">
        <f t="shared" si="14"/>
        <v>49462225.141478412</v>
      </c>
      <c r="L54" s="13">
        <f t="shared" si="14"/>
        <v>266069003.3913137</v>
      </c>
      <c r="M54" s="13">
        <f t="shared" si="14"/>
        <v>857031279.69403422</v>
      </c>
      <c r="N54" s="13">
        <f t="shared" si="14"/>
        <v>85703124</v>
      </c>
      <c r="O54" s="13">
        <f t="shared" si="14"/>
        <v>16283597</v>
      </c>
      <c r="P54" s="13">
        <f t="shared" si="14"/>
        <v>873314877</v>
      </c>
    </row>
    <row r="55" spans="1:16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62" t="s">
        <v>426</v>
      </c>
      <c r="L56" s="263"/>
      <c r="M56" s="264"/>
      <c r="N56" s="15"/>
      <c r="O56" s="15"/>
      <c r="P56" s="15"/>
    </row>
    <row r="57" spans="1:16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857031279.69403422</v>
      </c>
      <c r="N57" s="15"/>
      <c r="O57" s="15"/>
      <c r="P57" s="15"/>
    </row>
    <row r="58" spans="1:16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61</v>
      </c>
      <c r="L58" s="16"/>
      <c r="M58" s="194">
        <f>O54</f>
        <v>16283597</v>
      </c>
      <c r="N58" s="15"/>
      <c r="O58" s="15"/>
      <c r="P58" s="15"/>
    </row>
    <row r="59" spans="1:16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62</v>
      </c>
      <c r="L59" s="196"/>
      <c r="M59" s="197">
        <f>P54</f>
        <v>873314877</v>
      </c>
      <c r="N59" s="15"/>
      <c r="O59" s="15"/>
      <c r="P59" s="15"/>
    </row>
    <row r="60" spans="1:16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71" t="s">
        <v>427</v>
      </c>
      <c r="L61" s="272"/>
      <c r="M61" s="273"/>
      <c r="N61" s="15"/>
      <c r="O61" s="15"/>
      <c r="P61" s="15"/>
    </row>
    <row r="62" spans="1:16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201" t="s">
        <v>60</v>
      </c>
      <c r="L62" s="202"/>
      <c r="M62" s="203">
        <f>1423500/1.019</f>
        <v>1396957.8017664377</v>
      </c>
      <c r="N62" s="15"/>
      <c r="O62" s="15"/>
    </row>
    <row r="63" spans="1:16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201" t="s">
        <v>61</v>
      </c>
      <c r="L63" s="202"/>
      <c r="M63" s="203">
        <f>M62*0.019</f>
        <v>26542.198233562314</v>
      </c>
      <c r="N63" s="15"/>
      <c r="O63" s="15"/>
    </row>
    <row r="64" spans="1:16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204" t="s">
        <v>62</v>
      </c>
      <c r="L64" s="205"/>
      <c r="M64" s="206">
        <f>M62+M63</f>
        <v>1423500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66</v>
      </c>
      <c r="L66" s="199"/>
      <c r="M66" s="200">
        <f>M59-M64</f>
        <v>871891377</v>
      </c>
      <c r="N66" s="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68" t="s">
        <v>63</v>
      </c>
      <c r="B68" s="259"/>
      <c r="C68" s="259"/>
      <c r="D68" s="259"/>
      <c r="E68" s="259"/>
      <c r="F68" s="259"/>
      <c r="G68" s="259"/>
      <c r="H68" s="259"/>
      <c r="I68" s="259"/>
      <c r="J68" s="259"/>
      <c r="K68" s="259"/>
      <c r="L68" s="259"/>
      <c r="M68" s="259"/>
      <c r="N68" s="259"/>
      <c r="O68" s="259"/>
      <c r="P68" s="260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428</v>
      </c>
      <c r="H70" s="8">
        <v>14</v>
      </c>
      <c r="I70" s="8">
        <v>5</v>
      </c>
      <c r="J70" s="9">
        <f>9.14*1423500+1500</f>
        <v>13012290</v>
      </c>
      <c r="K70" s="9">
        <f>+J70*0.1</f>
        <v>1301229</v>
      </c>
      <c r="L70" s="9">
        <f t="shared" ref="L70:L72" si="15">(J70+K70)/30*H70</f>
        <v>6679642.2000000002</v>
      </c>
      <c r="M70" s="9">
        <f>L70*I70</f>
        <v>33398211</v>
      </c>
      <c r="N70" s="10">
        <f>ROUND(M70*10%,0)</f>
        <v>3339821</v>
      </c>
      <c r="O70" s="9">
        <f t="shared" ref="O70:O72" si="16">+N70*19%</f>
        <v>634565.99</v>
      </c>
      <c r="P70" s="9">
        <f t="shared" ref="P70:P72" si="17">+ROUND(M70+O70,0)</f>
        <v>34032777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428</v>
      </c>
      <c r="H71" s="8">
        <v>14</v>
      </c>
      <c r="I71" s="8">
        <v>1</v>
      </c>
      <c r="J71" s="9">
        <f>9.14*1423500+1500</f>
        <v>13012290</v>
      </c>
      <c r="K71" s="9">
        <f>+J71*0.08</f>
        <v>1040983.2000000001</v>
      </c>
      <c r="L71" s="9">
        <f t="shared" si="15"/>
        <v>6558194.1600000001</v>
      </c>
      <c r="M71" s="9">
        <f>L71*I71</f>
        <v>6558194.1600000001</v>
      </c>
      <c r="N71" s="10">
        <f t="shared" ref="N71:N72" si="18">+M71*10%</f>
        <v>655819.41600000008</v>
      </c>
      <c r="O71" s="9">
        <f t="shared" si="16"/>
        <v>124605.68904000001</v>
      </c>
      <c r="P71" s="9">
        <f t="shared" si="17"/>
        <v>6682800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428</v>
      </c>
      <c r="H72" s="8">
        <v>14</v>
      </c>
      <c r="I72" s="8">
        <v>1</v>
      </c>
      <c r="J72" s="9">
        <f>((((9.14*1423500)+1500)*0.5597)/15*12)/30*20</f>
        <v>3884255.3135999995</v>
      </c>
      <c r="K72" s="9">
        <f>+J72*0.08</f>
        <v>310740.42508799996</v>
      </c>
      <c r="L72" s="9">
        <f t="shared" si="15"/>
        <v>1957664.6780543998</v>
      </c>
      <c r="M72" s="9">
        <f>L72*I72</f>
        <v>1957664.6780543998</v>
      </c>
      <c r="N72" s="10">
        <f t="shared" si="18"/>
        <v>195766.46780543998</v>
      </c>
      <c r="O72" s="9">
        <f t="shared" si="16"/>
        <v>37195.628883033598</v>
      </c>
      <c r="P72" s="9">
        <f t="shared" si="17"/>
        <v>1994860</v>
      </c>
    </row>
    <row r="73" spans="1:16" ht="15.75" customHeight="1" x14ac:dyDescent="0.25">
      <c r="A73" s="261" t="s">
        <v>59</v>
      </c>
      <c r="B73" s="259"/>
      <c r="C73" s="259"/>
      <c r="D73" s="259"/>
      <c r="E73" s="259"/>
      <c r="F73" s="259"/>
      <c r="G73" s="259"/>
      <c r="H73" s="260"/>
      <c r="I73" s="192">
        <f t="shared" ref="I73:P73" si="19">I70+I71+I72</f>
        <v>7</v>
      </c>
      <c r="J73" s="12">
        <f t="shared" si="19"/>
        <v>29908835.3136</v>
      </c>
      <c r="K73" s="12">
        <f t="shared" si="19"/>
        <v>2652952.6250880002</v>
      </c>
      <c r="L73" s="12">
        <f t="shared" si="19"/>
        <v>15195501.038054399</v>
      </c>
      <c r="M73" s="12">
        <f t="shared" si="19"/>
        <v>41914069.838054396</v>
      </c>
      <c r="N73" s="12">
        <f t="shared" si="19"/>
        <v>4191406.8838054403</v>
      </c>
      <c r="O73" s="12">
        <f t="shared" si="19"/>
        <v>796367.3079230336</v>
      </c>
      <c r="P73" s="12">
        <f t="shared" si="19"/>
        <v>42710437</v>
      </c>
    </row>
    <row r="74" spans="1:16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69" t="s">
        <v>425</v>
      </c>
      <c r="L75" s="270"/>
      <c r="M75" s="270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41914069.838054396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796367.3079230336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42710437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spans="10:10" ht="15" hidden="1" customHeight="1" x14ac:dyDescent="0.25"/>
    <row r="83" spans="10:10" ht="15" customHeight="1" x14ac:dyDescent="0.25">
      <c r="J83" s="15"/>
    </row>
  </sheetData>
  <autoFilter ref="A2:P59" xr:uid="{00000000-0009-0000-0000-000000000000}"/>
  <mergeCells count="7">
    <mergeCell ref="A1:P1"/>
    <mergeCell ref="A54:H54"/>
    <mergeCell ref="A73:H73"/>
    <mergeCell ref="K56:M56"/>
    <mergeCell ref="K75:M75"/>
    <mergeCell ref="K61:M61"/>
    <mergeCell ref="A68:P68"/>
  </mergeCells>
  <pageMargins left="0.31496062992125984" right="0.31496062992125984" top="0.35433070866141736" bottom="0.35433070866141736" header="0" footer="0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74"/>
  <sheetViews>
    <sheetView showGridLines="0" tabSelected="1" topLeftCell="D1" zoomScaleNormal="85" workbookViewId="0">
      <pane ySplit="2" topLeftCell="A62" activePane="bottomLeft" state="frozen"/>
      <selection activeCell="M54" sqref="M54"/>
      <selection pane="bottomLeft" activeCell="L75" sqref="A75:XFD85"/>
    </sheetView>
  </sheetViews>
  <sheetFormatPr baseColWidth="10" defaultColWidth="14.42578125" defaultRowHeight="15" customHeight="1" x14ac:dyDescent="0.25"/>
  <cols>
    <col min="1" max="1" width="21.140625" customWidth="1"/>
    <col min="2" max="2" width="24" style="218" customWidth="1"/>
    <col min="3" max="3" width="44.42578125" style="218" customWidth="1"/>
    <col min="4" max="4" width="39.42578125" style="218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58" t="s">
        <v>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60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441</v>
      </c>
      <c r="H3" s="8">
        <v>30</v>
      </c>
      <c r="I3" s="8">
        <v>3</v>
      </c>
      <c r="J3" s="9">
        <f>(9.77*1750905)+1500</f>
        <v>17107841.849999998</v>
      </c>
      <c r="K3" s="9">
        <f>+J3*10%</f>
        <v>1710784.1849999998</v>
      </c>
      <c r="L3" s="9">
        <f>(J3+K3)/30*H3</f>
        <v>18818626.034999996</v>
      </c>
      <c r="M3" s="9">
        <f>+L3*I3</f>
        <v>56455878.104999989</v>
      </c>
      <c r="N3" s="10">
        <f>ROUND(M3*10%,0)</f>
        <v>5645588</v>
      </c>
      <c r="O3" s="9">
        <f>ROUND(N3*19%,0)</f>
        <v>1072662</v>
      </c>
      <c r="P3" s="9">
        <f>+ROUND(M3+O3,0)</f>
        <v>57528540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441</v>
      </c>
      <c r="H4" s="8">
        <v>30</v>
      </c>
      <c r="I4" s="8">
        <v>1</v>
      </c>
      <c r="J4" s="9">
        <f>(9.77*1750905)+1500</f>
        <v>17107841.849999998</v>
      </c>
      <c r="K4" s="9">
        <f>+J4*0.08</f>
        <v>1368627.3479999998</v>
      </c>
      <c r="L4" s="9">
        <f t="shared" ref="L4:L53" si="0">(J4+K4)/30*H4</f>
        <v>18476469.197999999</v>
      </c>
      <c r="M4" s="9">
        <f t="shared" ref="M4:M53" si="1">+L4*I4</f>
        <v>18476469.197999999</v>
      </c>
      <c r="N4" s="10">
        <f t="shared" ref="N4:N53" si="2">ROUND(M4*10%,0)</f>
        <v>1847647</v>
      </c>
      <c r="O4" s="9">
        <f t="shared" ref="O4:O53" si="3">ROUND(N4*19%,0)</f>
        <v>351053</v>
      </c>
      <c r="P4" s="9">
        <f t="shared" ref="P4:P53" si="4">+ROUND(M4+O4,0)</f>
        <v>18827522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441</v>
      </c>
      <c r="H5" s="8">
        <v>30</v>
      </c>
      <c r="I5" s="8">
        <v>1</v>
      </c>
      <c r="J5" s="9">
        <f>((((9.77*1750905)+1500)*0.4759)/13*12)/30*22</f>
        <v>5511251.7723424612</v>
      </c>
      <c r="K5" s="9">
        <f>+J5*0.08</f>
        <v>440900.14178739692</v>
      </c>
      <c r="L5" s="9">
        <f t="shared" si="0"/>
        <v>5952151.9141298579</v>
      </c>
      <c r="M5" s="9">
        <f t="shared" si="1"/>
        <v>5952151.9141298579</v>
      </c>
      <c r="N5" s="10">
        <f t="shared" si="2"/>
        <v>595215</v>
      </c>
      <c r="O5" s="9">
        <f t="shared" si="3"/>
        <v>113091</v>
      </c>
      <c r="P5" s="9">
        <f t="shared" si="4"/>
        <v>6065243</v>
      </c>
    </row>
    <row r="6" spans="1:16" x14ac:dyDescent="0.25">
      <c r="A6" s="5" t="s">
        <v>16</v>
      </c>
      <c r="B6" s="5" t="s">
        <v>17</v>
      </c>
      <c r="C6" s="241" t="s">
        <v>26</v>
      </c>
      <c r="D6" s="5" t="s">
        <v>19</v>
      </c>
      <c r="E6" s="7" t="s">
        <v>20</v>
      </c>
      <c r="F6" s="5" t="s">
        <v>21</v>
      </c>
      <c r="G6" s="8" t="s">
        <v>441</v>
      </c>
      <c r="H6" s="8">
        <v>30</v>
      </c>
      <c r="I6" s="8">
        <v>3</v>
      </c>
      <c r="J6" s="9">
        <f>(9.77*1750905)+1500</f>
        <v>17107841.849999998</v>
      </c>
      <c r="K6" s="9">
        <f>+J6*10%</f>
        <v>1710784.1849999998</v>
      </c>
      <c r="L6" s="9">
        <f t="shared" si="0"/>
        <v>18818626.034999996</v>
      </c>
      <c r="M6" s="9">
        <f t="shared" si="1"/>
        <v>56455878.104999989</v>
      </c>
      <c r="N6" s="10">
        <f t="shared" si="2"/>
        <v>5645588</v>
      </c>
      <c r="O6" s="9">
        <f t="shared" si="3"/>
        <v>1072662</v>
      </c>
      <c r="P6" s="9">
        <f t="shared" si="4"/>
        <v>57528540</v>
      </c>
    </row>
    <row r="7" spans="1:16" x14ac:dyDescent="0.25">
      <c r="A7" s="5" t="s">
        <v>16</v>
      </c>
      <c r="B7" s="5" t="s">
        <v>17</v>
      </c>
      <c r="C7" s="241" t="s">
        <v>26</v>
      </c>
      <c r="D7" s="5" t="s">
        <v>24</v>
      </c>
      <c r="E7" s="7" t="s">
        <v>22</v>
      </c>
      <c r="F7" s="5" t="s">
        <v>25</v>
      </c>
      <c r="G7" s="8" t="s">
        <v>441</v>
      </c>
      <c r="H7" s="8">
        <v>30</v>
      </c>
      <c r="I7" s="8">
        <v>2</v>
      </c>
      <c r="J7" s="9">
        <f>((((9.77*1750905)+1500)*0.4759)/13*12)/30*22</f>
        <v>5511251.7723424612</v>
      </c>
      <c r="K7" s="9">
        <f>+J7*0.08</f>
        <v>440900.14178739692</v>
      </c>
      <c r="L7" s="9">
        <f t="shared" si="0"/>
        <v>5952151.9141298579</v>
      </c>
      <c r="M7" s="9">
        <f t="shared" si="1"/>
        <v>11904303.828259716</v>
      </c>
      <c r="N7" s="10">
        <f t="shared" si="2"/>
        <v>1190430</v>
      </c>
      <c r="O7" s="9">
        <f t="shared" si="3"/>
        <v>226182</v>
      </c>
      <c r="P7" s="9">
        <f t="shared" si="4"/>
        <v>12130486</v>
      </c>
    </row>
    <row r="8" spans="1:16" x14ac:dyDescent="0.25">
      <c r="A8" s="5" t="s">
        <v>16</v>
      </c>
      <c r="B8" s="5" t="s">
        <v>17</v>
      </c>
      <c r="C8" s="241" t="s">
        <v>27</v>
      </c>
      <c r="D8" s="5" t="s">
        <v>19</v>
      </c>
      <c r="E8" s="7" t="s">
        <v>20</v>
      </c>
      <c r="F8" s="5" t="s">
        <v>21</v>
      </c>
      <c r="G8" s="8" t="s">
        <v>441</v>
      </c>
      <c r="H8" s="8">
        <v>30</v>
      </c>
      <c r="I8" s="8">
        <v>3</v>
      </c>
      <c r="J8" s="9">
        <f>(9.77*1750905)+1500</f>
        <v>17107841.849999998</v>
      </c>
      <c r="K8" s="9">
        <f>+J8*10%</f>
        <v>1710784.1849999998</v>
      </c>
      <c r="L8" s="9">
        <f t="shared" si="0"/>
        <v>18818626.034999996</v>
      </c>
      <c r="M8" s="9">
        <f t="shared" si="1"/>
        <v>56455878.104999989</v>
      </c>
      <c r="N8" s="10">
        <f t="shared" si="2"/>
        <v>5645588</v>
      </c>
      <c r="O8" s="9">
        <f t="shared" si="3"/>
        <v>1072662</v>
      </c>
      <c r="P8" s="9">
        <f t="shared" si="4"/>
        <v>57528540</v>
      </c>
    </row>
    <row r="9" spans="1:16" x14ac:dyDescent="0.25">
      <c r="A9" s="5" t="s">
        <v>16</v>
      </c>
      <c r="B9" s="5" t="s">
        <v>17</v>
      </c>
      <c r="C9" s="241" t="s">
        <v>27</v>
      </c>
      <c r="D9" s="5" t="s">
        <v>24</v>
      </c>
      <c r="E9" s="7" t="s">
        <v>22</v>
      </c>
      <c r="F9" s="5" t="s">
        <v>25</v>
      </c>
      <c r="G9" s="8" t="s">
        <v>441</v>
      </c>
      <c r="H9" s="8">
        <v>30</v>
      </c>
      <c r="I9" s="8">
        <v>4</v>
      </c>
      <c r="J9" s="9">
        <f>((((9.77*1750905)+1500)*0.4759)/13*12)/30*22</f>
        <v>5511251.7723424612</v>
      </c>
      <c r="K9" s="9">
        <f>+J9*0.08</f>
        <v>440900.14178739692</v>
      </c>
      <c r="L9" s="9">
        <f t="shared" si="0"/>
        <v>5952151.9141298579</v>
      </c>
      <c r="M9" s="9">
        <f t="shared" si="1"/>
        <v>23808607.656519432</v>
      </c>
      <c r="N9" s="10">
        <f t="shared" si="2"/>
        <v>2380861</v>
      </c>
      <c r="O9" s="9">
        <f t="shared" si="3"/>
        <v>452364</v>
      </c>
      <c r="P9" s="9">
        <f t="shared" si="4"/>
        <v>24260972</v>
      </c>
    </row>
    <row r="10" spans="1:16" x14ac:dyDescent="0.25">
      <c r="A10" s="5" t="s">
        <v>16</v>
      </c>
      <c r="B10" s="5" t="s">
        <v>17</v>
      </c>
      <c r="C10" s="241" t="s">
        <v>28</v>
      </c>
      <c r="D10" s="5" t="s">
        <v>19</v>
      </c>
      <c r="E10" s="7" t="s">
        <v>20</v>
      </c>
      <c r="F10" s="5" t="s">
        <v>21</v>
      </c>
      <c r="G10" s="8" t="s">
        <v>441</v>
      </c>
      <c r="H10" s="8">
        <v>30</v>
      </c>
      <c r="I10" s="8">
        <v>1</v>
      </c>
      <c r="J10" s="9">
        <f>(9.77*1750905)+1500</f>
        <v>17107841.849999998</v>
      </c>
      <c r="K10" s="9">
        <f t="shared" ref="K10:K11" si="5">+J10*10%</f>
        <v>1710784.1849999998</v>
      </c>
      <c r="L10" s="9">
        <f t="shared" si="0"/>
        <v>18818626.034999996</v>
      </c>
      <c r="M10" s="9">
        <f t="shared" si="1"/>
        <v>18818626.034999996</v>
      </c>
      <c r="N10" s="10">
        <f t="shared" si="2"/>
        <v>1881863</v>
      </c>
      <c r="O10" s="9">
        <f t="shared" si="3"/>
        <v>357554</v>
      </c>
      <c r="P10" s="9">
        <f t="shared" si="4"/>
        <v>19176180</v>
      </c>
    </row>
    <row r="11" spans="1:16" x14ac:dyDescent="0.25">
      <c r="A11" s="5" t="s">
        <v>16</v>
      </c>
      <c r="B11" s="5" t="s">
        <v>17</v>
      </c>
      <c r="C11" s="241" t="s">
        <v>29</v>
      </c>
      <c r="D11" s="5" t="s">
        <v>19</v>
      </c>
      <c r="E11" s="7" t="s">
        <v>20</v>
      </c>
      <c r="F11" s="5" t="s">
        <v>21</v>
      </c>
      <c r="G11" s="8" t="s">
        <v>441</v>
      </c>
      <c r="H11" s="8">
        <v>30</v>
      </c>
      <c r="I11" s="8">
        <v>1</v>
      </c>
      <c r="J11" s="9">
        <f>(9.77*1750905)+1500</f>
        <v>17107841.849999998</v>
      </c>
      <c r="K11" s="9">
        <f t="shared" si="5"/>
        <v>1710784.1849999998</v>
      </c>
      <c r="L11" s="9">
        <f t="shared" si="0"/>
        <v>18818626.034999996</v>
      </c>
      <c r="M11" s="9">
        <f t="shared" si="1"/>
        <v>18818626.034999996</v>
      </c>
      <c r="N11" s="10">
        <f t="shared" si="2"/>
        <v>1881863</v>
      </c>
      <c r="O11" s="9">
        <f t="shared" si="3"/>
        <v>357554</v>
      </c>
      <c r="P11" s="9">
        <f t="shared" si="4"/>
        <v>19176180</v>
      </c>
    </row>
    <row r="12" spans="1:16" x14ac:dyDescent="0.25">
      <c r="A12" s="5" t="s">
        <v>16</v>
      </c>
      <c r="B12" s="5" t="s">
        <v>17</v>
      </c>
      <c r="C12" s="241" t="s">
        <v>29</v>
      </c>
      <c r="D12" s="5" t="s">
        <v>24</v>
      </c>
      <c r="E12" s="7" t="s">
        <v>22</v>
      </c>
      <c r="F12" s="5" t="s">
        <v>25</v>
      </c>
      <c r="G12" s="8" t="s">
        <v>441</v>
      </c>
      <c r="H12" s="8">
        <v>30</v>
      </c>
      <c r="I12" s="8">
        <v>1</v>
      </c>
      <c r="J12" s="9">
        <f>((((9.77*1750905)+1500)*0.4759)/13*12)/30*22</f>
        <v>5511251.7723424612</v>
      </c>
      <c r="K12" s="9">
        <f>+J12*0.08</f>
        <v>440900.14178739692</v>
      </c>
      <c r="L12" s="9">
        <f t="shared" si="0"/>
        <v>5952151.9141298579</v>
      </c>
      <c r="M12" s="9">
        <f t="shared" si="1"/>
        <v>5952151.9141298579</v>
      </c>
      <c r="N12" s="10">
        <f t="shared" si="2"/>
        <v>595215</v>
      </c>
      <c r="O12" s="9">
        <f t="shared" si="3"/>
        <v>113091</v>
      </c>
      <c r="P12" s="9">
        <f t="shared" si="4"/>
        <v>6065243</v>
      </c>
    </row>
    <row r="13" spans="1:16" x14ac:dyDescent="0.25">
      <c r="A13" s="5" t="s">
        <v>16</v>
      </c>
      <c r="B13" s="5" t="s">
        <v>17</v>
      </c>
      <c r="C13" s="241" t="s">
        <v>30</v>
      </c>
      <c r="D13" s="5" t="s">
        <v>19</v>
      </c>
      <c r="E13" s="7" t="s">
        <v>20</v>
      </c>
      <c r="F13" s="5" t="s">
        <v>21</v>
      </c>
      <c r="G13" s="8" t="s">
        <v>441</v>
      </c>
      <c r="H13" s="8">
        <v>30</v>
      </c>
      <c r="I13" s="8">
        <v>3</v>
      </c>
      <c r="J13" s="9">
        <f>(9.77*1750905)+1500</f>
        <v>17107841.849999998</v>
      </c>
      <c r="K13" s="9">
        <f>+J13*10%</f>
        <v>1710784.1849999998</v>
      </c>
      <c r="L13" s="9">
        <f t="shared" si="0"/>
        <v>18818626.034999996</v>
      </c>
      <c r="M13" s="9">
        <f t="shared" si="1"/>
        <v>56455878.104999989</v>
      </c>
      <c r="N13" s="10">
        <f t="shared" si="2"/>
        <v>5645588</v>
      </c>
      <c r="O13" s="9">
        <f t="shared" si="3"/>
        <v>1072662</v>
      </c>
      <c r="P13" s="9">
        <f t="shared" si="4"/>
        <v>57528540</v>
      </c>
    </row>
    <row r="14" spans="1:16" x14ac:dyDescent="0.25">
      <c r="A14" s="5" t="s">
        <v>16</v>
      </c>
      <c r="B14" s="5" t="s">
        <v>17</v>
      </c>
      <c r="C14" s="241" t="s">
        <v>30</v>
      </c>
      <c r="D14" s="5" t="s">
        <v>24</v>
      </c>
      <c r="E14" s="7" t="s">
        <v>22</v>
      </c>
      <c r="F14" s="5" t="s">
        <v>25</v>
      </c>
      <c r="G14" s="8" t="s">
        <v>441</v>
      </c>
      <c r="H14" s="8">
        <v>30</v>
      </c>
      <c r="I14" s="8">
        <v>4</v>
      </c>
      <c r="J14" s="9">
        <f>((((9.77*1750905)+1500)*0.4759)/13*12)/30*22</f>
        <v>5511251.7723424612</v>
      </c>
      <c r="K14" s="9">
        <f>+J14*0.08</f>
        <v>440900.14178739692</v>
      </c>
      <c r="L14" s="9">
        <f t="shared" si="0"/>
        <v>5952151.9141298579</v>
      </c>
      <c r="M14" s="9">
        <f t="shared" si="1"/>
        <v>23808607.656519432</v>
      </c>
      <c r="N14" s="10">
        <f t="shared" si="2"/>
        <v>2380861</v>
      </c>
      <c r="O14" s="9">
        <f t="shared" si="3"/>
        <v>452364</v>
      </c>
      <c r="P14" s="9">
        <f t="shared" si="4"/>
        <v>24260972</v>
      </c>
    </row>
    <row r="15" spans="1:16" x14ac:dyDescent="0.25">
      <c r="A15" s="5" t="s">
        <v>16</v>
      </c>
      <c r="B15" s="5" t="s">
        <v>17</v>
      </c>
      <c r="C15" s="241" t="s">
        <v>31</v>
      </c>
      <c r="D15" s="5" t="s">
        <v>19</v>
      </c>
      <c r="E15" s="7" t="s">
        <v>20</v>
      </c>
      <c r="F15" s="5" t="s">
        <v>21</v>
      </c>
      <c r="G15" s="8" t="s">
        <v>441</v>
      </c>
      <c r="H15" s="8">
        <v>30</v>
      </c>
      <c r="I15" s="8">
        <v>3</v>
      </c>
      <c r="J15" s="9">
        <f>(9.77*1750905)+1500</f>
        <v>17107841.849999998</v>
      </c>
      <c r="K15" s="9">
        <f t="shared" ref="K15:K17" si="6">+J15*10%</f>
        <v>1710784.1849999998</v>
      </c>
      <c r="L15" s="9">
        <f t="shared" si="0"/>
        <v>18818626.034999996</v>
      </c>
      <c r="M15" s="9">
        <f t="shared" si="1"/>
        <v>56455878.104999989</v>
      </c>
      <c r="N15" s="10">
        <f t="shared" si="2"/>
        <v>5645588</v>
      </c>
      <c r="O15" s="9">
        <f t="shared" si="3"/>
        <v>1072662</v>
      </c>
      <c r="P15" s="9">
        <f t="shared" si="4"/>
        <v>57528540</v>
      </c>
    </row>
    <row r="16" spans="1:16" x14ac:dyDescent="0.25">
      <c r="A16" s="5" t="s">
        <v>16</v>
      </c>
      <c r="B16" s="5" t="s">
        <v>17</v>
      </c>
      <c r="C16" s="241" t="s">
        <v>32</v>
      </c>
      <c r="D16" s="5" t="s">
        <v>19</v>
      </c>
      <c r="E16" s="7" t="s">
        <v>20</v>
      </c>
      <c r="F16" s="5" t="s">
        <v>21</v>
      </c>
      <c r="G16" s="8" t="s">
        <v>441</v>
      </c>
      <c r="H16" s="8">
        <v>30</v>
      </c>
      <c r="I16" s="8">
        <v>4</v>
      </c>
      <c r="J16" s="9">
        <f>(9.77*1750905)+1500</f>
        <v>17107841.849999998</v>
      </c>
      <c r="K16" s="9">
        <f t="shared" si="6"/>
        <v>1710784.1849999998</v>
      </c>
      <c r="L16" s="9">
        <f t="shared" si="0"/>
        <v>18818626.034999996</v>
      </c>
      <c r="M16" s="9">
        <f t="shared" si="1"/>
        <v>75274504.139999986</v>
      </c>
      <c r="N16" s="10">
        <f t="shared" si="2"/>
        <v>7527450</v>
      </c>
      <c r="O16" s="9">
        <f t="shared" si="3"/>
        <v>1430216</v>
      </c>
      <c r="P16" s="9">
        <f t="shared" si="4"/>
        <v>76704720</v>
      </c>
    </row>
    <row r="17" spans="1:16" x14ac:dyDescent="0.25">
      <c r="A17" s="5" t="s">
        <v>16</v>
      </c>
      <c r="B17" s="5" t="s">
        <v>17</v>
      </c>
      <c r="C17" s="241" t="s">
        <v>33</v>
      </c>
      <c r="D17" s="5" t="s">
        <v>19</v>
      </c>
      <c r="E17" s="7" t="s">
        <v>20</v>
      </c>
      <c r="F17" s="5" t="s">
        <v>21</v>
      </c>
      <c r="G17" s="8" t="s">
        <v>441</v>
      </c>
      <c r="H17" s="8">
        <v>30</v>
      </c>
      <c r="I17" s="8">
        <v>1</v>
      </c>
      <c r="J17" s="9">
        <f>(9.77*1750905)+1500</f>
        <v>17107841.849999998</v>
      </c>
      <c r="K17" s="9">
        <f t="shared" si="6"/>
        <v>1710784.1849999998</v>
      </c>
      <c r="L17" s="9">
        <f t="shared" si="0"/>
        <v>18818626.034999996</v>
      </c>
      <c r="M17" s="9">
        <f t="shared" si="1"/>
        <v>18818626.034999996</v>
      </c>
      <c r="N17" s="10">
        <f t="shared" si="2"/>
        <v>1881863</v>
      </c>
      <c r="O17" s="9">
        <f t="shared" si="3"/>
        <v>357554</v>
      </c>
      <c r="P17" s="9">
        <f t="shared" si="4"/>
        <v>19176180</v>
      </c>
    </row>
    <row r="18" spans="1:16" x14ac:dyDescent="0.25">
      <c r="A18" s="5" t="s">
        <v>16</v>
      </c>
      <c r="B18" s="5" t="s">
        <v>17</v>
      </c>
      <c r="C18" s="241" t="s">
        <v>33</v>
      </c>
      <c r="D18" s="5" t="s">
        <v>24</v>
      </c>
      <c r="E18" s="7" t="s">
        <v>22</v>
      </c>
      <c r="F18" s="5" t="s">
        <v>25</v>
      </c>
      <c r="G18" s="8" t="s">
        <v>441</v>
      </c>
      <c r="H18" s="8">
        <v>30</v>
      </c>
      <c r="I18" s="8">
        <v>1</v>
      </c>
      <c r="J18" s="9">
        <f>((((9.77*1750905)+1500)*0.4759)/13*12)/30*22</f>
        <v>5511251.7723424612</v>
      </c>
      <c r="K18" s="9">
        <f>+J18*0.08</f>
        <v>440900.14178739692</v>
      </c>
      <c r="L18" s="9">
        <f t="shared" si="0"/>
        <v>5952151.9141298579</v>
      </c>
      <c r="M18" s="9">
        <f t="shared" si="1"/>
        <v>5952151.9141298579</v>
      </c>
      <c r="N18" s="10">
        <f t="shared" si="2"/>
        <v>595215</v>
      </c>
      <c r="O18" s="9">
        <f t="shared" si="3"/>
        <v>113091</v>
      </c>
      <c r="P18" s="9">
        <f t="shared" si="4"/>
        <v>6065243</v>
      </c>
    </row>
    <row r="19" spans="1:16" x14ac:dyDescent="0.25">
      <c r="A19" s="5" t="s">
        <v>16</v>
      </c>
      <c r="B19" s="5" t="s">
        <v>17</v>
      </c>
      <c r="C19" s="241" t="s">
        <v>34</v>
      </c>
      <c r="D19" s="5" t="s">
        <v>19</v>
      </c>
      <c r="E19" s="7" t="s">
        <v>20</v>
      </c>
      <c r="F19" s="5" t="s">
        <v>21</v>
      </c>
      <c r="G19" s="8" t="s">
        <v>441</v>
      </c>
      <c r="H19" s="8">
        <v>30</v>
      </c>
      <c r="I19" s="8">
        <v>3</v>
      </c>
      <c r="J19" s="9">
        <f>(9.77*1750905)+1500</f>
        <v>17107841.849999998</v>
      </c>
      <c r="K19" s="9">
        <f>+J19*10%</f>
        <v>1710784.1849999998</v>
      </c>
      <c r="L19" s="9">
        <f t="shared" si="0"/>
        <v>18818626.034999996</v>
      </c>
      <c r="M19" s="9">
        <f t="shared" si="1"/>
        <v>56455878.104999989</v>
      </c>
      <c r="N19" s="10">
        <f t="shared" si="2"/>
        <v>5645588</v>
      </c>
      <c r="O19" s="9">
        <f t="shared" si="3"/>
        <v>1072662</v>
      </c>
      <c r="P19" s="9">
        <f t="shared" si="4"/>
        <v>57528540</v>
      </c>
    </row>
    <row r="20" spans="1:16" x14ac:dyDescent="0.25">
      <c r="A20" s="5" t="s">
        <v>16</v>
      </c>
      <c r="B20" s="5" t="s">
        <v>17</v>
      </c>
      <c r="C20" s="241" t="s">
        <v>34</v>
      </c>
      <c r="D20" s="5" t="s">
        <v>24</v>
      </c>
      <c r="E20" s="7" t="s">
        <v>22</v>
      </c>
      <c r="F20" s="5" t="s">
        <v>25</v>
      </c>
      <c r="G20" s="8" t="s">
        <v>441</v>
      </c>
      <c r="H20" s="8">
        <v>30</v>
      </c>
      <c r="I20" s="8">
        <v>2</v>
      </c>
      <c r="J20" s="9">
        <f>((((9.77*1750905)+1500)*0.4759)/13*12)/30*22</f>
        <v>5511251.7723424612</v>
      </c>
      <c r="K20" s="9">
        <f>+J20*0.08</f>
        <v>440900.14178739692</v>
      </c>
      <c r="L20" s="9">
        <f t="shared" si="0"/>
        <v>5952151.9141298579</v>
      </c>
      <c r="M20" s="9">
        <f t="shared" si="1"/>
        <v>11904303.828259716</v>
      </c>
      <c r="N20" s="10">
        <f t="shared" si="2"/>
        <v>1190430</v>
      </c>
      <c r="O20" s="9">
        <f t="shared" si="3"/>
        <v>226182</v>
      </c>
      <c r="P20" s="9">
        <f t="shared" si="4"/>
        <v>12130486</v>
      </c>
    </row>
    <row r="21" spans="1:16" x14ac:dyDescent="0.25">
      <c r="A21" s="5" t="s">
        <v>16</v>
      </c>
      <c r="B21" s="5" t="s">
        <v>17</v>
      </c>
      <c r="C21" s="241" t="s">
        <v>35</v>
      </c>
      <c r="D21" s="5" t="s">
        <v>19</v>
      </c>
      <c r="E21" s="7" t="s">
        <v>20</v>
      </c>
      <c r="F21" s="5" t="s">
        <v>21</v>
      </c>
      <c r="G21" s="8" t="s">
        <v>441</v>
      </c>
      <c r="H21" s="8">
        <v>30</v>
      </c>
      <c r="I21" s="8">
        <v>1</v>
      </c>
      <c r="J21" s="9">
        <f>(9.77*1750905)+1500</f>
        <v>17107841.849999998</v>
      </c>
      <c r="K21" s="9">
        <f t="shared" ref="K21:K24" si="7">+J21*10%</f>
        <v>1710784.1849999998</v>
      </c>
      <c r="L21" s="9">
        <f t="shared" si="0"/>
        <v>18818626.034999996</v>
      </c>
      <c r="M21" s="9">
        <f t="shared" si="1"/>
        <v>18818626.034999996</v>
      </c>
      <c r="N21" s="10">
        <f t="shared" si="2"/>
        <v>1881863</v>
      </c>
      <c r="O21" s="9">
        <f t="shared" si="3"/>
        <v>357554</v>
      </c>
      <c r="P21" s="9">
        <f t="shared" si="4"/>
        <v>19176180</v>
      </c>
    </row>
    <row r="22" spans="1:16" x14ac:dyDescent="0.25">
      <c r="A22" s="5" t="s">
        <v>16</v>
      </c>
      <c r="B22" s="5" t="s">
        <v>17</v>
      </c>
      <c r="C22" s="241" t="s">
        <v>36</v>
      </c>
      <c r="D22" s="5" t="s">
        <v>19</v>
      </c>
      <c r="E22" s="7" t="s">
        <v>20</v>
      </c>
      <c r="F22" s="5" t="s">
        <v>21</v>
      </c>
      <c r="G22" s="8" t="s">
        <v>441</v>
      </c>
      <c r="H22" s="8">
        <v>30</v>
      </c>
      <c r="I22" s="8">
        <v>1</v>
      </c>
      <c r="J22" s="9">
        <f>(9.77*1750905)+1500</f>
        <v>17107841.849999998</v>
      </c>
      <c r="K22" s="9">
        <f t="shared" si="7"/>
        <v>1710784.1849999998</v>
      </c>
      <c r="L22" s="9">
        <f t="shared" si="0"/>
        <v>18818626.034999996</v>
      </c>
      <c r="M22" s="9">
        <f t="shared" si="1"/>
        <v>18818626.034999996</v>
      </c>
      <c r="N22" s="10">
        <f t="shared" si="2"/>
        <v>1881863</v>
      </c>
      <c r="O22" s="9">
        <f t="shared" si="3"/>
        <v>357554</v>
      </c>
      <c r="P22" s="9">
        <f t="shared" si="4"/>
        <v>19176180</v>
      </c>
    </row>
    <row r="23" spans="1:16" x14ac:dyDescent="0.25">
      <c r="A23" s="5" t="s">
        <v>16</v>
      </c>
      <c r="B23" s="5" t="s">
        <v>17</v>
      </c>
      <c r="C23" s="241" t="s">
        <v>37</v>
      </c>
      <c r="D23" s="5" t="s">
        <v>19</v>
      </c>
      <c r="E23" s="7" t="s">
        <v>20</v>
      </c>
      <c r="F23" s="5" t="s">
        <v>21</v>
      </c>
      <c r="G23" s="8" t="s">
        <v>441</v>
      </c>
      <c r="H23" s="8">
        <v>30</v>
      </c>
      <c r="I23" s="8">
        <v>1</v>
      </c>
      <c r="J23" s="9">
        <f>(9.77*1750905)+1500</f>
        <v>17107841.849999998</v>
      </c>
      <c r="K23" s="9">
        <f t="shared" si="7"/>
        <v>1710784.1849999998</v>
      </c>
      <c r="L23" s="9">
        <f t="shared" si="0"/>
        <v>18818626.034999996</v>
      </c>
      <c r="M23" s="9">
        <f t="shared" si="1"/>
        <v>18818626.034999996</v>
      </c>
      <c r="N23" s="10">
        <f t="shared" si="2"/>
        <v>1881863</v>
      </c>
      <c r="O23" s="9">
        <f t="shared" si="3"/>
        <v>357554</v>
      </c>
      <c r="P23" s="9">
        <f t="shared" si="4"/>
        <v>19176180</v>
      </c>
    </row>
    <row r="24" spans="1:16" x14ac:dyDescent="0.25">
      <c r="A24" s="5" t="s">
        <v>16</v>
      </c>
      <c r="B24" s="5" t="s">
        <v>17</v>
      </c>
      <c r="C24" s="241" t="s">
        <v>38</v>
      </c>
      <c r="D24" s="5" t="s">
        <v>19</v>
      </c>
      <c r="E24" s="7" t="s">
        <v>20</v>
      </c>
      <c r="F24" s="5" t="s">
        <v>21</v>
      </c>
      <c r="G24" s="8" t="s">
        <v>441</v>
      </c>
      <c r="H24" s="8">
        <v>30</v>
      </c>
      <c r="I24" s="8">
        <v>6</v>
      </c>
      <c r="J24" s="9">
        <f>(9.77*1750905)+1500</f>
        <v>17107841.849999998</v>
      </c>
      <c r="K24" s="9">
        <f t="shared" si="7"/>
        <v>1710784.1849999998</v>
      </c>
      <c r="L24" s="9">
        <f t="shared" si="0"/>
        <v>18818626.034999996</v>
      </c>
      <c r="M24" s="9">
        <f t="shared" si="1"/>
        <v>112911756.20999998</v>
      </c>
      <c r="N24" s="10">
        <f t="shared" si="2"/>
        <v>11291176</v>
      </c>
      <c r="O24" s="9">
        <f t="shared" si="3"/>
        <v>2145323</v>
      </c>
      <c r="P24" s="9">
        <f t="shared" si="4"/>
        <v>115057079</v>
      </c>
    </row>
    <row r="25" spans="1:16" x14ac:dyDescent="0.25">
      <c r="A25" s="5" t="s">
        <v>16</v>
      </c>
      <c r="B25" s="5" t="s">
        <v>17</v>
      </c>
      <c r="C25" s="241" t="s">
        <v>38</v>
      </c>
      <c r="D25" s="5" t="s">
        <v>24</v>
      </c>
      <c r="E25" s="7" t="s">
        <v>22</v>
      </c>
      <c r="F25" s="5" t="s">
        <v>25</v>
      </c>
      <c r="G25" s="8" t="s">
        <v>441</v>
      </c>
      <c r="H25" s="8">
        <v>30</v>
      </c>
      <c r="I25" s="8">
        <v>3</v>
      </c>
      <c r="J25" s="9">
        <f>((((9.77*1750905)+1500)*0.4759)/13*12)/30*22</f>
        <v>5511251.7723424612</v>
      </c>
      <c r="K25" s="9">
        <f>+J25*0.08</f>
        <v>440900.14178739692</v>
      </c>
      <c r="L25" s="9">
        <f t="shared" si="0"/>
        <v>5952151.9141298579</v>
      </c>
      <c r="M25" s="9">
        <f t="shared" si="1"/>
        <v>17856455.742389575</v>
      </c>
      <c r="N25" s="10">
        <f t="shared" si="2"/>
        <v>1785646</v>
      </c>
      <c r="O25" s="9">
        <f t="shared" si="3"/>
        <v>339273</v>
      </c>
      <c r="P25" s="9">
        <f t="shared" si="4"/>
        <v>18195729</v>
      </c>
    </row>
    <row r="26" spans="1:16" x14ac:dyDescent="0.25">
      <c r="A26" s="5" t="s">
        <v>16</v>
      </c>
      <c r="B26" s="5" t="s">
        <v>17</v>
      </c>
      <c r="C26" s="241" t="s">
        <v>39</v>
      </c>
      <c r="D26" s="5" t="s">
        <v>19</v>
      </c>
      <c r="E26" s="7" t="s">
        <v>20</v>
      </c>
      <c r="F26" s="5" t="s">
        <v>21</v>
      </c>
      <c r="G26" s="8" t="s">
        <v>441</v>
      </c>
      <c r="H26" s="8">
        <v>30</v>
      </c>
      <c r="I26" s="8">
        <v>3</v>
      </c>
      <c r="J26" s="9">
        <f>(9.77*1750905)+1500</f>
        <v>17107841.849999998</v>
      </c>
      <c r="K26" s="9">
        <f>+J26*10%</f>
        <v>1710784.1849999998</v>
      </c>
      <c r="L26" s="9">
        <f t="shared" si="0"/>
        <v>18818626.034999996</v>
      </c>
      <c r="M26" s="9">
        <f t="shared" si="1"/>
        <v>56455878.104999989</v>
      </c>
      <c r="N26" s="10">
        <f t="shared" si="2"/>
        <v>5645588</v>
      </c>
      <c r="O26" s="9">
        <f t="shared" si="3"/>
        <v>1072662</v>
      </c>
      <c r="P26" s="9">
        <f t="shared" si="4"/>
        <v>57528540</v>
      </c>
    </row>
    <row r="27" spans="1:16" x14ac:dyDescent="0.25">
      <c r="A27" s="5" t="s">
        <v>16</v>
      </c>
      <c r="B27" s="5" t="s">
        <v>17</v>
      </c>
      <c r="C27" s="241" t="s">
        <v>39</v>
      </c>
      <c r="D27" s="5" t="s">
        <v>40</v>
      </c>
      <c r="E27" s="7" t="s">
        <v>22</v>
      </c>
      <c r="F27" s="5" t="s">
        <v>25</v>
      </c>
      <c r="G27" s="8" t="s">
        <v>441</v>
      </c>
      <c r="H27" s="8">
        <v>30</v>
      </c>
      <c r="I27" s="8">
        <v>1</v>
      </c>
      <c r="J27" s="9">
        <f>((((9.77*1750905)+1500)*0.4759)/13*12)/30*20</f>
        <v>5010228.8839476919</v>
      </c>
      <c r="K27" s="9">
        <f t="shared" ref="K27:K28" si="8">+J27*0.08</f>
        <v>400818.31071581534</v>
      </c>
      <c r="L27" s="9">
        <f t="shared" si="0"/>
        <v>5411047.1946635069</v>
      </c>
      <c r="M27" s="9">
        <f t="shared" si="1"/>
        <v>5411047.1946635069</v>
      </c>
      <c r="N27" s="10">
        <f t="shared" si="2"/>
        <v>541105</v>
      </c>
      <c r="O27" s="9">
        <f t="shared" si="3"/>
        <v>102810</v>
      </c>
      <c r="P27" s="9">
        <f t="shared" si="4"/>
        <v>5513857</v>
      </c>
    </row>
    <row r="28" spans="1:16" x14ac:dyDescent="0.25">
      <c r="A28" s="5" t="s">
        <v>16</v>
      </c>
      <c r="B28" s="5" t="s">
        <v>17</v>
      </c>
      <c r="C28" s="241" t="s">
        <v>41</v>
      </c>
      <c r="D28" s="5" t="s">
        <v>19</v>
      </c>
      <c r="E28" s="7" t="s">
        <v>22</v>
      </c>
      <c r="F28" s="5" t="s">
        <v>21</v>
      </c>
      <c r="G28" s="8" t="s">
        <v>441</v>
      </c>
      <c r="H28" s="8">
        <v>30</v>
      </c>
      <c r="I28" s="8">
        <v>1</v>
      </c>
      <c r="J28" s="9">
        <f>(9.77*1750905)+1500</f>
        <v>17107841.849999998</v>
      </c>
      <c r="K28" s="9">
        <f t="shared" si="8"/>
        <v>1368627.3479999998</v>
      </c>
      <c r="L28" s="9">
        <f t="shared" si="0"/>
        <v>18476469.197999999</v>
      </c>
      <c r="M28" s="9">
        <f t="shared" si="1"/>
        <v>18476469.197999999</v>
      </c>
      <c r="N28" s="10">
        <f t="shared" si="2"/>
        <v>1847647</v>
      </c>
      <c r="O28" s="9">
        <f t="shared" si="3"/>
        <v>351053</v>
      </c>
      <c r="P28" s="9">
        <f t="shared" si="4"/>
        <v>18827522</v>
      </c>
    </row>
    <row r="29" spans="1:16" x14ac:dyDescent="0.25">
      <c r="A29" s="5" t="s">
        <v>16</v>
      </c>
      <c r="B29" s="5" t="s">
        <v>42</v>
      </c>
      <c r="C29" s="241" t="s">
        <v>43</v>
      </c>
      <c r="D29" s="5" t="s">
        <v>19</v>
      </c>
      <c r="E29" s="7" t="s">
        <v>20</v>
      </c>
      <c r="F29" s="5" t="s">
        <v>21</v>
      </c>
      <c r="G29" s="8" t="s">
        <v>441</v>
      </c>
      <c r="H29" s="8">
        <v>30</v>
      </c>
      <c r="I29" s="8">
        <v>1</v>
      </c>
      <c r="J29" s="9">
        <f>(9.77*1750905)+1500</f>
        <v>17107841.849999998</v>
      </c>
      <c r="K29" s="9">
        <f>+J29*10%</f>
        <v>1710784.1849999998</v>
      </c>
      <c r="L29" s="9">
        <f t="shared" si="0"/>
        <v>18818626.034999996</v>
      </c>
      <c r="M29" s="9">
        <f t="shared" si="1"/>
        <v>18818626.034999996</v>
      </c>
      <c r="N29" s="10">
        <f t="shared" si="2"/>
        <v>1881863</v>
      </c>
      <c r="O29" s="9">
        <f t="shared" si="3"/>
        <v>357554</v>
      </c>
      <c r="P29" s="9">
        <f t="shared" si="4"/>
        <v>19176180</v>
      </c>
    </row>
    <row r="30" spans="1:16" ht="24" x14ac:dyDescent="0.25">
      <c r="A30" s="5" t="s">
        <v>44</v>
      </c>
      <c r="B30" s="5" t="s">
        <v>17</v>
      </c>
      <c r="C30" s="241" t="s">
        <v>45</v>
      </c>
      <c r="D30" s="5" t="s">
        <v>46</v>
      </c>
      <c r="E30" s="7" t="s">
        <v>20</v>
      </c>
      <c r="F30" s="5" t="s">
        <v>47</v>
      </c>
      <c r="G30" s="8" t="s">
        <v>441</v>
      </c>
      <c r="H30" s="8">
        <v>30</v>
      </c>
      <c r="I30" s="8">
        <v>1</v>
      </c>
      <c r="J30" s="9">
        <f>9.77*1750905+1500</f>
        <v>17107841.849999998</v>
      </c>
      <c r="K30" s="9">
        <f t="shared" ref="K30" si="9">+J30*10%</f>
        <v>1710784.1849999998</v>
      </c>
      <c r="L30" s="9">
        <f t="shared" si="0"/>
        <v>18818626.034999996</v>
      </c>
      <c r="M30" s="9">
        <f t="shared" si="1"/>
        <v>18818626.034999996</v>
      </c>
      <c r="N30" s="10">
        <f t="shared" si="2"/>
        <v>1881863</v>
      </c>
      <c r="O30" s="9">
        <f t="shared" si="3"/>
        <v>357554</v>
      </c>
      <c r="P30" s="9">
        <f t="shared" si="4"/>
        <v>19176180</v>
      </c>
    </row>
    <row r="31" spans="1:16" ht="24" x14ac:dyDescent="0.25">
      <c r="A31" s="5" t="s">
        <v>44</v>
      </c>
      <c r="B31" s="5" t="s">
        <v>17</v>
      </c>
      <c r="C31" s="241" t="s">
        <v>45</v>
      </c>
      <c r="D31" s="5" t="s">
        <v>19</v>
      </c>
      <c r="E31" s="7" t="s">
        <v>20</v>
      </c>
      <c r="F31" s="5" t="s">
        <v>21</v>
      </c>
      <c r="G31" s="8" t="s">
        <v>441</v>
      </c>
      <c r="H31" s="8">
        <v>30</v>
      </c>
      <c r="I31" s="247">
        <f>17-3</f>
        <v>14</v>
      </c>
      <c r="J31" s="9">
        <f>(9.77*1750905)+1500</f>
        <v>17107841.849999998</v>
      </c>
      <c r="K31" s="9">
        <f>+J31*10%</f>
        <v>1710784.1849999998</v>
      </c>
      <c r="L31" s="9">
        <f t="shared" si="0"/>
        <v>18818626.034999996</v>
      </c>
      <c r="M31" s="9">
        <f t="shared" si="1"/>
        <v>263460764.48999995</v>
      </c>
      <c r="N31" s="10">
        <f t="shared" si="2"/>
        <v>26346076</v>
      </c>
      <c r="O31" s="9">
        <f t="shared" si="3"/>
        <v>5005754</v>
      </c>
      <c r="P31" s="9">
        <f t="shared" si="4"/>
        <v>268466518</v>
      </c>
    </row>
    <row r="32" spans="1:16" ht="24" x14ac:dyDescent="0.25">
      <c r="A32" s="5" t="s">
        <v>44</v>
      </c>
      <c r="B32" s="5" t="s">
        <v>17</v>
      </c>
      <c r="C32" s="241" t="s">
        <v>45</v>
      </c>
      <c r="D32" s="5" t="s">
        <v>19</v>
      </c>
      <c r="E32" s="7" t="s">
        <v>22</v>
      </c>
      <c r="F32" s="5" t="s">
        <v>47</v>
      </c>
      <c r="G32" s="8" t="s">
        <v>441</v>
      </c>
      <c r="H32" s="8">
        <v>30</v>
      </c>
      <c r="I32" s="8">
        <v>8</v>
      </c>
      <c r="J32" s="9">
        <f>(9.77*1750905)+1500</f>
        <v>17107841.849999998</v>
      </c>
      <c r="K32" s="9">
        <f t="shared" ref="K32:K33" si="10">+J32*0.08</f>
        <v>1368627.3479999998</v>
      </c>
      <c r="L32" s="9">
        <f t="shared" si="0"/>
        <v>18476469.197999999</v>
      </c>
      <c r="M32" s="9">
        <f t="shared" si="1"/>
        <v>147811753.58399999</v>
      </c>
      <c r="N32" s="10">
        <f t="shared" si="2"/>
        <v>14781175</v>
      </c>
      <c r="O32" s="9">
        <f t="shared" si="3"/>
        <v>2808423</v>
      </c>
      <c r="P32" s="9">
        <f t="shared" si="4"/>
        <v>150620177</v>
      </c>
    </row>
    <row r="33" spans="1:16" ht="24" x14ac:dyDescent="0.25">
      <c r="A33" s="5" t="s">
        <v>44</v>
      </c>
      <c r="B33" s="5" t="s">
        <v>17</v>
      </c>
      <c r="C33" s="241" t="s">
        <v>45</v>
      </c>
      <c r="D33" s="5" t="s">
        <v>40</v>
      </c>
      <c r="E33" s="7" t="s">
        <v>22</v>
      </c>
      <c r="F33" s="5" t="s">
        <v>25</v>
      </c>
      <c r="G33" s="8" t="s">
        <v>441</v>
      </c>
      <c r="H33" s="8">
        <v>30</v>
      </c>
      <c r="I33" s="247">
        <f>21-5</f>
        <v>16</v>
      </c>
      <c r="J33" s="9">
        <f>((((9.77*1750905)+1500)*0.4759)/13*12)/30*20</f>
        <v>5010228.8839476919</v>
      </c>
      <c r="K33" s="9">
        <f t="shared" si="10"/>
        <v>400818.31071581534</v>
      </c>
      <c r="L33" s="9">
        <f t="shared" si="0"/>
        <v>5411047.1946635069</v>
      </c>
      <c r="M33" s="9">
        <f t="shared" si="1"/>
        <v>86576755.114616111</v>
      </c>
      <c r="N33" s="10">
        <f t="shared" si="2"/>
        <v>8657676</v>
      </c>
      <c r="O33" s="9">
        <f t="shared" si="3"/>
        <v>1644958</v>
      </c>
      <c r="P33" s="9">
        <f t="shared" si="4"/>
        <v>88221713</v>
      </c>
    </row>
    <row r="34" spans="1:16" ht="24" x14ac:dyDescent="0.25">
      <c r="A34" s="5" t="s">
        <v>44</v>
      </c>
      <c r="B34" s="5" t="s">
        <v>17</v>
      </c>
      <c r="C34" s="241" t="s">
        <v>48</v>
      </c>
      <c r="D34" s="5" t="s">
        <v>46</v>
      </c>
      <c r="E34" s="7" t="s">
        <v>20</v>
      </c>
      <c r="F34" s="5" t="s">
        <v>47</v>
      </c>
      <c r="G34" s="8" t="s">
        <v>441</v>
      </c>
      <c r="H34" s="8">
        <v>30</v>
      </c>
      <c r="I34" s="8">
        <v>1</v>
      </c>
      <c r="J34" s="9">
        <f>9.77*1750905+1500</f>
        <v>17107841.849999998</v>
      </c>
      <c r="K34" s="9">
        <f t="shared" ref="K34" si="11">+J34*10%</f>
        <v>1710784.1849999998</v>
      </c>
      <c r="L34" s="9">
        <f t="shared" si="0"/>
        <v>18818626.034999996</v>
      </c>
      <c r="M34" s="9">
        <f t="shared" si="1"/>
        <v>18818626.034999996</v>
      </c>
      <c r="N34" s="10">
        <f t="shared" si="2"/>
        <v>1881863</v>
      </c>
      <c r="O34" s="9">
        <f t="shared" si="3"/>
        <v>357554</v>
      </c>
      <c r="P34" s="9">
        <f t="shared" si="4"/>
        <v>19176180</v>
      </c>
    </row>
    <row r="35" spans="1:16" ht="24" x14ac:dyDescent="0.25">
      <c r="A35" s="5" t="s">
        <v>44</v>
      </c>
      <c r="B35" s="5" t="s">
        <v>17</v>
      </c>
      <c r="C35" s="241" t="s">
        <v>48</v>
      </c>
      <c r="D35" s="5" t="s">
        <v>19</v>
      </c>
      <c r="E35" s="7" t="s">
        <v>20</v>
      </c>
      <c r="F35" s="5" t="s">
        <v>21</v>
      </c>
      <c r="G35" s="8" t="s">
        <v>441</v>
      </c>
      <c r="H35" s="8">
        <v>30</v>
      </c>
      <c r="I35" s="8">
        <v>13</v>
      </c>
      <c r="J35" s="9">
        <f>(9.77*1750905)+1500</f>
        <v>17107841.849999998</v>
      </c>
      <c r="K35" s="9">
        <f>+J35*10%</f>
        <v>1710784.1849999998</v>
      </c>
      <c r="L35" s="9">
        <f t="shared" si="0"/>
        <v>18818626.034999996</v>
      </c>
      <c r="M35" s="9">
        <f t="shared" si="1"/>
        <v>244642138.45499995</v>
      </c>
      <c r="N35" s="10">
        <f t="shared" si="2"/>
        <v>24464214</v>
      </c>
      <c r="O35" s="9">
        <f t="shared" si="3"/>
        <v>4648201</v>
      </c>
      <c r="P35" s="9">
        <f t="shared" si="4"/>
        <v>249290339</v>
      </c>
    </row>
    <row r="36" spans="1:16" ht="24" x14ac:dyDescent="0.25">
      <c r="A36" s="5" t="s">
        <v>44</v>
      </c>
      <c r="B36" s="5" t="s">
        <v>17</v>
      </c>
      <c r="C36" s="241" t="s">
        <v>48</v>
      </c>
      <c r="D36" s="5" t="s">
        <v>19</v>
      </c>
      <c r="E36" s="7" t="s">
        <v>22</v>
      </c>
      <c r="F36" s="5" t="s">
        <v>47</v>
      </c>
      <c r="G36" s="8" t="s">
        <v>441</v>
      </c>
      <c r="H36" s="8">
        <v>30</v>
      </c>
      <c r="I36" s="8">
        <v>4</v>
      </c>
      <c r="J36" s="9">
        <f>(9.77*1750905)+1500</f>
        <v>17107841.849999998</v>
      </c>
      <c r="K36" s="9">
        <f t="shared" ref="K36:K37" si="12">+J36*0.08</f>
        <v>1368627.3479999998</v>
      </c>
      <c r="L36" s="9">
        <f t="shared" si="0"/>
        <v>18476469.197999999</v>
      </c>
      <c r="M36" s="9">
        <f t="shared" si="1"/>
        <v>73905876.791999996</v>
      </c>
      <c r="N36" s="10">
        <f t="shared" si="2"/>
        <v>7390588</v>
      </c>
      <c r="O36" s="9">
        <f t="shared" si="3"/>
        <v>1404212</v>
      </c>
      <c r="P36" s="9">
        <f t="shared" si="4"/>
        <v>75310089</v>
      </c>
    </row>
    <row r="37" spans="1:16" ht="24" x14ac:dyDescent="0.25">
      <c r="A37" s="5" t="s">
        <v>44</v>
      </c>
      <c r="B37" s="5" t="s">
        <v>17</v>
      </c>
      <c r="C37" s="241" t="s">
        <v>48</v>
      </c>
      <c r="D37" s="5" t="s">
        <v>40</v>
      </c>
      <c r="E37" s="7" t="s">
        <v>22</v>
      </c>
      <c r="F37" s="5" t="s">
        <v>25</v>
      </c>
      <c r="G37" s="8" t="s">
        <v>441</v>
      </c>
      <c r="H37" s="8">
        <v>30</v>
      </c>
      <c r="I37" s="247">
        <f>12-6</f>
        <v>6</v>
      </c>
      <c r="J37" s="253">
        <f>((((9.77*1750905)+1500)*0.4759)/13*12)/30*20</f>
        <v>5010228.8839476919</v>
      </c>
      <c r="K37" s="253">
        <f t="shared" si="12"/>
        <v>400818.31071581534</v>
      </c>
      <c r="L37" s="253">
        <f t="shared" si="0"/>
        <v>5411047.1946635069</v>
      </c>
      <c r="M37" s="253">
        <f t="shared" si="1"/>
        <v>32466283.167981043</v>
      </c>
      <c r="N37" s="254">
        <f t="shared" si="2"/>
        <v>3246628</v>
      </c>
      <c r="O37" s="253">
        <f t="shared" si="3"/>
        <v>616859</v>
      </c>
      <c r="P37" s="253">
        <f t="shared" si="4"/>
        <v>33083142</v>
      </c>
    </row>
    <row r="38" spans="1:16" ht="24" x14ac:dyDescent="0.25">
      <c r="A38" s="5" t="s">
        <v>44</v>
      </c>
      <c r="B38" s="5" t="s">
        <v>17</v>
      </c>
      <c r="C38" s="241" t="s">
        <v>49</v>
      </c>
      <c r="D38" s="5" t="s">
        <v>19</v>
      </c>
      <c r="E38" s="7" t="s">
        <v>20</v>
      </c>
      <c r="F38" s="5" t="s">
        <v>21</v>
      </c>
      <c r="G38" s="8" t="s">
        <v>441</v>
      </c>
      <c r="H38" s="8">
        <v>30</v>
      </c>
      <c r="I38" s="8">
        <v>3</v>
      </c>
      <c r="J38" s="9">
        <f>(9.77*1750905)+1500</f>
        <v>17107841.849999998</v>
      </c>
      <c r="K38" s="9">
        <f>+J38*10%</f>
        <v>1710784.1849999998</v>
      </c>
      <c r="L38" s="9">
        <f t="shared" si="0"/>
        <v>18818626.034999996</v>
      </c>
      <c r="M38" s="9">
        <f t="shared" si="1"/>
        <v>56455878.104999989</v>
      </c>
      <c r="N38" s="10">
        <f t="shared" si="2"/>
        <v>5645588</v>
      </c>
      <c r="O38" s="9">
        <f t="shared" si="3"/>
        <v>1072662</v>
      </c>
      <c r="P38" s="9">
        <f t="shared" si="4"/>
        <v>57528540</v>
      </c>
    </row>
    <row r="39" spans="1:16" ht="24" x14ac:dyDescent="0.25">
      <c r="A39" s="5" t="s">
        <v>44</v>
      </c>
      <c r="B39" s="5" t="s">
        <v>17</v>
      </c>
      <c r="C39" s="241" t="s">
        <v>49</v>
      </c>
      <c r="D39" s="5" t="s">
        <v>40</v>
      </c>
      <c r="E39" s="7" t="s">
        <v>22</v>
      </c>
      <c r="F39" s="5" t="s">
        <v>25</v>
      </c>
      <c r="G39" s="8" t="s">
        <v>441</v>
      </c>
      <c r="H39" s="8">
        <v>30</v>
      </c>
      <c r="I39" s="247">
        <f>8-1</f>
        <v>7</v>
      </c>
      <c r="J39" s="9">
        <f>((((9.77*1750905)+1500)*0.4759)/13*12)/30*20</f>
        <v>5010228.8839476919</v>
      </c>
      <c r="K39" s="9">
        <f>+J39*0.08</f>
        <v>400818.31071581534</v>
      </c>
      <c r="L39" s="9">
        <f t="shared" si="0"/>
        <v>5411047.1946635069</v>
      </c>
      <c r="M39" s="9">
        <f t="shared" si="1"/>
        <v>37877330.362644546</v>
      </c>
      <c r="N39" s="10">
        <f t="shared" si="2"/>
        <v>3787733</v>
      </c>
      <c r="O39" s="9">
        <f t="shared" si="3"/>
        <v>719669</v>
      </c>
      <c r="P39" s="9">
        <f t="shared" si="4"/>
        <v>38596999</v>
      </c>
    </row>
    <row r="40" spans="1:16" ht="24" x14ac:dyDescent="0.25">
      <c r="A40" s="5" t="s">
        <v>44</v>
      </c>
      <c r="B40" s="5" t="s">
        <v>17</v>
      </c>
      <c r="C40" s="241" t="s">
        <v>50</v>
      </c>
      <c r="D40" s="5" t="s">
        <v>19</v>
      </c>
      <c r="E40" s="7" t="s">
        <v>20</v>
      </c>
      <c r="F40" s="5" t="s">
        <v>21</v>
      </c>
      <c r="G40" s="8" t="s">
        <v>441</v>
      </c>
      <c r="H40" s="8">
        <v>30</v>
      </c>
      <c r="I40" s="8">
        <v>1</v>
      </c>
      <c r="J40" s="9">
        <f>(9.77*1750905)+1500</f>
        <v>17107841.849999998</v>
      </c>
      <c r="K40" s="9">
        <f>+J40*10%</f>
        <v>1710784.1849999998</v>
      </c>
      <c r="L40" s="9">
        <f t="shared" si="0"/>
        <v>18818626.034999996</v>
      </c>
      <c r="M40" s="9">
        <f t="shared" si="1"/>
        <v>18818626.034999996</v>
      </c>
      <c r="N40" s="10">
        <f t="shared" si="2"/>
        <v>1881863</v>
      </c>
      <c r="O40" s="9">
        <f t="shared" si="3"/>
        <v>357554</v>
      </c>
      <c r="P40" s="9">
        <f t="shared" si="4"/>
        <v>19176180</v>
      </c>
    </row>
    <row r="41" spans="1:16" ht="24" x14ac:dyDescent="0.25">
      <c r="A41" s="5" t="s">
        <v>44</v>
      </c>
      <c r="B41" s="5" t="s">
        <v>17</v>
      </c>
      <c r="C41" s="241" t="s">
        <v>50</v>
      </c>
      <c r="D41" s="5" t="s">
        <v>40</v>
      </c>
      <c r="E41" s="7" t="s">
        <v>22</v>
      </c>
      <c r="F41" s="5" t="s">
        <v>25</v>
      </c>
      <c r="G41" s="8" t="s">
        <v>441</v>
      </c>
      <c r="H41" s="8">
        <v>30</v>
      </c>
      <c r="I41" s="8">
        <v>1</v>
      </c>
      <c r="J41" s="9">
        <f>((((9.77*1750905)+1500)*0.4759)/13*12)/30*20</f>
        <v>5010228.8839476919</v>
      </c>
      <c r="K41" s="9">
        <f>+J41*0.08</f>
        <v>400818.31071581534</v>
      </c>
      <c r="L41" s="9">
        <f t="shared" si="0"/>
        <v>5411047.1946635069</v>
      </c>
      <c r="M41" s="9">
        <f t="shared" si="1"/>
        <v>5411047.1946635069</v>
      </c>
      <c r="N41" s="10">
        <f t="shared" si="2"/>
        <v>541105</v>
      </c>
      <c r="O41" s="9">
        <f t="shared" si="3"/>
        <v>102810</v>
      </c>
      <c r="P41" s="9">
        <f t="shared" si="4"/>
        <v>5513857</v>
      </c>
    </row>
    <row r="42" spans="1:16" ht="24" x14ac:dyDescent="0.25">
      <c r="A42" s="5" t="s">
        <v>44</v>
      </c>
      <c r="B42" s="5" t="s">
        <v>17</v>
      </c>
      <c r="C42" s="241" t="s">
        <v>51</v>
      </c>
      <c r="D42" s="5" t="s">
        <v>19</v>
      </c>
      <c r="E42" s="7" t="s">
        <v>20</v>
      </c>
      <c r="F42" s="5" t="s">
        <v>21</v>
      </c>
      <c r="G42" s="8" t="s">
        <v>441</v>
      </c>
      <c r="H42" s="8">
        <v>30</v>
      </c>
      <c r="I42" s="8">
        <v>1</v>
      </c>
      <c r="J42" s="9">
        <f>(9.77*1750905)+1500</f>
        <v>17107841.849999998</v>
      </c>
      <c r="K42" s="9">
        <f t="shared" ref="K42:K44" si="13">+J42*10%</f>
        <v>1710784.1849999998</v>
      </c>
      <c r="L42" s="9">
        <f t="shared" si="0"/>
        <v>18818626.034999996</v>
      </c>
      <c r="M42" s="9">
        <f t="shared" si="1"/>
        <v>18818626.034999996</v>
      </c>
      <c r="N42" s="10">
        <f t="shared" si="2"/>
        <v>1881863</v>
      </c>
      <c r="O42" s="9">
        <f t="shared" si="3"/>
        <v>357554</v>
      </c>
      <c r="P42" s="9">
        <f t="shared" si="4"/>
        <v>19176180</v>
      </c>
    </row>
    <row r="43" spans="1:16" ht="24" x14ac:dyDescent="0.25">
      <c r="A43" s="5" t="s">
        <v>44</v>
      </c>
      <c r="B43" s="5" t="s">
        <v>17</v>
      </c>
      <c r="C43" s="241" t="s">
        <v>52</v>
      </c>
      <c r="D43" s="5" t="s">
        <v>19</v>
      </c>
      <c r="E43" s="7" t="s">
        <v>20</v>
      </c>
      <c r="F43" s="5" t="s">
        <v>21</v>
      </c>
      <c r="G43" s="8" t="s">
        <v>441</v>
      </c>
      <c r="H43" s="8">
        <v>30</v>
      </c>
      <c r="I43" s="247">
        <f>9-4</f>
        <v>5</v>
      </c>
      <c r="J43" s="9">
        <f>(9.77*1750905)+1500</f>
        <v>17107841.849999998</v>
      </c>
      <c r="K43" s="9">
        <f t="shared" si="13"/>
        <v>1710784.1849999998</v>
      </c>
      <c r="L43" s="9">
        <f t="shared" si="0"/>
        <v>18818626.034999996</v>
      </c>
      <c r="M43" s="9">
        <f t="shared" si="1"/>
        <v>94093130.174999982</v>
      </c>
      <c r="N43" s="10">
        <f t="shared" si="2"/>
        <v>9409313</v>
      </c>
      <c r="O43" s="9">
        <f t="shared" si="3"/>
        <v>1787769</v>
      </c>
      <c r="P43" s="9">
        <f t="shared" si="4"/>
        <v>95880899</v>
      </c>
    </row>
    <row r="44" spans="1:16" ht="24" x14ac:dyDescent="0.25">
      <c r="A44" s="5" t="s">
        <v>44</v>
      </c>
      <c r="B44" s="5" t="s">
        <v>17</v>
      </c>
      <c r="C44" s="244" t="s">
        <v>53</v>
      </c>
      <c r="D44" s="245" t="s">
        <v>19</v>
      </c>
      <c r="E44" s="246" t="s">
        <v>20</v>
      </c>
      <c r="F44" s="245" t="s">
        <v>21</v>
      </c>
      <c r="G44" s="247" t="s">
        <v>441</v>
      </c>
      <c r="H44" s="247">
        <v>30</v>
      </c>
      <c r="I44" s="247">
        <v>1</v>
      </c>
      <c r="J44" s="248">
        <f>(9.77*1750905)+1500</f>
        <v>17107841.849999998</v>
      </c>
      <c r="K44" s="248">
        <f t="shared" si="13"/>
        <v>1710784.1849999998</v>
      </c>
      <c r="L44" s="248">
        <f t="shared" si="0"/>
        <v>18818626.034999996</v>
      </c>
      <c r="M44" s="248">
        <f t="shared" si="1"/>
        <v>18818626.034999996</v>
      </c>
      <c r="N44" s="249">
        <f t="shared" si="2"/>
        <v>1881863</v>
      </c>
      <c r="O44" s="248">
        <f t="shared" si="3"/>
        <v>357554</v>
      </c>
      <c r="P44" s="248">
        <f t="shared" si="4"/>
        <v>19176180</v>
      </c>
    </row>
    <row r="45" spans="1:16" ht="24" x14ac:dyDescent="0.25">
      <c r="A45" s="5" t="s">
        <v>44</v>
      </c>
      <c r="B45" s="5" t="s">
        <v>17</v>
      </c>
      <c r="C45" s="244" t="s">
        <v>53</v>
      </c>
      <c r="D45" s="245" t="s">
        <v>19</v>
      </c>
      <c r="E45" s="246" t="s">
        <v>22</v>
      </c>
      <c r="F45" s="245" t="s">
        <v>47</v>
      </c>
      <c r="G45" s="247" t="s">
        <v>441</v>
      </c>
      <c r="H45" s="247">
        <v>30</v>
      </c>
      <c r="I45" s="247">
        <v>1</v>
      </c>
      <c r="J45" s="248">
        <f>(9.77*1750905)+1500</f>
        <v>17107841.849999998</v>
      </c>
      <c r="K45" s="248">
        <f t="shared" ref="K45:K46" si="14">+J45*0.08</f>
        <v>1368627.3479999998</v>
      </c>
      <c r="L45" s="248">
        <f t="shared" si="0"/>
        <v>18476469.197999999</v>
      </c>
      <c r="M45" s="248">
        <f t="shared" si="1"/>
        <v>18476469.197999999</v>
      </c>
      <c r="N45" s="249">
        <f t="shared" si="2"/>
        <v>1847647</v>
      </c>
      <c r="O45" s="248">
        <f t="shared" si="3"/>
        <v>351053</v>
      </c>
      <c r="P45" s="248">
        <f t="shared" si="4"/>
        <v>18827522</v>
      </c>
    </row>
    <row r="46" spans="1:16" ht="24" x14ac:dyDescent="0.25">
      <c r="A46" s="5" t="s">
        <v>44</v>
      </c>
      <c r="B46" s="5" t="s">
        <v>17</v>
      </c>
      <c r="C46" s="244" t="s">
        <v>53</v>
      </c>
      <c r="D46" s="245" t="s">
        <v>40</v>
      </c>
      <c r="E46" s="246" t="s">
        <v>22</v>
      </c>
      <c r="F46" s="245" t="s">
        <v>25</v>
      </c>
      <c r="G46" s="247" t="s">
        <v>441</v>
      </c>
      <c r="H46" s="247">
        <v>30</v>
      </c>
      <c r="I46" s="247">
        <v>1</v>
      </c>
      <c r="J46" s="248">
        <f>((((9.77*1750905)+1500)*0.4759)/13*12)/30*20</f>
        <v>5010228.8839476919</v>
      </c>
      <c r="K46" s="248">
        <f t="shared" si="14"/>
        <v>400818.31071581534</v>
      </c>
      <c r="L46" s="248">
        <f t="shared" si="0"/>
        <v>5411047.1946635069</v>
      </c>
      <c r="M46" s="248">
        <f t="shared" si="1"/>
        <v>5411047.1946635069</v>
      </c>
      <c r="N46" s="249">
        <f t="shared" si="2"/>
        <v>541105</v>
      </c>
      <c r="O46" s="248">
        <f t="shared" si="3"/>
        <v>102810</v>
      </c>
      <c r="P46" s="248">
        <f t="shared" si="4"/>
        <v>5513857</v>
      </c>
    </row>
    <row r="47" spans="1:16" ht="24" x14ac:dyDescent="0.25">
      <c r="A47" s="5" t="s">
        <v>44</v>
      </c>
      <c r="B47" s="5" t="s">
        <v>17</v>
      </c>
      <c r="C47" s="244" t="s">
        <v>54</v>
      </c>
      <c r="D47" s="245" t="s">
        <v>19</v>
      </c>
      <c r="E47" s="246" t="s">
        <v>20</v>
      </c>
      <c r="F47" s="245" t="s">
        <v>21</v>
      </c>
      <c r="G47" s="247" t="s">
        <v>441</v>
      </c>
      <c r="H47" s="247">
        <v>30</v>
      </c>
      <c r="I47" s="247">
        <v>1</v>
      </c>
      <c r="J47" s="248">
        <f>(9.77*1750905)+1500</f>
        <v>17107841.849999998</v>
      </c>
      <c r="K47" s="248">
        <f>+J47*10%</f>
        <v>1710784.1849999998</v>
      </c>
      <c r="L47" s="248">
        <f t="shared" si="0"/>
        <v>18818626.034999996</v>
      </c>
      <c r="M47" s="248">
        <f t="shared" si="1"/>
        <v>18818626.034999996</v>
      </c>
      <c r="N47" s="249">
        <f t="shared" si="2"/>
        <v>1881863</v>
      </c>
      <c r="O47" s="248">
        <f t="shared" si="3"/>
        <v>357554</v>
      </c>
      <c r="P47" s="248">
        <f t="shared" si="4"/>
        <v>19176180</v>
      </c>
    </row>
    <row r="48" spans="1:16" ht="24" x14ac:dyDescent="0.25">
      <c r="A48" s="5" t="s">
        <v>44</v>
      </c>
      <c r="B48" s="5" t="s">
        <v>17</v>
      </c>
      <c r="C48" s="244" t="s">
        <v>54</v>
      </c>
      <c r="D48" s="245" t="s">
        <v>40</v>
      </c>
      <c r="E48" s="246" t="s">
        <v>22</v>
      </c>
      <c r="F48" s="245" t="s">
        <v>25</v>
      </c>
      <c r="G48" s="247" t="s">
        <v>441</v>
      </c>
      <c r="H48" s="247">
        <v>30</v>
      </c>
      <c r="I48" s="247">
        <v>1</v>
      </c>
      <c r="J48" s="248">
        <f>((((9.77*1750905)+1500)*0.4759)/13*12)/30*20</f>
        <v>5010228.8839476919</v>
      </c>
      <c r="K48" s="248">
        <f>+J48*0.08</f>
        <v>400818.31071581534</v>
      </c>
      <c r="L48" s="248">
        <f t="shared" si="0"/>
        <v>5411047.1946635069</v>
      </c>
      <c r="M48" s="248">
        <f t="shared" si="1"/>
        <v>5411047.1946635069</v>
      </c>
      <c r="N48" s="249">
        <f t="shared" si="2"/>
        <v>541105</v>
      </c>
      <c r="O48" s="248">
        <f t="shared" si="3"/>
        <v>102810</v>
      </c>
      <c r="P48" s="248">
        <f t="shared" si="4"/>
        <v>5513857</v>
      </c>
    </row>
    <row r="49" spans="1:16" ht="24" x14ac:dyDescent="0.25">
      <c r="A49" s="5" t="s">
        <v>44</v>
      </c>
      <c r="B49" s="5" t="s">
        <v>17</v>
      </c>
      <c r="C49" s="241" t="s">
        <v>55</v>
      </c>
      <c r="D49" s="5" t="s">
        <v>19</v>
      </c>
      <c r="E49" s="7" t="s">
        <v>20</v>
      </c>
      <c r="F49" s="5" t="s">
        <v>21</v>
      </c>
      <c r="G49" s="8" t="s">
        <v>441</v>
      </c>
      <c r="H49" s="8">
        <v>30</v>
      </c>
      <c r="I49" s="8">
        <v>1</v>
      </c>
      <c r="J49" s="9">
        <f>(9.77*1750905)+1500</f>
        <v>17107841.849999998</v>
      </c>
      <c r="K49" s="9">
        <f t="shared" ref="K49:K51" si="15">+J49*10%</f>
        <v>1710784.1849999998</v>
      </c>
      <c r="L49" s="9">
        <f t="shared" si="0"/>
        <v>18818626.034999996</v>
      </c>
      <c r="M49" s="9">
        <f t="shared" si="1"/>
        <v>18818626.034999996</v>
      </c>
      <c r="N49" s="10">
        <f t="shared" si="2"/>
        <v>1881863</v>
      </c>
      <c r="O49" s="9">
        <f t="shared" si="3"/>
        <v>357554</v>
      </c>
      <c r="P49" s="9">
        <f t="shared" si="4"/>
        <v>19176180</v>
      </c>
    </row>
    <row r="50" spans="1:16" ht="24" x14ac:dyDescent="0.25">
      <c r="A50" s="5" t="s">
        <v>44</v>
      </c>
      <c r="B50" s="5" t="s">
        <v>17</v>
      </c>
      <c r="C50" s="241" t="s">
        <v>56</v>
      </c>
      <c r="D50" s="5" t="s">
        <v>19</v>
      </c>
      <c r="E50" s="7" t="s">
        <v>20</v>
      </c>
      <c r="F50" s="5" t="s">
        <v>21</v>
      </c>
      <c r="G50" s="8" t="s">
        <v>441</v>
      </c>
      <c r="H50" s="8">
        <v>30</v>
      </c>
      <c r="I50" s="8">
        <v>3</v>
      </c>
      <c r="J50" s="9">
        <f>(9.77*1750905)+1500</f>
        <v>17107841.849999998</v>
      </c>
      <c r="K50" s="9">
        <f t="shared" si="15"/>
        <v>1710784.1849999998</v>
      </c>
      <c r="L50" s="9">
        <f t="shared" si="0"/>
        <v>18818626.034999996</v>
      </c>
      <c r="M50" s="9">
        <f t="shared" si="1"/>
        <v>56455878.104999989</v>
      </c>
      <c r="N50" s="10">
        <f t="shared" si="2"/>
        <v>5645588</v>
      </c>
      <c r="O50" s="9">
        <f t="shared" si="3"/>
        <v>1072662</v>
      </c>
      <c r="P50" s="9">
        <f t="shared" si="4"/>
        <v>57528540</v>
      </c>
    </row>
    <row r="51" spans="1:16" ht="24" x14ac:dyDescent="0.25">
      <c r="A51" s="5" t="s">
        <v>44</v>
      </c>
      <c r="B51" s="5" t="s">
        <v>17</v>
      </c>
      <c r="C51" s="241" t="s">
        <v>57</v>
      </c>
      <c r="D51" s="5" t="s">
        <v>19</v>
      </c>
      <c r="E51" s="7" t="s">
        <v>20</v>
      </c>
      <c r="F51" s="5" t="s">
        <v>21</v>
      </c>
      <c r="G51" s="8" t="s">
        <v>441</v>
      </c>
      <c r="H51" s="8">
        <v>30</v>
      </c>
      <c r="I51" s="8">
        <v>3</v>
      </c>
      <c r="J51" s="9">
        <f>(9.77*1750905)+1500</f>
        <v>17107841.849999998</v>
      </c>
      <c r="K51" s="9">
        <f t="shared" si="15"/>
        <v>1710784.1849999998</v>
      </c>
      <c r="L51" s="9">
        <f t="shared" si="0"/>
        <v>18818626.034999996</v>
      </c>
      <c r="M51" s="9">
        <f t="shared" si="1"/>
        <v>56455878.104999989</v>
      </c>
      <c r="N51" s="10">
        <f t="shared" si="2"/>
        <v>5645588</v>
      </c>
      <c r="O51" s="9">
        <f t="shared" si="3"/>
        <v>1072662</v>
      </c>
      <c r="P51" s="9">
        <f t="shared" si="4"/>
        <v>57528540</v>
      </c>
    </row>
    <row r="52" spans="1:16" ht="24" x14ac:dyDescent="0.25">
      <c r="A52" s="5" t="s">
        <v>44</v>
      </c>
      <c r="B52" s="5" t="s">
        <v>17</v>
      </c>
      <c r="C52" s="241" t="s">
        <v>57</v>
      </c>
      <c r="D52" s="5" t="s">
        <v>40</v>
      </c>
      <c r="E52" s="7" t="s">
        <v>22</v>
      </c>
      <c r="F52" s="5" t="s">
        <v>25</v>
      </c>
      <c r="G52" s="8" t="s">
        <v>441</v>
      </c>
      <c r="H52" s="8">
        <v>30</v>
      </c>
      <c r="I52" s="8">
        <v>2</v>
      </c>
      <c r="J52" s="9">
        <f>((((9.77*1750905)+1500)*0.4759)/13*12)/30*20</f>
        <v>5010228.8839476919</v>
      </c>
      <c r="K52" s="9">
        <f>+J52*0.08</f>
        <v>400818.31071581534</v>
      </c>
      <c r="L52" s="9">
        <f t="shared" si="0"/>
        <v>5411047.1946635069</v>
      </c>
      <c r="M52" s="9">
        <f t="shared" si="1"/>
        <v>10822094.389327014</v>
      </c>
      <c r="N52" s="10">
        <f t="shared" si="2"/>
        <v>1082209</v>
      </c>
      <c r="O52" s="9">
        <f t="shared" si="3"/>
        <v>205620</v>
      </c>
      <c r="P52" s="9">
        <f t="shared" si="4"/>
        <v>11027714</v>
      </c>
    </row>
    <row r="53" spans="1:16" ht="24" x14ac:dyDescent="0.25">
      <c r="A53" s="5" t="s">
        <v>44</v>
      </c>
      <c r="B53" s="5" t="s">
        <v>17</v>
      </c>
      <c r="C53" s="241" t="s">
        <v>58</v>
      </c>
      <c r="D53" s="5" t="s">
        <v>19</v>
      </c>
      <c r="E53" s="7" t="s">
        <v>20</v>
      </c>
      <c r="F53" s="5" t="s">
        <v>21</v>
      </c>
      <c r="G53" s="8" t="s">
        <v>441</v>
      </c>
      <c r="H53" s="8">
        <v>30</v>
      </c>
      <c r="I53" s="8">
        <v>1</v>
      </c>
      <c r="J53" s="9">
        <f>(9.77*1750905)+1500</f>
        <v>17107841.849999998</v>
      </c>
      <c r="K53" s="9">
        <f>+J53*10%</f>
        <v>1710784.1849999998</v>
      </c>
      <c r="L53" s="9">
        <f t="shared" si="0"/>
        <v>18818626.034999996</v>
      </c>
      <c r="M53" s="9">
        <f t="shared" si="1"/>
        <v>18818626.034999996</v>
      </c>
      <c r="N53" s="10">
        <f t="shared" si="2"/>
        <v>1881863</v>
      </c>
      <c r="O53" s="9">
        <f t="shared" si="3"/>
        <v>357554</v>
      </c>
      <c r="P53" s="9">
        <f t="shared" si="4"/>
        <v>19176180</v>
      </c>
    </row>
    <row r="54" spans="1:16" ht="15.75" customHeight="1" x14ac:dyDescent="0.25">
      <c r="A54" s="261" t="s">
        <v>59</v>
      </c>
      <c r="B54" s="259"/>
      <c r="C54" s="259"/>
      <c r="D54" s="259"/>
      <c r="E54" s="259"/>
      <c r="F54" s="259"/>
      <c r="G54" s="259"/>
      <c r="H54" s="260"/>
      <c r="I54" s="12">
        <f t="shared" ref="I54:P54" si="16">SUM(I3:I53)</f>
        <v>155</v>
      </c>
      <c r="J54" s="13">
        <f t="shared" si="16"/>
        <v>682946310.00032163</v>
      </c>
      <c r="K54" s="13">
        <f t="shared" si="16"/>
        <v>64900409.910025731</v>
      </c>
      <c r="L54" s="13">
        <f t="shared" si="16"/>
        <v>747846719.91034663</v>
      </c>
      <c r="M54" s="13">
        <f t="shared" si="16"/>
        <v>2210892889.2825603</v>
      </c>
      <c r="N54" s="13">
        <f t="shared" si="16"/>
        <v>221089297</v>
      </c>
      <c r="O54" s="13">
        <f t="shared" si="16"/>
        <v>42006971</v>
      </c>
      <c r="P54" s="13">
        <f t="shared" si="16"/>
        <v>2252899857</v>
      </c>
    </row>
    <row r="55" spans="1:16" ht="15.75" customHeight="1" thickBot="1" x14ac:dyDescent="0.3">
      <c r="A55" s="14"/>
      <c r="B55" s="242"/>
      <c r="C55" s="242"/>
      <c r="D55" s="242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242"/>
      <c r="C56" s="242"/>
      <c r="D56" s="242"/>
      <c r="E56" s="14"/>
      <c r="F56" s="14"/>
      <c r="G56" s="14"/>
      <c r="H56" s="14"/>
      <c r="I56" s="14"/>
      <c r="K56" s="262" t="s">
        <v>426</v>
      </c>
      <c r="L56" s="263"/>
      <c r="M56" s="264"/>
      <c r="N56" s="15"/>
      <c r="O56" s="15"/>
      <c r="P56" s="15"/>
    </row>
    <row r="57" spans="1:16" ht="15.75" customHeight="1" x14ac:dyDescent="0.25">
      <c r="A57" s="14"/>
      <c r="B57" s="242"/>
      <c r="C57" s="242"/>
      <c r="D57" s="242"/>
      <c r="E57" s="14"/>
      <c r="F57" s="14"/>
      <c r="G57" s="14"/>
      <c r="H57" s="14"/>
      <c r="I57" s="14"/>
      <c r="K57" s="193" t="s">
        <v>60</v>
      </c>
      <c r="L57" s="16"/>
      <c r="M57" s="194">
        <f>M54</f>
        <v>2210892889.2825603</v>
      </c>
      <c r="N57" s="15"/>
      <c r="O57" s="115"/>
      <c r="P57" s="115">
        <f>P54-'[1]Mayo 2026'!$P$54</f>
        <v>0</v>
      </c>
    </row>
    <row r="58" spans="1:16" ht="15.75" customHeight="1" x14ac:dyDescent="0.25">
      <c r="A58" s="14"/>
      <c r="B58" s="242"/>
      <c r="C58" s="242"/>
      <c r="D58" s="242"/>
      <c r="E58" s="14"/>
      <c r="F58" s="14"/>
      <c r="G58" s="14"/>
      <c r="H58" s="14"/>
      <c r="I58" s="14"/>
      <c r="J58" s="214"/>
      <c r="K58" s="193" t="s">
        <v>61</v>
      </c>
      <c r="L58" s="16"/>
      <c r="M58" s="194">
        <f>O54</f>
        <v>42006971</v>
      </c>
      <c r="N58" s="15"/>
      <c r="O58" s="115"/>
      <c r="P58" s="15"/>
    </row>
    <row r="59" spans="1:16" ht="15.75" customHeight="1" thickBot="1" x14ac:dyDescent="0.3">
      <c r="A59" s="14"/>
      <c r="B59" s="242"/>
      <c r="C59" s="242"/>
      <c r="D59" s="242"/>
      <c r="E59" s="14"/>
      <c r="F59" s="14"/>
      <c r="G59" s="14"/>
      <c r="H59" s="14"/>
      <c r="I59" s="14"/>
      <c r="J59" s="214"/>
      <c r="K59" s="195" t="s">
        <v>62</v>
      </c>
      <c r="L59" s="196"/>
      <c r="M59" s="197">
        <f>P54</f>
        <v>2252899857</v>
      </c>
      <c r="N59" s="15"/>
      <c r="O59" s="15"/>
      <c r="P59" s="15"/>
    </row>
    <row r="60" spans="1:16" ht="15.75" customHeight="1" thickBot="1" x14ac:dyDescent="0.3">
      <c r="A60" s="14"/>
      <c r="B60" s="242"/>
      <c r="C60" s="242"/>
      <c r="D60" s="242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242"/>
      <c r="C61" s="242"/>
      <c r="D61" s="242"/>
      <c r="E61" s="14"/>
      <c r="F61" s="14"/>
      <c r="G61" s="14"/>
      <c r="H61" s="14"/>
      <c r="I61" s="14"/>
      <c r="K61" s="265" t="s">
        <v>430</v>
      </c>
      <c r="L61" s="266"/>
      <c r="M61" s="267"/>
      <c r="N61" s="15"/>
      <c r="O61" s="15"/>
      <c r="P61" s="15"/>
    </row>
    <row r="62" spans="1:16" ht="15.75" customHeight="1" x14ac:dyDescent="0.25">
      <c r="A62" s="14"/>
      <c r="B62" s="242"/>
      <c r="C62" s="242"/>
      <c r="D62" s="242"/>
      <c r="E62" s="14"/>
      <c r="F62" s="14"/>
      <c r="G62" s="14"/>
      <c r="H62" s="14"/>
      <c r="I62" s="14"/>
      <c r="K62" s="193" t="s">
        <v>60</v>
      </c>
      <c r="L62" s="210"/>
      <c r="M62" s="211">
        <v>1718258</v>
      </c>
      <c r="N62" s="15"/>
      <c r="O62" s="15"/>
    </row>
    <row r="63" spans="1:16" ht="15.75" customHeight="1" x14ac:dyDescent="0.25">
      <c r="A63" s="14"/>
      <c r="B63" s="242"/>
      <c r="C63" s="242"/>
      <c r="D63" s="242"/>
      <c r="E63" s="14"/>
      <c r="F63" s="14"/>
      <c r="G63" s="14"/>
      <c r="H63" s="14"/>
      <c r="I63" s="14"/>
      <c r="K63" s="193" t="s">
        <v>61</v>
      </c>
      <c r="L63" s="210"/>
      <c r="M63" s="211">
        <f>+M62*1.9/100</f>
        <v>32646.901999999998</v>
      </c>
      <c r="N63" s="15"/>
      <c r="O63" s="15"/>
    </row>
    <row r="64" spans="1:16" ht="15.75" customHeight="1" thickBot="1" x14ac:dyDescent="0.3">
      <c r="A64" s="14"/>
      <c r="B64" s="242"/>
      <c r="C64" s="242"/>
      <c r="D64" s="242"/>
      <c r="E64" s="14"/>
      <c r="F64" s="14"/>
      <c r="G64" s="14"/>
      <c r="H64" s="14"/>
      <c r="I64" s="14"/>
      <c r="K64" s="195" t="s">
        <v>62</v>
      </c>
      <c r="L64" s="212"/>
      <c r="M64" s="213">
        <f>+M62+M63</f>
        <v>1750904.902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242"/>
      <c r="C66" s="242"/>
      <c r="D66" s="242"/>
      <c r="E66" s="14"/>
      <c r="F66" s="14"/>
      <c r="G66" s="14"/>
      <c r="H66" s="14"/>
      <c r="I66" s="14"/>
      <c r="K66" s="198" t="s">
        <v>431</v>
      </c>
      <c r="L66" s="199"/>
      <c r="M66" s="200">
        <f>+M59-M64</f>
        <v>2251148952.098</v>
      </c>
      <c r="N66" s="115"/>
      <c r="O66" s="15"/>
      <c r="P66" s="15"/>
    </row>
    <row r="67" spans="1:16" ht="15.75" customHeight="1" x14ac:dyDescent="0.25">
      <c r="A67" s="14"/>
      <c r="B67" s="242"/>
      <c r="C67" s="242"/>
      <c r="D67" s="242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68" t="s">
        <v>63</v>
      </c>
      <c r="B68" s="259"/>
      <c r="C68" s="259"/>
      <c r="D68" s="259"/>
      <c r="E68" s="259"/>
      <c r="F68" s="259"/>
      <c r="G68" s="259"/>
      <c r="H68" s="259"/>
      <c r="I68" s="259"/>
      <c r="J68" s="259"/>
      <c r="K68" s="259"/>
      <c r="L68" s="259"/>
      <c r="M68" s="259"/>
      <c r="N68" s="259"/>
      <c r="O68" s="259"/>
      <c r="P68" s="260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241" t="s">
        <v>65</v>
      </c>
      <c r="D70" s="5" t="s">
        <v>19</v>
      </c>
      <c r="E70" s="7" t="s">
        <v>20</v>
      </c>
      <c r="F70" s="5"/>
      <c r="G70" s="8" t="s">
        <v>432</v>
      </c>
      <c r="H70" s="8">
        <v>30</v>
      </c>
      <c r="I70" s="8">
        <v>5</v>
      </c>
      <c r="J70" s="9">
        <f>9.77*1750905+1500</f>
        <v>17107841.849999998</v>
      </c>
      <c r="K70" s="9">
        <f>+J70*0.1</f>
        <v>1710784.1849999998</v>
      </c>
      <c r="L70" s="9">
        <f>(J70+K70)/30*H70</f>
        <v>18818626.034999996</v>
      </c>
      <c r="M70" s="9">
        <f>L70*I70</f>
        <v>94093130.174999982</v>
      </c>
      <c r="N70" s="10">
        <f>ROUND(M70*10%,0)</f>
        <v>9409313</v>
      </c>
      <c r="O70" s="9">
        <f t="shared" ref="O70:O72" si="17">+N70*19%</f>
        <v>1787769.47</v>
      </c>
      <c r="P70" s="9">
        <f>+ROUND(M70+O70,0)</f>
        <v>95880900</v>
      </c>
    </row>
    <row r="71" spans="1:16" ht="15.75" customHeight="1" x14ac:dyDescent="0.25">
      <c r="A71" s="5" t="s">
        <v>16</v>
      </c>
      <c r="B71" s="5" t="s">
        <v>64</v>
      </c>
      <c r="C71" s="241" t="s">
        <v>65</v>
      </c>
      <c r="D71" s="5" t="s">
        <v>19</v>
      </c>
      <c r="E71" s="7" t="s">
        <v>22</v>
      </c>
      <c r="F71" s="5"/>
      <c r="G71" s="8" t="s">
        <v>432</v>
      </c>
      <c r="H71" s="8">
        <v>30</v>
      </c>
      <c r="I71" s="8">
        <v>1</v>
      </c>
      <c r="J71" s="9">
        <f>9.77*1750905+1500</f>
        <v>17107841.849999998</v>
      </c>
      <c r="K71" s="9">
        <f>+J71*0.08</f>
        <v>1368627.3479999998</v>
      </c>
      <c r="L71" s="9">
        <f t="shared" ref="L71" si="18">(J71+K71)/30*H71</f>
        <v>18476469.197999999</v>
      </c>
      <c r="M71" s="9">
        <f>L71*I71</f>
        <v>18476469.197999999</v>
      </c>
      <c r="N71" s="10">
        <f t="shared" ref="N71:N72" si="19">+M71*10%</f>
        <v>1847646.9198</v>
      </c>
      <c r="O71" s="9">
        <f t="shared" si="17"/>
        <v>351052.91476200003</v>
      </c>
      <c r="P71" s="9">
        <f t="shared" ref="P71:P72" si="20">+ROUND(M71+O71,0)</f>
        <v>18827522</v>
      </c>
    </row>
    <row r="72" spans="1:16" ht="15.75" customHeight="1" x14ac:dyDescent="0.25">
      <c r="A72" s="5" t="s">
        <v>16</v>
      </c>
      <c r="B72" s="5" t="s">
        <v>64</v>
      </c>
      <c r="C72" s="241" t="s">
        <v>65</v>
      </c>
      <c r="D72" s="5" t="s">
        <v>40</v>
      </c>
      <c r="E72" s="7" t="s">
        <v>22</v>
      </c>
      <c r="F72" s="5"/>
      <c r="G72" s="8" t="s">
        <v>432</v>
      </c>
      <c r="H72" s="8">
        <v>30</v>
      </c>
      <c r="I72" s="8">
        <v>1</v>
      </c>
      <c r="J72" s="9">
        <f>((((9.77*1750905)+1500)*0.4759)/13*12)/30*20</f>
        <v>5010228.8839476919</v>
      </c>
      <c r="K72" s="9">
        <f>+J72*0.08</f>
        <v>400818.31071581534</v>
      </c>
      <c r="L72" s="9">
        <f>(J72+K72)/30*H72</f>
        <v>5411047.1946635069</v>
      </c>
      <c r="M72" s="9">
        <f>L72*I72</f>
        <v>5411047.1946635069</v>
      </c>
      <c r="N72" s="10">
        <f t="shared" si="19"/>
        <v>541104.71946635074</v>
      </c>
      <c r="O72" s="9">
        <f t="shared" si="17"/>
        <v>102809.89669860664</v>
      </c>
      <c r="P72" s="9">
        <f t="shared" si="20"/>
        <v>5513857</v>
      </c>
    </row>
    <row r="73" spans="1:16" ht="15.75" customHeight="1" x14ac:dyDescent="0.25">
      <c r="A73" s="261" t="s">
        <v>59</v>
      </c>
      <c r="B73" s="259"/>
      <c r="C73" s="259"/>
      <c r="D73" s="259"/>
      <c r="E73" s="259"/>
      <c r="F73" s="259"/>
      <c r="G73" s="259"/>
      <c r="H73" s="260"/>
      <c r="I73" s="192">
        <f t="shared" ref="I73:P73" si="21">I70+I71+I72</f>
        <v>7</v>
      </c>
      <c r="J73" s="12">
        <f t="shared" si="21"/>
        <v>39225912.583947688</v>
      </c>
      <c r="K73" s="12">
        <f t="shared" si="21"/>
        <v>3480229.8437158153</v>
      </c>
      <c r="L73" s="12">
        <f t="shared" si="21"/>
        <v>42706142.427663505</v>
      </c>
      <c r="M73" s="12">
        <f t="shared" si="21"/>
        <v>117980646.56766349</v>
      </c>
      <c r="N73" s="12">
        <f t="shared" si="21"/>
        <v>11798064.639266351</v>
      </c>
      <c r="O73" s="12">
        <f t="shared" si="21"/>
        <v>2241632.2814606065</v>
      </c>
      <c r="P73" s="12">
        <f t="shared" si="21"/>
        <v>120222279</v>
      </c>
    </row>
    <row r="74" spans="1:16" ht="15.75" customHeight="1" x14ac:dyDescent="0.25">
      <c r="A74" s="14"/>
      <c r="B74" s="242"/>
      <c r="C74" s="242"/>
      <c r="D74" s="242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</sheetData>
  <autoFilter ref="A2:P54" xr:uid="{00000000-0001-0000-0200-000000000000}"/>
  <mergeCells count="6">
    <mergeCell ref="A1:P1"/>
    <mergeCell ref="A54:H54"/>
    <mergeCell ref="K56:M56"/>
    <mergeCell ref="K61:M61"/>
    <mergeCell ref="A68:P68"/>
    <mergeCell ref="A73:H73"/>
  </mergeCells>
  <pageMargins left="0.31496062992125984" right="0.31496062992125984" top="0.35433070866141736" bottom="0.35433070866141736" header="0" footer="0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646D0-088F-4E54-ABF4-C081D3681154}">
  <dimension ref="A1:S97"/>
  <sheetViews>
    <sheetView showGridLines="0" topLeftCell="H1" zoomScaleNormal="85" workbookViewId="0">
      <pane ySplit="2" topLeftCell="A3" activePane="bottomLeft" state="frozen"/>
      <selection activeCell="M54" sqref="M54"/>
      <selection pane="bottomLeft" sqref="A1:P1"/>
    </sheetView>
  </sheetViews>
  <sheetFormatPr baseColWidth="10" defaultColWidth="14.42578125" defaultRowHeight="15" customHeight="1" x14ac:dyDescent="0.25"/>
  <cols>
    <col min="1" max="1" width="21.140625" customWidth="1"/>
    <col min="2" max="2" width="24" style="218" customWidth="1"/>
    <col min="3" max="3" width="44.42578125" style="218" customWidth="1"/>
    <col min="4" max="4" width="39.42578125" style="218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8" ht="50.25" customHeight="1" x14ac:dyDescent="0.25">
      <c r="A1" s="258" t="s">
        <v>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60"/>
    </row>
    <row r="2" spans="1:18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216" t="s">
        <v>433</v>
      </c>
      <c r="R2" s="216" t="s">
        <v>434</v>
      </c>
    </row>
    <row r="3" spans="1:18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441</v>
      </c>
      <c r="H3" s="8">
        <v>30</v>
      </c>
      <c r="I3" s="8">
        <v>3</v>
      </c>
      <c r="J3" s="9">
        <f>(9.77*1750905)+1500</f>
        <v>17107841.849999998</v>
      </c>
      <c r="K3" s="9">
        <f>+J3*10%</f>
        <v>1710784.1849999998</v>
      </c>
      <c r="L3" s="9">
        <f>(J3+K3)/30*H3</f>
        <v>18818626.034999996</v>
      </c>
      <c r="M3" s="9">
        <f>+L3*I3</f>
        <v>56455878.104999989</v>
      </c>
      <c r="N3" s="10">
        <f>ROUND(M3*10%,0)</f>
        <v>5645588</v>
      </c>
      <c r="O3" s="9">
        <f>ROUND(N3*19%,0)</f>
        <v>1072662</v>
      </c>
      <c r="P3" s="9">
        <f>+ROUND(M3+O3,0)</f>
        <v>57528540</v>
      </c>
      <c r="Q3" s="217">
        <f t="shared" ref="Q3:Q9" si="0">P3</f>
        <v>57528540</v>
      </c>
      <c r="R3" s="218"/>
    </row>
    <row r="4" spans="1:18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441</v>
      </c>
      <c r="H4" s="8">
        <v>30</v>
      </c>
      <c r="I4" s="8">
        <v>1</v>
      </c>
      <c r="J4" s="9">
        <f>(9.77*1750905)+1500</f>
        <v>17107841.849999998</v>
      </c>
      <c r="K4" s="9">
        <f>+J4*0.08</f>
        <v>1368627.3479999998</v>
      </c>
      <c r="L4" s="9">
        <f t="shared" ref="L4:L53" si="1">(J4+K4)/30*H4</f>
        <v>18476469.197999999</v>
      </c>
      <c r="M4" s="9">
        <f t="shared" ref="M4:M53" si="2">+L4*I4</f>
        <v>18476469.197999999</v>
      </c>
      <c r="N4" s="10">
        <f t="shared" ref="N4:N53" si="3">ROUND(M4*10%,0)</f>
        <v>1847647</v>
      </c>
      <c r="O4" s="9">
        <f t="shared" ref="O4:O53" si="4">ROUND(N4*19%,0)</f>
        <v>351053</v>
      </c>
      <c r="P4" s="9">
        <f t="shared" ref="P4:P53" si="5">+ROUND(M4+O4,0)</f>
        <v>18827522</v>
      </c>
      <c r="Q4" s="215">
        <f t="shared" si="0"/>
        <v>18827522</v>
      </c>
    </row>
    <row r="5" spans="1:18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441</v>
      </c>
      <c r="H5" s="8">
        <v>30</v>
      </c>
      <c r="I5" s="8">
        <v>1</v>
      </c>
      <c r="J5" s="9">
        <f>((((9.77*1750905)+1500)*0.4759)/13*12)/30*22</f>
        <v>5511251.7723424612</v>
      </c>
      <c r="K5" s="9">
        <f>+J5*0.08</f>
        <v>440900.14178739692</v>
      </c>
      <c r="L5" s="9">
        <f t="shared" si="1"/>
        <v>5952151.9141298579</v>
      </c>
      <c r="M5" s="9">
        <f t="shared" si="2"/>
        <v>5952151.9141298579</v>
      </c>
      <c r="N5" s="10">
        <f t="shared" si="3"/>
        <v>595215</v>
      </c>
      <c r="O5" s="9">
        <f t="shared" si="4"/>
        <v>113091</v>
      </c>
      <c r="P5" s="9">
        <f t="shared" si="5"/>
        <v>6065243</v>
      </c>
      <c r="Q5" s="215">
        <f t="shared" si="0"/>
        <v>6065243</v>
      </c>
    </row>
    <row r="6" spans="1:18" x14ac:dyDescent="0.25">
      <c r="A6" s="5" t="s">
        <v>16</v>
      </c>
      <c r="B6" s="5" t="s">
        <v>17</v>
      </c>
      <c r="C6" s="241" t="s">
        <v>26</v>
      </c>
      <c r="D6" s="5" t="s">
        <v>19</v>
      </c>
      <c r="E6" s="7" t="s">
        <v>20</v>
      </c>
      <c r="F6" s="5" t="s">
        <v>21</v>
      </c>
      <c r="G6" s="8" t="s">
        <v>441</v>
      </c>
      <c r="H6" s="8">
        <v>30</v>
      </c>
      <c r="I6" s="8">
        <v>3</v>
      </c>
      <c r="J6" s="9">
        <f>(9.77*1750905)+1500</f>
        <v>17107841.849999998</v>
      </c>
      <c r="K6" s="9">
        <f>+J6*10%</f>
        <v>1710784.1849999998</v>
      </c>
      <c r="L6" s="9">
        <f t="shared" si="1"/>
        <v>18818626.034999996</v>
      </c>
      <c r="M6" s="9">
        <f t="shared" si="2"/>
        <v>56455878.104999989</v>
      </c>
      <c r="N6" s="10">
        <f t="shared" si="3"/>
        <v>5645588</v>
      </c>
      <c r="O6" s="9">
        <f t="shared" si="4"/>
        <v>1072662</v>
      </c>
      <c r="P6" s="9">
        <f t="shared" si="5"/>
        <v>57528540</v>
      </c>
      <c r="Q6" s="217">
        <f t="shared" si="0"/>
        <v>57528540</v>
      </c>
      <c r="R6" s="218"/>
    </row>
    <row r="7" spans="1:18" x14ac:dyDescent="0.25">
      <c r="A7" s="5" t="s">
        <v>16</v>
      </c>
      <c r="B7" s="5" t="s">
        <v>17</v>
      </c>
      <c r="C7" s="241" t="s">
        <v>26</v>
      </c>
      <c r="D7" s="5" t="s">
        <v>24</v>
      </c>
      <c r="E7" s="7" t="s">
        <v>22</v>
      </c>
      <c r="F7" s="5" t="s">
        <v>25</v>
      </c>
      <c r="G7" s="8" t="s">
        <v>441</v>
      </c>
      <c r="H7" s="8">
        <v>30</v>
      </c>
      <c r="I7" s="8">
        <v>2</v>
      </c>
      <c r="J7" s="9">
        <f>((((9.77*1750905)+1500)*0.4759)/13*12)/30*22</f>
        <v>5511251.7723424612</v>
      </c>
      <c r="K7" s="9">
        <f>+J7*0.08</f>
        <v>440900.14178739692</v>
      </c>
      <c r="L7" s="9">
        <f t="shared" si="1"/>
        <v>5952151.9141298579</v>
      </c>
      <c r="M7" s="9">
        <f t="shared" si="2"/>
        <v>11904303.828259716</v>
      </c>
      <c r="N7" s="10">
        <f t="shared" si="3"/>
        <v>1190430</v>
      </c>
      <c r="O7" s="9">
        <f t="shared" si="4"/>
        <v>226182</v>
      </c>
      <c r="P7" s="9">
        <f t="shared" si="5"/>
        <v>12130486</v>
      </c>
      <c r="Q7" s="215">
        <f t="shared" si="0"/>
        <v>12130486</v>
      </c>
    </row>
    <row r="8" spans="1:18" x14ac:dyDescent="0.25">
      <c r="A8" s="5" t="s">
        <v>16</v>
      </c>
      <c r="B8" s="5" t="s">
        <v>17</v>
      </c>
      <c r="C8" s="241" t="s">
        <v>27</v>
      </c>
      <c r="D8" s="5" t="s">
        <v>19</v>
      </c>
      <c r="E8" s="7" t="s">
        <v>20</v>
      </c>
      <c r="F8" s="5" t="s">
        <v>21</v>
      </c>
      <c r="G8" s="8" t="s">
        <v>441</v>
      </c>
      <c r="H8" s="8">
        <v>30</v>
      </c>
      <c r="I8" s="8">
        <v>3</v>
      </c>
      <c r="J8" s="9">
        <f>(9.77*1750905)+1500</f>
        <v>17107841.849999998</v>
      </c>
      <c r="K8" s="9">
        <f>+J8*10%</f>
        <v>1710784.1849999998</v>
      </c>
      <c r="L8" s="9">
        <f t="shared" si="1"/>
        <v>18818626.034999996</v>
      </c>
      <c r="M8" s="9">
        <f t="shared" si="2"/>
        <v>56455878.104999989</v>
      </c>
      <c r="N8" s="10">
        <f t="shared" si="3"/>
        <v>5645588</v>
      </c>
      <c r="O8" s="9">
        <f t="shared" si="4"/>
        <v>1072662</v>
      </c>
      <c r="P8" s="9">
        <f t="shared" si="5"/>
        <v>57528540</v>
      </c>
      <c r="Q8" s="217">
        <f t="shared" si="0"/>
        <v>57528540</v>
      </c>
      <c r="R8" s="218"/>
    </row>
    <row r="9" spans="1:18" x14ac:dyDescent="0.25">
      <c r="A9" s="5" t="s">
        <v>16</v>
      </c>
      <c r="B9" s="5" t="s">
        <v>17</v>
      </c>
      <c r="C9" s="241" t="s">
        <v>27</v>
      </c>
      <c r="D9" s="5" t="s">
        <v>24</v>
      </c>
      <c r="E9" s="7" t="s">
        <v>22</v>
      </c>
      <c r="F9" s="5" t="s">
        <v>25</v>
      </c>
      <c r="G9" s="8" t="s">
        <v>441</v>
      </c>
      <c r="H9" s="8">
        <v>30</v>
      </c>
      <c r="I9" s="8">
        <v>4</v>
      </c>
      <c r="J9" s="9">
        <f>((((9.77*1750905)+1500)*0.4759)/13*12)/30*22</f>
        <v>5511251.7723424612</v>
      </c>
      <c r="K9" s="9">
        <f>+J9*0.08</f>
        <v>440900.14178739692</v>
      </c>
      <c r="L9" s="9">
        <f t="shared" si="1"/>
        <v>5952151.9141298579</v>
      </c>
      <c r="M9" s="9">
        <f t="shared" si="2"/>
        <v>23808607.656519432</v>
      </c>
      <c r="N9" s="10">
        <f t="shared" si="3"/>
        <v>2380861</v>
      </c>
      <c r="O9" s="9">
        <f t="shared" si="4"/>
        <v>452364</v>
      </c>
      <c r="P9" s="9">
        <f t="shared" si="5"/>
        <v>24260972</v>
      </c>
      <c r="Q9" s="215">
        <f t="shared" si="0"/>
        <v>24260972</v>
      </c>
    </row>
    <row r="10" spans="1:18" x14ac:dyDescent="0.25">
      <c r="A10" s="5" t="s">
        <v>16</v>
      </c>
      <c r="B10" s="5" t="s">
        <v>17</v>
      </c>
      <c r="C10" s="241" t="s">
        <v>28</v>
      </c>
      <c r="D10" s="5" t="s">
        <v>19</v>
      </c>
      <c r="E10" s="7" t="s">
        <v>20</v>
      </c>
      <c r="F10" s="5" t="s">
        <v>21</v>
      </c>
      <c r="G10" s="8" t="s">
        <v>441</v>
      </c>
      <c r="H10" s="8">
        <v>30</v>
      </c>
      <c r="I10" s="8">
        <v>1</v>
      </c>
      <c r="J10" s="9">
        <f>(9.77*1750905)+1500</f>
        <v>17107841.849999998</v>
      </c>
      <c r="K10" s="9">
        <f t="shared" ref="K10:K11" si="6">+J10*10%</f>
        <v>1710784.1849999998</v>
      </c>
      <c r="L10" s="9">
        <f t="shared" si="1"/>
        <v>18818626.034999996</v>
      </c>
      <c r="M10" s="9">
        <f t="shared" si="2"/>
        <v>18818626.034999996</v>
      </c>
      <c r="N10" s="10">
        <f t="shared" si="3"/>
        <v>1881863</v>
      </c>
      <c r="O10" s="9">
        <f t="shared" si="4"/>
        <v>357554</v>
      </c>
      <c r="P10" s="9">
        <f t="shared" si="5"/>
        <v>19176180</v>
      </c>
      <c r="Q10" s="218"/>
      <c r="R10" s="217">
        <f>P10</f>
        <v>19176180</v>
      </c>
    </row>
    <row r="11" spans="1:18" x14ac:dyDescent="0.25">
      <c r="A11" s="5" t="s">
        <v>16</v>
      </c>
      <c r="B11" s="5" t="s">
        <v>17</v>
      </c>
      <c r="C11" s="241" t="s">
        <v>29</v>
      </c>
      <c r="D11" s="5" t="s">
        <v>19</v>
      </c>
      <c r="E11" s="7" t="s">
        <v>20</v>
      </c>
      <c r="F11" s="5" t="s">
        <v>21</v>
      </c>
      <c r="G11" s="8" t="s">
        <v>441</v>
      </c>
      <c r="H11" s="8">
        <v>30</v>
      </c>
      <c r="I11" s="8">
        <v>1</v>
      </c>
      <c r="J11" s="9">
        <f>(9.77*1750905)+1500</f>
        <v>17107841.849999998</v>
      </c>
      <c r="K11" s="9">
        <f t="shared" si="6"/>
        <v>1710784.1849999998</v>
      </c>
      <c r="L11" s="9">
        <f t="shared" si="1"/>
        <v>18818626.034999996</v>
      </c>
      <c r="M11" s="9">
        <f t="shared" si="2"/>
        <v>18818626.034999996</v>
      </c>
      <c r="N11" s="10">
        <f t="shared" si="3"/>
        <v>1881863</v>
      </c>
      <c r="O11" s="9">
        <f t="shared" si="4"/>
        <v>357554</v>
      </c>
      <c r="P11" s="9">
        <f t="shared" si="5"/>
        <v>19176180</v>
      </c>
      <c r="Q11" s="217">
        <f t="shared" ref="Q11:Q16" si="7">P11</f>
        <v>19176180</v>
      </c>
      <c r="R11" s="218"/>
    </row>
    <row r="12" spans="1:18" x14ac:dyDescent="0.25">
      <c r="A12" s="5" t="s">
        <v>16</v>
      </c>
      <c r="B12" s="5" t="s">
        <v>17</v>
      </c>
      <c r="C12" s="241" t="s">
        <v>29</v>
      </c>
      <c r="D12" s="5" t="s">
        <v>24</v>
      </c>
      <c r="E12" s="7" t="s">
        <v>22</v>
      </c>
      <c r="F12" s="5" t="s">
        <v>25</v>
      </c>
      <c r="G12" s="8" t="s">
        <v>441</v>
      </c>
      <c r="H12" s="8">
        <v>30</v>
      </c>
      <c r="I12" s="8">
        <v>1</v>
      </c>
      <c r="J12" s="9">
        <f>((((9.77*1750905)+1500)*0.4759)/13*12)/30*22</f>
        <v>5511251.7723424612</v>
      </c>
      <c r="K12" s="9">
        <f>+J12*0.08</f>
        <v>440900.14178739692</v>
      </c>
      <c r="L12" s="9">
        <f t="shared" si="1"/>
        <v>5952151.9141298579</v>
      </c>
      <c r="M12" s="9">
        <f t="shared" si="2"/>
        <v>5952151.9141298579</v>
      </c>
      <c r="N12" s="10">
        <f t="shared" si="3"/>
        <v>595215</v>
      </c>
      <c r="O12" s="9">
        <f t="shared" si="4"/>
        <v>113091</v>
      </c>
      <c r="P12" s="9">
        <f t="shared" si="5"/>
        <v>6065243</v>
      </c>
      <c r="Q12" s="215">
        <f t="shared" si="7"/>
        <v>6065243</v>
      </c>
    </row>
    <row r="13" spans="1:18" x14ac:dyDescent="0.25">
      <c r="A13" s="5" t="s">
        <v>16</v>
      </c>
      <c r="B13" s="5" t="s">
        <v>17</v>
      </c>
      <c r="C13" s="241" t="s">
        <v>30</v>
      </c>
      <c r="D13" s="5" t="s">
        <v>19</v>
      </c>
      <c r="E13" s="7" t="s">
        <v>20</v>
      </c>
      <c r="F13" s="5" t="s">
        <v>21</v>
      </c>
      <c r="G13" s="8" t="s">
        <v>441</v>
      </c>
      <c r="H13" s="8">
        <v>30</v>
      </c>
      <c r="I13" s="8">
        <v>3</v>
      </c>
      <c r="J13" s="9">
        <f>(9.77*1750905)+1500</f>
        <v>17107841.849999998</v>
      </c>
      <c r="K13" s="9">
        <f>+J13*10%</f>
        <v>1710784.1849999998</v>
      </c>
      <c r="L13" s="9">
        <f t="shared" si="1"/>
        <v>18818626.034999996</v>
      </c>
      <c r="M13" s="9">
        <f t="shared" si="2"/>
        <v>56455878.104999989</v>
      </c>
      <c r="N13" s="10">
        <f t="shared" si="3"/>
        <v>5645588</v>
      </c>
      <c r="O13" s="9">
        <f t="shared" si="4"/>
        <v>1072662</v>
      </c>
      <c r="P13" s="9">
        <f t="shared" si="5"/>
        <v>57528540</v>
      </c>
      <c r="Q13" s="217">
        <f t="shared" si="7"/>
        <v>57528540</v>
      </c>
      <c r="R13" s="218"/>
    </row>
    <row r="14" spans="1:18" x14ac:dyDescent="0.25">
      <c r="A14" s="5" t="s">
        <v>16</v>
      </c>
      <c r="B14" s="5" t="s">
        <v>17</v>
      </c>
      <c r="C14" s="241" t="s">
        <v>30</v>
      </c>
      <c r="D14" s="5" t="s">
        <v>24</v>
      </c>
      <c r="E14" s="7" t="s">
        <v>22</v>
      </c>
      <c r="F14" s="5" t="s">
        <v>25</v>
      </c>
      <c r="G14" s="8" t="s">
        <v>441</v>
      </c>
      <c r="H14" s="8">
        <v>30</v>
      </c>
      <c r="I14" s="8">
        <v>4</v>
      </c>
      <c r="J14" s="9">
        <f>((((9.77*1750905)+1500)*0.4759)/13*12)/30*22</f>
        <v>5511251.7723424612</v>
      </c>
      <c r="K14" s="9">
        <f>+J14*0.08</f>
        <v>440900.14178739692</v>
      </c>
      <c r="L14" s="9">
        <f t="shared" si="1"/>
        <v>5952151.9141298579</v>
      </c>
      <c r="M14" s="9">
        <f t="shared" si="2"/>
        <v>23808607.656519432</v>
      </c>
      <c r="N14" s="10">
        <f t="shared" si="3"/>
        <v>2380861</v>
      </c>
      <c r="O14" s="9">
        <f t="shared" si="4"/>
        <v>452364</v>
      </c>
      <c r="P14" s="9">
        <f t="shared" si="5"/>
        <v>24260972</v>
      </c>
      <c r="Q14" s="215">
        <f t="shared" si="7"/>
        <v>24260972</v>
      </c>
    </row>
    <row r="15" spans="1:18" x14ac:dyDescent="0.25">
      <c r="A15" s="5" t="s">
        <v>16</v>
      </c>
      <c r="B15" s="5" t="s">
        <v>17</v>
      </c>
      <c r="C15" s="241" t="s">
        <v>31</v>
      </c>
      <c r="D15" s="5" t="s">
        <v>19</v>
      </c>
      <c r="E15" s="7" t="s">
        <v>20</v>
      </c>
      <c r="F15" s="5" t="s">
        <v>21</v>
      </c>
      <c r="G15" s="8" t="s">
        <v>441</v>
      </c>
      <c r="H15" s="8">
        <v>30</v>
      </c>
      <c r="I15" s="8">
        <v>3</v>
      </c>
      <c r="J15" s="9">
        <f>(9.77*1750905)+1500</f>
        <v>17107841.849999998</v>
      </c>
      <c r="K15" s="9">
        <f t="shared" ref="K15:K17" si="8">+J15*10%</f>
        <v>1710784.1849999998</v>
      </c>
      <c r="L15" s="9">
        <f t="shared" si="1"/>
        <v>18818626.034999996</v>
      </c>
      <c r="M15" s="9">
        <f t="shared" si="2"/>
        <v>56455878.104999989</v>
      </c>
      <c r="N15" s="10">
        <f t="shared" si="3"/>
        <v>5645588</v>
      </c>
      <c r="O15" s="9">
        <f t="shared" si="4"/>
        <v>1072662</v>
      </c>
      <c r="P15" s="9">
        <f t="shared" si="5"/>
        <v>57528540</v>
      </c>
      <c r="Q15" s="217">
        <f t="shared" si="7"/>
        <v>57528540</v>
      </c>
      <c r="R15" s="218"/>
    </row>
    <row r="16" spans="1:18" x14ac:dyDescent="0.25">
      <c r="A16" s="5" t="s">
        <v>16</v>
      </c>
      <c r="B16" s="5" t="s">
        <v>17</v>
      </c>
      <c r="C16" s="241" t="s">
        <v>32</v>
      </c>
      <c r="D16" s="5" t="s">
        <v>19</v>
      </c>
      <c r="E16" s="7" t="s">
        <v>20</v>
      </c>
      <c r="F16" s="5" t="s">
        <v>21</v>
      </c>
      <c r="G16" s="8" t="s">
        <v>441</v>
      </c>
      <c r="H16" s="8">
        <v>30</v>
      </c>
      <c r="I16" s="8">
        <v>4</v>
      </c>
      <c r="J16" s="9">
        <f>(9.77*1750905)+1500</f>
        <v>17107841.849999998</v>
      </c>
      <c r="K16" s="9">
        <f t="shared" si="8"/>
        <v>1710784.1849999998</v>
      </c>
      <c r="L16" s="9">
        <f t="shared" si="1"/>
        <v>18818626.034999996</v>
      </c>
      <c r="M16" s="9">
        <f t="shared" si="2"/>
        <v>75274504.139999986</v>
      </c>
      <c r="N16" s="10">
        <f t="shared" si="3"/>
        <v>7527450</v>
      </c>
      <c r="O16" s="9">
        <f t="shared" si="4"/>
        <v>1430216</v>
      </c>
      <c r="P16" s="9">
        <f t="shared" si="5"/>
        <v>76704720</v>
      </c>
      <c r="Q16" s="217">
        <f t="shared" si="7"/>
        <v>76704720</v>
      </c>
      <c r="R16" s="218"/>
    </row>
    <row r="17" spans="1:19" x14ac:dyDescent="0.25">
      <c r="A17" s="5" t="s">
        <v>16</v>
      </c>
      <c r="B17" s="5" t="s">
        <v>17</v>
      </c>
      <c r="C17" s="241" t="s">
        <v>33</v>
      </c>
      <c r="D17" s="5" t="s">
        <v>19</v>
      </c>
      <c r="E17" s="7" t="s">
        <v>20</v>
      </c>
      <c r="F17" s="5" t="s">
        <v>21</v>
      </c>
      <c r="G17" s="8" t="s">
        <v>441</v>
      </c>
      <c r="H17" s="8">
        <v>30</v>
      </c>
      <c r="I17" s="8">
        <v>1</v>
      </c>
      <c r="J17" s="9">
        <f>(9.77*1750905)+1500</f>
        <v>17107841.849999998</v>
      </c>
      <c r="K17" s="9">
        <f t="shared" si="8"/>
        <v>1710784.1849999998</v>
      </c>
      <c r="L17" s="9">
        <f t="shared" si="1"/>
        <v>18818626.034999996</v>
      </c>
      <c r="M17" s="9">
        <f t="shared" si="2"/>
        <v>18818626.034999996</v>
      </c>
      <c r="N17" s="10">
        <f t="shared" si="3"/>
        <v>1881863</v>
      </c>
      <c r="O17" s="9">
        <f t="shared" si="4"/>
        <v>357554</v>
      </c>
      <c r="P17" s="9">
        <f t="shared" si="5"/>
        <v>19176180</v>
      </c>
      <c r="Q17" s="218"/>
      <c r="R17" s="217">
        <f>P17</f>
        <v>19176180</v>
      </c>
    </row>
    <row r="18" spans="1:19" x14ac:dyDescent="0.25">
      <c r="A18" s="5" t="s">
        <v>16</v>
      </c>
      <c r="B18" s="5" t="s">
        <v>17</v>
      </c>
      <c r="C18" s="241" t="s">
        <v>33</v>
      </c>
      <c r="D18" s="5" t="s">
        <v>24</v>
      </c>
      <c r="E18" s="7" t="s">
        <v>22</v>
      </c>
      <c r="F18" s="5" t="s">
        <v>25</v>
      </c>
      <c r="G18" s="8" t="s">
        <v>441</v>
      </c>
      <c r="H18" s="8">
        <v>30</v>
      </c>
      <c r="I18" s="8">
        <v>1</v>
      </c>
      <c r="J18" s="9">
        <f>((((9.77*1750905)+1500)*0.4759)/13*12)/30*22</f>
        <v>5511251.7723424612</v>
      </c>
      <c r="K18" s="9">
        <f>+J18*0.08</f>
        <v>440900.14178739692</v>
      </c>
      <c r="L18" s="9">
        <f t="shared" si="1"/>
        <v>5952151.9141298579</v>
      </c>
      <c r="M18" s="9">
        <f t="shared" si="2"/>
        <v>5952151.9141298579</v>
      </c>
      <c r="N18" s="10">
        <f t="shared" si="3"/>
        <v>595215</v>
      </c>
      <c r="O18" s="9">
        <f t="shared" si="4"/>
        <v>113091</v>
      </c>
      <c r="P18" s="9">
        <f t="shared" si="5"/>
        <v>6065243</v>
      </c>
      <c r="R18" s="215">
        <f>P18</f>
        <v>6065243</v>
      </c>
    </row>
    <row r="19" spans="1:19" x14ac:dyDescent="0.25">
      <c r="A19" s="5" t="s">
        <v>16</v>
      </c>
      <c r="B19" s="5" t="s">
        <v>17</v>
      </c>
      <c r="C19" s="241" t="s">
        <v>34</v>
      </c>
      <c r="D19" s="5" t="s">
        <v>19</v>
      </c>
      <c r="E19" s="7" t="s">
        <v>20</v>
      </c>
      <c r="F19" s="5" t="s">
        <v>21</v>
      </c>
      <c r="G19" s="8" t="s">
        <v>441</v>
      </c>
      <c r="H19" s="8">
        <v>30</v>
      </c>
      <c r="I19" s="8">
        <v>3</v>
      </c>
      <c r="J19" s="9">
        <f>(9.77*1750905)+1500</f>
        <v>17107841.849999998</v>
      </c>
      <c r="K19" s="9">
        <f>+J19*10%</f>
        <v>1710784.1849999998</v>
      </c>
      <c r="L19" s="9">
        <f t="shared" si="1"/>
        <v>18818626.034999996</v>
      </c>
      <c r="M19" s="9">
        <f t="shared" si="2"/>
        <v>56455878.104999989</v>
      </c>
      <c r="N19" s="10">
        <f t="shared" si="3"/>
        <v>5645588</v>
      </c>
      <c r="O19" s="9">
        <f t="shared" si="4"/>
        <v>1072662</v>
      </c>
      <c r="P19" s="9">
        <f t="shared" si="5"/>
        <v>57528540</v>
      </c>
      <c r="Q19" s="218"/>
      <c r="R19" s="217">
        <f>P19</f>
        <v>57528540</v>
      </c>
    </row>
    <row r="20" spans="1:19" x14ac:dyDescent="0.25">
      <c r="A20" s="5" t="s">
        <v>16</v>
      </c>
      <c r="B20" s="5" t="s">
        <v>17</v>
      </c>
      <c r="C20" s="241" t="s">
        <v>34</v>
      </c>
      <c r="D20" s="5" t="s">
        <v>24</v>
      </c>
      <c r="E20" s="7" t="s">
        <v>22</v>
      </c>
      <c r="F20" s="5" t="s">
        <v>25</v>
      </c>
      <c r="G20" s="8" t="s">
        <v>441</v>
      </c>
      <c r="H20" s="8">
        <v>30</v>
      </c>
      <c r="I20" s="8">
        <v>2</v>
      </c>
      <c r="J20" s="9">
        <f>((((9.77*1750905)+1500)*0.4759)/13*12)/30*22</f>
        <v>5511251.7723424612</v>
      </c>
      <c r="K20" s="9">
        <f>+J20*0.08</f>
        <v>440900.14178739692</v>
      </c>
      <c r="L20" s="9">
        <f t="shared" si="1"/>
        <v>5952151.9141298579</v>
      </c>
      <c r="M20" s="9">
        <f t="shared" si="2"/>
        <v>11904303.828259716</v>
      </c>
      <c r="N20" s="10">
        <f t="shared" si="3"/>
        <v>1190430</v>
      </c>
      <c r="O20" s="9">
        <f t="shared" si="4"/>
        <v>226182</v>
      </c>
      <c r="P20" s="9">
        <f t="shared" si="5"/>
        <v>12130486</v>
      </c>
      <c r="R20" s="215">
        <f>P20</f>
        <v>12130486</v>
      </c>
    </row>
    <row r="21" spans="1:19" x14ac:dyDescent="0.25">
      <c r="A21" s="5" t="s">
        <v>16</v>
      </c>
      <c r="B21" s="5" t="s">
        <v>17</v>
      </c>
      <c r="C21" s="241" t="s">
        <v>35</v>
      </c>
      <c r="D21" s="5" t="s">
        <v>19</v>
      </c>
      <c r="E21" s="7" t="s">
        <v>20</v>
      </c>
      <c r="F21" s="5" t="s">
        <v>21</v>
      </c>
      <c r="G21" s="8" t="s">
        <v>441</v>
      </c>
      <c r="H21" s="8">
        <v>30</v>
      </c>
      <c r="I21" s="8">
        <v>1</v>
      </c>
      <c r="J21" s="9">
        <f>(9.77*1750905)+1500</f>
        <v>17107841.849999998</v>
      </c>
      <c r="K21" s="9">
        <f t="shared" ref="K21:K24" si="9">+J21*10%</f>
        <v>1710784.1849999998</v>
      </c>
      <c r="L21" s="9">
        <f t="shared" si="1"/>
        <v>18818626.034999996</v>
      </c>
      <c r="M21" s="9">
        <f t="shared" si="2"/>
        <v>18818626.034999996</v>
      </c>
      <c r="N21" s="10">
        <f t="shared" si="3"/>
        <v>1881863</v>
      </c>
      <c r="O21" s="9">
        <f t="shared" si="4"/>
        <v>357554</v>
      </c>
      <c r="P21" s="9">
        <f t="shared" si="5"/>
        <v>19176180</v>
      </c>
      <c r="Q21" s="218"/>
      <c r="R21" s="217">
        <f t="shared" ref="R21:R23" si="10">P21</f>
        <v>19176180</v>
      </c>
    </row>
    <row r="22" spans="1:19" x14ac:dyDescent="0.25">
      <c r="A22" s="5" t="s">
        <v>16</v>
      </c>
      <c r="B22" s="5" t="s">
        <v>17</v>
      </c>
      <c r="C22" s="241" t="s">
        <v>36</v>
      </c>
      <c r="D22" s="5" t="s">
        <v>19</v>
      </c>
      <c r="E22" s="7" t="s">
        <v>20</v>
      </c>
      <c r="F22" s="5" t="s">
        <v>21</v>
      </c>
      <c r="G22" s="8" t="s">
        <v>441</v>
      </c>
      <c r="H22" s="8">
        <v>30</v>
      </c>
      <c r="I22" s="8">
        <v>1</v>
      </c>
      <c r="J22" s="9">
        <f>(9.77*1750905)+1500</f>
        <v>17107841.849999998</v>
      </c>
      <c r="K22" s="9">
        <f t="shared" si="9"/>
        <v>1710784.1849999998</v>
      </c>
      <c r="L22" s="9">
        <f t="shared" si="1"/>
        <v>18818626.034999996</v>
      </c>
      <c r="M22" s="9">
        <f t="shared" si="2"/>
        <v>18818626.034999996</v>
      </c>
      <c r="N22" s="10">
        <f t="shared" si="3"/>
        <v>1881863</v>
      </c>
      <c r="O22" s="9">
        <f t="shared" si="4"/>
        <v>357554</v>
      </c>
      <c r="P22" s="9">
        <f t="shared" si="5"/>
        <v>19176180</v>
      </c>
      <c r="Q22" s="218"/>
      <c r="R22" s="217">
        <f t="shared" si="10"/>
        <v>19176180</v>
      </c>
    </row>
    <row r="23" spans="1:19" x14ac:dyDescent="0.25">
      <c r="A23" s="5" t="s">
        <v>16</v>
      </c>
      <c r="B23" s="5" t="s">
        <v>17</v>
      </c>
      <c r="C23" s="241" t="s">
        <v>37</v>
      </c>
      <c r="D23" s="5" t="s">
        <v>19</v>
      </c>
      <c r="E23" s="7" t="s">
        <v>20</v>
      </c>
      <c r="F23" s="5" t="s">
        <v>21</v>
      </c>
      <c r="G23" s="8" t="s">
        <v>441</v>
      </c>
      <c r="H23" s="8">
        <v>30</v>
      </c>
      <c r="I23" s="8">
        <v>1</v>
      </c>
      <c r="J23" s="9">
        <f>(9.77*1750905)+1500</f>
        <v>17107841.849999998</v>
      </c>
      <c r="K23" s="9">
        <f t="shared" si="9"/>
        <v>1710784.1849999998</v>
      </c>
      <c r="L23" s="9">
        <f t="shared" si="1"/>
        <v>18818626.034999996</v>
      </c>
      <c r="M23" s="9">
        <f t="shared" si="2"/>
        <v>18818626.034999996</v>
      </c>
      <c r="N23" s="10">
        <f t="shared" si="3"/>
        <v>1881863</v>
      </c>
      <c r="O23" s="9">
        <f t="shared" si="4"/>
        <v>357554</v>
      </c>
      <c r="P23" s="9">
        <f t="shared" si="5"/>
        <v>19176180</v>
      </c>
      <c r="Q23" s="218"/>
      <c r="R23" s="217">
        <f t="shared" si="10"/>
        <v>19176180</v>
      </c>
    </row>
    <row r="24" spans="1:19" x14ac:dyDescent="0.25">
      <c r="A24" s="5" t="s">
        <v>16</v>
      </c>
      <c r="B24" s="5" t="s">
        <v>17</v>
      </c>
      <c r="C24" s="241" t="s">
        <v>38</v>
      </c>
      <c r="D24" s="5" t="s">
        <v>19</v>
      </c>
      <c r="E24" s="7" t="s">
        <v>20</v>
      </c>
      <c r="F24" s="5" t="s">
        <v>21</v>
      </c>
      <c r="G24" s="8" t="s">
        <v>441</v>
      </c>
      <c r="H24" s="8">
        <v>30</v>
      </c>
      <c r="I24" s="8">
        <v>6</v>
      </c>
      <c r="J24" s="9">
        <f>(9.77*1750905)+1500</f>
        <v>17107841.849999998</v>
      </c>
      <c r="K24" s="9">
        <f t="shared" si="9"/>
        <v>1710784.1849999998</v>
      </c>
      <c r="L24" s="9">
        <f t="shared" si="1"/>
        <v>18818626.034999996</v>
      </c>
      <c r="M24" s="9">
        <f t="shared" si="2"/>
        <v>112911756.20999998</v>
      </c>
      <c r="N24" s="10">
        <f t="shared" si="3"/>
        <v>11291176</v>
      </c>
      <c r="O24" s="9">
        <f t="shared" si="4"/>
        <v>2145323</v>
      </c>
      <c r="P24" s="9">
        <f t="shared" si="5"/>
        <v>115057079</v>
      </c>
      <c r="Q24" s="217">
        <f>P24</f>
        <v>115057079</v>
      </c>
      <c r="R24" s="218"/>
    </row>
    <row r="25" spans="1:19" x14ac:dyDescent="0.25">
      <c r="A25" s="5" t="s">
        <v>16</v>
      </c>
      <c r="B25" s="5" t="s">
        <v>17</v>
      </c>
      <c r="C25" s="241" t="s">
        <v>38</v>
      </c>
      <c r="D25" s="5" t="s">
        <v>24</v>
      </c>
      <c r="E25" s="7" t="s">
        <v>22</v>
      </c>
      <c r="F25" s="5" t="s">
        <v>25</v>
      </c>
      <c r="G25" s="8" t="s">
        <v>441</v>
      </c>
      <c r="H25" s="8">
        <v>30</v>
      </c>
      <c r="I25" s="8">
        <v>3</v>
      </c>
      <c r="J25" s="9">
        <f>((((9.77*1750905)+1500)*0.4759)/13*12)/30*22</f>
        <v>5511251.7723424612</v>
      </c>
      <c r="K25" s="9">
        <f>+J25*0.08</f>
        <v>440900.14178739692</v>
      </c>
      <c r="L25" s="9">
        <f t="shared" si="1"/>
        <v>5952151.9141298579</v>
      </c>
      <c r="M25" s="9">
        <f t="shared" si="2"/>
        <v>17856455.742389575</v>
      </c>
      <c r="N25" s="10">
        <f t="shared" si="3"/>
        <v>1785646</v>
      </c>
      <c r="O25" s="9">
        <f t="shared" si="4"/>
        <v>339273</v>
      </c>
      <c r="P25" s="9">
        <f t="shared" si="5"/>
        <v>18195729</v>
      </c>
      <c r="Q25" s="215">
        <f>P25</f>
        <v>18195729</v>
      </c>
    </row>
    <row r="26" spans="1:19" x14ac:dyDescent="0.25">
      <c r="A26" s="5" t="s">
        <v>16</v>
      </c>
      <c r="B26" s="5" t="s">
        <v>17</v>
      </c>
      <c r="C26" s="241" t="s">
        <v>39</v>
      </c>
      <c r="D26" s="5" t="s">
        <v>19</v>
      </c>
      <c r="E26" s="7" t="s">
        <v>20</v>
      </c>
      <c r="F26" s="5" t="s">
        <v>21</v>
      </c>
      <c r="G26" s="8" t="s">
        <v>441</v>
      </c>
      <c r="H26" s="8">
        <v>30</v>
      </c>
      <c r="I26" s="8">
        <v>3</v>
      </c>
      <c r="J26" s="9">
        <f>(9.77*1750905)+1500</f>
        <v>17107841.849999998</v>
      </c>
      <c r="K26" s="9">
        <f>+J26*10%</f>
        <v>1710784.1849999998</v>
      </c>
      <c r="L26" s="9">
        <f t="shared" si="1"/>
        <v>18818626.034999996</v>
      </c>
      <c r="M26" s="9">
        <f t="shared" si="2"/>
        <v>56455878.104999989</v>
      </c>
      <c r="N26" s="10">
        <f t="shared" si="3"/>
        <v>5645588</v>
      </c>
      <c r="O26" s="9">
        <f t="shared" si="4"/>
        <v>1072662</v>
      </c>
      <c r="P26" s="9">
        <f t="shared" si="5"/>
        <v>57528540</v>
      </c>
      <c r="Q26" s="217">
        <f>P26</f>
        <v>57528540</v>
      </c>
      <c r="R26" s="218"/>
    </row>
    <row r="27" spans="1:19" x14ac:dyDescent="0.25">
      <c r="A27" s="5" t="s">
        <v>16</v>
      </c>
      <c r="B27" s="5" t="s">
        <v>17</v>
      </c>
      <c r="C27" s="241" t="s">
        <v>39</v>
      </c>
      <c r="D27" s="5" t="s">
        <v>40</v>
      </c>
      <c r="E27" s="7" t="s">
        <v>22</v>
      </c>
      <c r="F27" s="5" t="s">
        <v>25</v>
      </c>
      <c r="G27" s="8" t="s">
        <v>441</v>
      </c>
      <c r="H27" s="8">
        <v>30</v>
      </c>
      <c r="I27" s="8">
        <v>1</v>
      </c>
      <c r="J27" s="9">
        <f>((((9.77*1750905)+1500)*0.4759)/13*12)/30*20</f>
        <v>5010228.8839476919</v>
      </c>
      <c r="K27" s="9">
        <f t="shared" ref="K27:K28" si="11">+J27*0.08</f>
        <v>400818.31071581534</v>
      </c>
      <c r="L27" s="9">
        <f t="shared" si="1"/>
        <v>5411047.1946635069</v>
      </c>
      <c r="M27" s="9">
        <f t="shared" si="2"/>
        <v>5411047.1946635069</v>
      </c>
      <c r="N27" s="10">
        <f t="shared" si="3"/>
        <v>541105</v>
      </c>
      <c r="O27" s="9">
        <f t="shared" si="4"/>
        <v>102810</v>
      </c>
      <c r="P27" s="9">
        <f t="shared" si="5"/>
        <v>5513857</v>
      </c>
      <c r="Q27" s="215">
        <f>P27</f>
        <v>5513857</v>
      </c>
    </row>
    <row r="28" spans="1:19" x14ac:dyDescent="0.25">
      <c r="A28" s="5" t="s">
        <v>16</v>
      </c>
      <c r="B28" s="5" t="s">
        <v>17</v>
      </c>
      <c r="C28" s="241" t="s">
        <v>41</v>
      </c>
      <c r="D28" s="5" t="s">
        <v>19</v>
      </c>
      <c r="E28" s="7" t="s">
        <v>22</v>
      </c>
      <c r="F28" s="5" t="s">
        <v>21</v>
      </c>
      <c r="G28" s="8" t="s">
        <v>441</v>
      </c>
      <c r="H28" s="8">
        <v>30</v>
      </c>
      <c r="I28" s="8">
        <v>1</v>
      </c>
      <c r="J28" s="9">
        <f>(9.77*1750905)+1500</f>
        <v>17107841.849999998</v>
      </c>
      <c r="K28" s="9">
        <f t="shared" si="11"/>
        <v>1368627.3479999998</v>
      </c>
      <c r="L28" s="9">
        <f t="shared" si="1"/>
        <v>18476469.197999999</v>
      </c>
      <c r="M28" s="9">
        <f t="shared" si="2"/>
        <v>18476469.197999999</v>
      </c>
      <c r="N28" s="10">
        <f t="shared" si="3"/>
        <v>1847647</v>
      </c>
      <c r="O28" s="9">
        <f t="shared" si="4"/>
        <v>351053</v>
      </c>
      <c r="P28" s="9">
        <f t="shared" si="5"/>
        <v>18827522</v>
      </c>
      <c r="Q28" s="215">
        <f>P28</f>
        <v>18827522</v>
      </c>
    </row>
    <row r="29" spans="1:19" x14ac:dyDescent="0.25">
      <c r="A29" s="5" t="s">
        <v>16</v>
      </c>
      <c r="B29" s="5" t="s">
        <v>42</v>
      </c>
      <c r="C29" s="241" t="s">
        <v>43</v>
      </c>
      <c r="D29" s="5" t="s">
        <v>19</v>
      </c>
      <c r="E29" s="7" t="s">
        <v>20</v>
      </c>
      <c r="F29" s="5" t="s">
        <v>21</v>
      </c>
      <c r="G29" s="8" t="s">
        <v>441</v>
      </c>
      <c r="H29" s="8">
        <v>30</v>
      </c>
      <c r="I29" s="8">
        <v>1</v>
      </c>
      <c r="J29" s="9">
        <f>(9.77*1750905)+1500</f>
        <v>17107841.849999998</v>
      </c>
      <c r="K29" s="9">
        <f>+J29*10%</f>
        <v>1710784.1849999998</v>
      </c>
      <c r="L29" s="9">
        <f t="shared" si="1"/>
        <v>18818626.034999996</v>
      </c>
      <c r="M29" s="9">
        <f t="shared" si="2"/>
        <v>18818626.034999996</v>
      </c>
      <c r="N29" s="10">
        <f t="shared" si="3"/>
        <v>1881863</v>
      </c>
      <c r="O29" s="9">
        <f t="shared" si="4"/>
        <v>357554</v>
      </c>
      <c r="P29" s="9">
        <f t="shared" si="5"/>
        <v>19176180</v>
      </c>
      <c r="Q29" s="218"/>
      <c r="R29" s="217">
        <f>P29</f>
        <v>19176180</v>
      </c>
    </row>
    <row r="30" spans="1:19" ht="24" x14ac:dyDescent="0.25">
      <c r="A30" s="5" t="s">
        <v>44</v>
      </c>
      <c r="B30" s="5" t="s">
        <v>17</v>
      </c>
      <c r="C30" s="241" t="s">
        <v>45</v>
      </c>
      <c r="D30" s="5" t="s">
        <v>46</v>
      </c>
      <c r="E30" s="7" t="s">
        <v>20</v>
      </c>
      <c r="F30" s="5" t="s">
        <v>47</v>
      </c>
      <c r="G30" s="8" t="s">
        <v>441</v>
      </c>
      <c r="H30" s="8">
        <v>30</v>
      </c>
      <c r="I30" s="8">
        <v>1</v>
      </c>
      <c r="J30" s="9">
        <f>9.77*1750905+1500</f>
        <v>17107841.849999998</v>
      </c>
      <c r="K30" s="9">
        <f t="shared" ref="K30" si="12">+J30*10%</f>
        <v>1710784.1849999998</v>
      </c>
      <c r="L30" s="9">
        <f t="shared" si="1"/>
        <v>18818626.034999996</v>
      </c>
      <c r="M30" s="9">
        <f t="shared" si="2"/>
        <v>18818626.034999996</v>
      </c>
      <c r="N30" s="10">
        <f t="shared" si="3"/>
        <v>1881863</v>
      </c>
      <c r="O30" s="9">
        <f t="shared" si="4"/>
        <v>357554</v>
      </c>
      <c r="P30" s="9">
        <f t="shared" si="5"/>
        <v>19176180</v>
      </c>
      <c r="R30" s="215">
        <f>P30</f>
        <v>19176180</v>
      </c>
    </row>
    <row r="31" spans="1:19" ht="24" x14ac:dyDescent="0.25">
      <c r="A31" s="5" t="s">
        <v>44</v>
      </c>
      <c r="B31" s="5" t="s">
        <v>17</v>
      </c>
      <c r="C31" s="241" t="s">
        <v>45</v>
      </c>
      <c r="D31" s="5" t="s">
        <v>19</v>
      </c>
      <c r="E31" s="7" t="s">
        <v>20</v>
      </c>
      <c r="F31" s="5" t="s">
        <v>21</v>
      </c>
      <c r="G31" s="8" t="s">
        <v>441</v>
      </c>
      <c r="H31" s="8">
        <v>30</v>
      </c>
      <c r="I31" s="247">
        <f>17-3</f>
        <v>14</v>
      </c>
      <c r="J31" s="9">
        <f>(9.77*1750905)+1500</f>
        <v>17107841.849999998</v>
      </c>
      <c r="K31" s="9">
        <f>+J31*10%</f>
        <v>1710784.1849999998</v>
      </c>
      <c r="L31" s="9">
        <f t="shared" si="1"/>
        <v>18818626.034999996</v>
      </c>
      <c r="M31" s="9">
        <f t="shared" si="2"/>
        <v>263460764.48999995</v>
      </c>
      <c r="N31" s="10">
        <f t="shared" si="3"/>
        <v>26346076</v>
      </c>
      <c r="O31" s="9">
        <f t="shared" si="4"/>
        <v>5005754</v>
      </c>
      <c r="P31" s="9">
        <f t="shared" si="5"/>
        <v>268466518</v>
      </c>
      <c r="Q31" s="218"/>
      <c r="R31" s="251">
        <f>P31</f>
        <v>268466518</v>
      </c>
      <c r="S31">
        <v>3</v>
      </c>
    </row>
    <row r="32" spans="1:19" ht="24" x14ac:dyDescent="0.25">
      <c r="A32" s="5" t="s">
        <v>44</v>
      </c>
      <c r="B32" s="5" t="s">
        <v>17</v>
      </c>
      <c r="C32" s="241" t="s">
        <v>45</v>
      </c>
      <c r="D32" s="5" t="s">
        <v>19</v>
      </c>
      <c r="E32" s="7" t="s">
        <v>22</v>
      </c>
      <c r="F32" s="5" t="s">
        <v>47</v>
      </c>
      <c r="G32" s="8" t="s">
        <v>441</v>
      </c>
      <c r="H32" s="8">
        <v>30</v>
      </c>
      <c r="I32" s="8">
        <v>8</v>
      </c>
      <c r="J32" s="9">
        <f>(9.77*1750905)+1500</f>
        <v>17107841.849999998</v>
      </c>
      <c r="K32" s="9">
        <f t="shared" ref="K32:K33" si="13">+J32*0.08</f>
        <v>1368627.3479999998</v>
      </c>
      <c r="L32" s="9">
        <f t="shared" si="1"/>
        <v>18476469.197999999</v>
      </c>
      <c r="M32" s="9">
        <f t="shared" si="2"/>
        <v>147811753.58399999</v>
      </c>
      <c r="N32" s="10">
        <f t="shared" si="3"/>
        <v>14781175</v>
      </c>
      <c r="O32" s="9">
        <f t="shared" si="4"/>
        <v>2808423</v>
      </c>
      <c r="P32" s="9">
        <f t="shared" si="5"/>
        <v>150620177</v>
      </c>
      <c r="R32" s="215">
        <f>P32</f>
        <v>150620177</v>
      </c>
    </row>
    <row r="33" spans="1:19" ht="24" x14ac:dyDescent="0.25">
      <c r="A33" s="5" t="s">
        <v>44</v>
      </c>
      <c r="B33" s="5" t="s">
        <v>17</v>
      </c>
      <c r="C33" s="241" t="s">
        <v>45</v>
      </c>
      <c r="D33" s="5" t="s">
        <v>40</v>
      </c>
      <c r="E33" s="7" t="s">
        <v>22</v>
      </c>
      <c r="F33" s="5" t="s">
        <v>25</v>
      </c>
      <c r="G33" s="8" t="s">
        <v>441</v>
      </c>
      <c r="H33" s="8">
        <v>30</v>
      </c>
      <c r="I33" s="247">
        <f>21-5</f>
        <v>16</v>
      </c>
      <c r="J33" s="9">
        <f>((((9.77*1750905)+1500)*0.4759)/13*12)/30*20</f>
        <v>5010228.8839476919</v>
      </c>
      <c r="K33" s="9">
        <f t="shared" si="13"/>
        <v>400818.31071581534</v>
      </c>
      <c r="L33" s="9">
        <f t="shared" si="1"/>
        <v>5411047.1946635069</v>
      </c>
      <c r="M33" s="9">
        <f t="shared" si="2"/>
        <v>86576755.114616111</v>
      </c>
      <c r="N33" s="10">
        <f t="shared" si="3"/>
        <v>8657676</v>
      </c>
      <c r="O33" s="9">
        <f t="shared" si="4"/>
        <v>1644958</v>
      </c>
      <c r="P33" s="9">
        <f t="shared" si="5"/>
        <v>88221713</v>
      </c>
      <c r="R33" s="250">
        <f>P33</f>
        <v>88221713</v>
      </c>
      <c r="S33">
        <v>5</v>
      </c>
    </row>
    <row r="34" spans="1:19" ht="24" x14ac:dyDescent="0.25">
      <c r="A34" s="5" t="s">
        <v>44</v>
      </c>
      <c r="B34" s="5" t="s">
        <v>17</v>
      </c>
      <c r="C34" s="241" t="s">
        <v>48</v>
      </c>
      <c r="D34" s="5" t="s">
        <v>46</v>
      </c>
      <c r="E34" s="7" t="s">
        <v>20</v>
      </c>
      <c r="F34" s="5" t="s">
        <v>47</v>
      </c>
      <c r="G34" s="8" t="s">
        <v>441</v>
      </c>
      <c r="H34" s="8">
        <v>30</v>
      </c>
      <c r="I34" s="8">
        <v>1</v>
      </c>
      <c r="J34" s="9">
        <f>9.77*1750905+1500</f>
        <v>17107841.849999998</v>
      </c>
      <c r="K34" s="9">
        <f t="shared" ref="K34" si="14">+J34*10%</f>
        <v>1710784.1849999998</v>
      </c>
      <c r="L34" s="9">
        <f t="shared" si="1"/>
        <v>18818626.034999996</v>
      </c>
      <c r="M34" s="9">
        <f t="shared" si="2"/>
        <v>18818626.034999996</v>
      </c>
      <c r="N34" s="10">
        <f t="shared" si="3"/>
        <v>1881863</v>
      </c>
      <c r="O34" s="9">
        <f t="shared" si="4"/>
        <v>357554</v>
      </c>
      <c r="P34" s="9">
        <f t="shared" si="5"/>
        <v>19176180</v>
      </c>
      <c r="Q34" s="215">
        <f>P34</f>
        <v>19176180</v>
      </c>
    </row>
    <row r="35" spans="1:19" ht="24" x14ac:dyDescent="0.25">
      <c r="A35" s="5" t="s">
        <v>44</v>
      </c>
      <c r="B35" s="5" t="s">
        <v>17</v>
      </c>
      <c r="C35" s="241" t="s">
        <v>48</v>
      </c>
      <c r="D35" s="5" t="s">
        <v>19</v>
      </c>
      <c r="E35" s="7" t="s">
        <v>20</v>
      </c>
      <c r="F35" s="5" t="s">
        <v>21</v>
      </c>
      <c r="G35" s="8" t="s">
        <v>441</v>
      </c>
      <c r="H35" s="8">
        <v>30</v>
      </c>
      <c r="I35" s="8">
        <v>13</v>
      </c>
      <c r="J35" s="9">
        <f>(9.77*1750905)+1500</f>
        <v>17107841.849999998</v>
      </c>
      <c r="K35" s="9">
        <f>+J35*10%</f>
        <v>1710784.1849999998</v>
      </c>
      <c r="L35" s="9">
        <f t="shared" si="1"/>
        <v>18818626.034999996</v>
      </c>
      <c r="M35" s="9">
        <f t="shared" si="2"/>
        <v>244642138.45499995</v>
      </c>
      <c r="N35" s="10">
        <f t="shared" si="3"/>
        <v>24464214</v>
      </c>
      <c r="O35" s="9">
        <f t="shared" si="4"/>
        <v>4648201</v>
      </c>
      <c r="P35" s="9">
        <f t="shared" si="5"/>
        <v>249290339</v>
      </c>
      <c r="Q35" s="217">
        <f>P35</f>
        <v>249290339</v>
      </c>
      <c r="R35" s="218"/>
    </row>
    <row r="36" spans="1:19" ht="24" x14ac:dyDescent="0.25">
      <c r="A36" s="5" t="s">
        <v>44</v>
      </c>
      <c r="B36" s="5" t="s">
        <v>17</v>
      </c>
      <c r="C36" s="241" t="s">
        <v>48</v>
      </c>
      <c r="D36" s="5" t="s">
        <v>19</v>
      </c>
      <c r="E36" s="7" t="s">
        <v>22</v>
      </c>
      <c r="F36" s="5" t="s">
        <v>47</v>
      </c>
      <c r="G36" s="8" t="s">
        <v>441</v>
      </c>
      <c r="H36" s="8">
        <v>30</v>
      </c>
      <c r="I36" s="8">
        <v>4</v>
      </c>
      <c r="J36" s="9">
        <f>(9.77*1750905)+1500</f>
        <v>17107841.849999998</v>
      </c>
      <c r="K36" s="9">
        <f t="shared" ref="K36:K37" si="15">+J36*0.08</f>
        <v>1368627.3479999998</v>
      </c>
      <c r="L36" s="9">
        <f t="shared" si="1"/>
        <v>18476469.197999999</v>
      </c>
      <c r="M36" s="9">
        <f t="shared" si="2"/>
        <v>73905876.791999996</v>
      </c>
      <c r="N36" s="10">
        <f t="shared" si="3"/>
        <v>7390588</v>
      </c>
      <c r="O36" s="9">
        <f t="shared" si="4"/>
        <v>1404212</v>
      </c>
      <c r="P36" s="9">
        <f t="shared" si="5"/>
        <v>75310089</v>
      </c>
      <c r="Q36" s="215">
        <f>P36</f>
        <v>75310089</v>
      </c>
      <c r="R36" s="215"/>
    </row>
    <row r="37" spans="1:19" ht="24" x14ac:dyDescent="0.25">
      <c r="A37" s="5" t="s">
        <v>44</v>
      </c>
      <c r="B37" s="5" t="s">
        <v>17</v>
      </c>
      <c r="C37" s="241" t="s">
        <v>48</v>
      </c>
      <c r="D37" s="5" t="s">
        <v>40</v>
      </c>
      <c r="E37" s="7" t="s">
        <v>22</v>
      </c>
      <c r="F37" s="5" t="s">
        <v>25</v>
      </c>
      <c r="G37" s="8" t="s">
        <v>441</v>
      </c>
      <c r="H37" s="8">
        <v>30</v>
      </c>
      <c r="I37" s="247">
        <f>12-6</f>
        <v>6</v>
      </c>
      <c r="J37" s="253">
        <f>((((9.77*1750905)+1500)*0.4759)/13*12)/30*20</f>
        <v>5010228.8839476919</v>
      </c>
      <c r="K37" s="253">
        <f t="shared" si="15"/>
        <v>400818.31071581534</v>
      </c>
      <c r="L37" s="253">
        <f t="shared" si="1"/>
        <v>5411047.1946635069</v>
      </c>
      <c r="M37" s="253">
        <f t="shared" si="2"/>
        <v>32466283.167981043</v>
      </c>
      <c r="N37" s="254">
        <f t="shared" si="3"/>
        <v>3246628</v>
      </c>
      <c r="O37" s="253">
        <f t="shared" si="4"/>
        <v>616859</v>
      </c>
      <c r="P37" s="253">
        <f t="shared" si="5"/>
        <v>33083142</v>
      </c>
      <c r="Q37" s="255">
        <f>P37</f>
        <v>33083142</v>
      </c>
      <c r="R37" s="256"/>
      <c r="S37" s="256">
        <v>6</v>
      </c>
    </row>
    <row r="38" spans="1:19" ht="24" x14ac:dyDescent="0.25">
      <c r="A38" s="5" t="s">
        <v>44</v>
      </c>
      <c r="B38" s="5" t="s">
        <v>17</v>
      </c>
      <c r="C38" s="241" t="s">
        <v>49</v>
      </c>
      <c r="D38" s="5" t="s">
        <v>19</v>
      </c>
      <c r="E38" s="7" t="s">
        <v>20</v>
      </c>
      <c r="F38" s="5" t="s">
        <v>21</v>
      </c>
      <c r="G38" s="8" t="s">
        <v>441</v>
      </c>
      <c r="H38" s="8">
        <v>30</v>
      </c>
      <c r="I38" s="8">
        <v>3</v>
      </c>
      <c r="J38" s="9">
        <f>(9.77*1750905)+1500</f>
        <v>17107841.849999998</v>
      </c>
      <c r="K38" s="9">
        <f>+J38*10%</f>
        <v>1710784.1849999998</v>
      </c>
      <c r="L38" s="9">
        <f t="shared" si="1"/>
        <v>18818626.034999996</v>
      </c>
      <c r="M38" s="9">
        <f t="shared" si="2"/>
        <v>56455878.104999989</v>
      </c>
      <c r="N38" s="10">
        <f t="shared" si="3"/>
        <v>5645588</v>
      </c>
      <c r="O38" s="9">
        <f t="shared" si="4"/>
        <v>1072662</v>
      </c>
      <c r="P38" s="9">
        <f t="shared" si="5"/>
        <v>57528540</v>
      </c>
      <c r="Q38" s="218"/>
      <c r="R38" s="217">
        <f>P38</f>
        <v>57528540</v>
      </c>
    </row>
    <row r="39" spans="1:19" ht="24" x14ac:dyDescent="0.25">
      <c r="A39" s="5" t="s">
        <v>44</v>
      </c>
      <c r="B39" s="5" t="s">
        <v>17</v>
      </c>
      <c r="C39" s="241" t="s">
        <v>49</v>
      </c>
      <c r="D39" s="5" t="s">
        <v>40</v>
      </c>
      <c r="E39" s="7" t="s">
        <v>22</v>
      </c>
      <c r="F39" s="5" t="s">
        <v>25</v>
      </c>
      <c r="G39" s="8" t="s">
        <v>441</v>
      </c>
      <c r="H39" s="8">
        <v>30</v>
      </c>
      <c r="I39" s="247">
        <f>8-1</f>
        <v>7</v>
      </c>
      <c r="J39" s="9">
        <f>((((9.77*1750905)+1500)*0.4759)/13*12)/30*20</f>
        <v>5010228.8839476919</v>
      </c>
      <c r="K39" s="9">
        <f>+J39*0.08</f>
        <v>400818.31071581534</v>
      </c>
      <c r="L39" s="9">
        <f t="shared" si="1"/>
        <v>5411047.1946635069</v>
      </c>
      <c r="M39" s="9">
        <f t="shared" si="2"/>
        <v>37877330.362644546</v>
      </c>
      <c r="N39" s="10">
        <f t="shared" si="3"/>
        <v>3787733</v>
      </c>
      <c r="O39" s="9">
        <f t="shared" si="4"/>
        <v>719669</v>
      </c>
      <c r="P39" s="9">
        <f t="shared" si="5"/>
        <v>38596999</v>
      </c>
      <c r="R39" s="250">
        <f>P39</f>
        <v>38596999</v>
      </c>
      <c r="S39">
        <v>1</v>
      </c>
    </row>
    <row r="40" spans="1:19" ht="24" x14ac:dyDescent="0.25">
      <c r="A40" s="5" t="s">
        <v>44</v>
      </c>
      <c r="B40" s="5" t="s">
        <v>17</v>
      </c>
      <c r="C40" s="241" t="s">
        <v>50</v>
      </c>
      <c r="D40" s="5" t="s">
        <v>19</v>
      </c>
      <c r="E40" s="7" t="s">
        <v>20</v>
      </c>
      <c r="F40" s="5" t="s">
        <v>21</v>
      </c>
      <c r="G40" s="8" t="s">
        <v>441</v>
      </c>
      <c r="H40" s="8">
        <v>30</v>
      </c>
      <c r="I40" s="8">
        <v>1</v>
      </c>
      <c r="J40" s="9">
        <f>(9.77*1750905)+1500</f>
        <v>17107841.849999998</v>
      </c>
      <c r="K40" s="9">
        <f>+J40*10%</f>
        <v>1710784.1849999998</v>
      </c>
      <c r="L40" s="9">
        <f t="shared" si="1"/>
        <v>18818626.034999996</v>
      </c>
      <c r="M40" s="9">
        <f t="shared" si="2"/>
        <v>18818626.034999996</v>
      </c>
      <c r="N40" s="10">
        <f t="shared" si="3"/>
        <v>1881863</v>
      </c>
      <c r="O40" s="9">
        <f t="shared" si="4"/>
        <v>357554</v>
      </c>
      <c r="P40" s="9">
        <f t="shared" si="5"/>
        <v>19176180</v>
      </c>
      <c r="Q40" s="218"/>
      <c r="R40" s="217">
        <f>P40</f>
        <v>19176180</v>
      </c>
    </row>
    <row r="41" spans="1:19" ht="24" x14ac:dyDescent="0.25">
      <c r="A41" s="5" t="s">
        <v>44</v>
      </c>
      <c r="B41" s="5" t="s">
        <v>17</v>
      </c>
      <c r="C41" s="241" t="s">
        <v>50</v>
      </c>
      <c r="D41" s="5" t="s">
        <v>40</v>
      </c>
      <c r="E41" s="7" t="s">
        <v>22</v>
      </c>
      <c r="F41" s="5" t="s">
        <v>25</v>
      </c>
      <c r="G41" s="8" t="s">
        <v>441</v>
      </c>
      <c r="H41" s="8">
        <v>30</v>
      </c>
      <c r="I41" s="8">
        <v>1</v>
      </c>
      <c r="J41" s="9">
        <f>((((9.77*1750905)+1500)*0.4759)/13*12)/30*20</f>
        <v>5010228.8839476919</v>
      </c>
      <c r="K41" s="9">
        <f>+J41*0.08</f>
        <v>400818.31071581534</v>
      </c>
      <c r="L41" s="9">
        <f t="shared" si="1"/>
        <v>5411047.1946635069</v>
      </c>
      <c r="M41" s="9">
        <f t="shared" si="2"/>
        <v>5411047.1946635069</v>
      </c>
      <c r="N41" s="10">
        <f t="shared" si="3"/>
        <v>541105</v>
      </c>
      <c r="O41" s="9">
        <f t="shared" si="4"/>
        <v>102810</v>
      </c>
      <c r="P41" s="9">
        <f t="shared" si="5"/>
        <v>5513857</v>
      </c>
      <c r="R41" s="215">
        <f>P41</f>
        <v>5513857</v>
      </c>
    </row>
    <row r="42" spans="1:19" ht="24" x14ac:dyDescent="0.25">
      <c r="A42" s="5" t="s">
        <v>44</v>
      </c>
      <c r="B42" s="5" t="s">
        <v>17</v>
      </c>
      <c r="C42" s="241" t="s">
        <v>51</v>
      </c>
      <c r="D42" s="5" t="s">
        <v>19</v>
      </c>
      <c r="E42" s="7" t="s">
        <v>20</v>
      </c>
      <c r="F42" s="5" t="s">
        <v>21</v>
      </c>
      <c r="G42" s="8" t="s">
        <v>441</v>
      </c>
      <c r="H42" s="8">
        <v>30</v>
      </c>
      <c r="I42" s="8">
        <v>1</v>
      </c>
      <c r="J42" s="9">
        <f>(9.77*1750905)+1500</f>
        <v>17107841.849999998</v>
      </c>
      <c r="K42" s="9">
        <f t="shared" ref="K42:K44" si="16">+J42*10%</f>
        <v>1710784.1849999998</v>
      </c>
      <c r="L42" s="9">
        <f t="shared" si="1"/>
        <v>18818626.034999996</v>
      </c>
      <c r="M42" s="9">
        <f t="shared" si="2"/>
        <v>18818626.034999996</v>
      </c>
      <c r="N42" s="10">
        <f t="shared" si="3"/>
        <v>1881863</v>
      </c>
      <c r="O42" s="9">
        <f t="shared" si="4"/>
        <v>357554</v>
      </c>
      <c r="P42" s="9">
        <f t="shared" si="5"/>
        <v>19176180</v>
      </c>
      <c r="Q42" s="218"/>
      <c r="R42" s="217">
        <f t="shared" ref="R42:R51" si="17">P42</f>
        <v>19176180</v>
      </c>
    </row>
    <row r="43" spans="1:19" ht="24" x14ac:dyDescent="0.25">
      <c r="A43" s="5" t="s">
        <v>44</v>
      </c>
      <c r="B43" s="5" t="s">
        <v>17</v>
      </c>
      <c r="C43" s="241" t="s">
        <v>52</v>
      </c>
      <c r="D43" s="5" t="s">
        <v>19</v>
      </c>
      <c r="E43" s="7" t="s">
        <v>20</v>
      </c>
      <c r="F43" s="5" t="s">
        <v>21</v>
      </c>
      <c r="G43" s="8" t="s">
        <v>441</v>
      </c>
      <c r="H43" s="8">
        <v>30</v>
      </c>
      <c r="I43" s="247">
        <f>9-4</f>
        <v>5</v>
      </c>
      <c r="J43" s="9">
        <f>(9.77*1750905)+1500</f>
        <v>17107841.849999998</v>
      </c>
      <c r="K43" s="9">
        <f t="shared" si="16"/>
        <v>1710784.1849999998</v>
      </c>
      <c r="L43" s="9">
        <f t="shared" si="1"/>
        <v>18818626.034999996</v>
      </c>
      <c r="M43" s="9">
        <f t="shared" si="2"/>
        <v>94093130.174999982</v>
      </c>
      <c r="N43" s="10">
        <f t="shared" si="3"/>
        <v>9409313</v>
      </c>
      <c r="O43" s="9">
        <f t="shared" si="4"/>
        <v>1787769</v>
      </c>
      <c r="P43" s="9">
        <f t="shared" si="5"/>
        <v>95880899</v>
      </c>
      <c r="Q43" s="218"/>
      <c r="R43" s="251">
        <f t="shared" si="17"/>
        <v>95880899</v>
      </c>
      <c r="S43">
        <v>4</v>
      </c>
    </row>
    <row r="44" spans="1:19" ht="24" x14ac:dyDescent="0.25">
      <c r="A44" s="5" t="s">
        <v>44</v>
      </c>
      <c r="B44" s="5" t="s">
        <v>17</v>
      </c>
      <c r="C44" s="244" t="s">
        <v>53</v>
      </c>
      <c r="D44" s="245" t="s">
        <v>19</v>
      </c>
      <c r="E44" s="246" t="s">
        <v>20</v>
      </c>
      <c r="F44" s="245" t="s">
        <v>21</v>
      </c>
      <c r="G44" s="247" t="s">
        <v>441</v>
      </c>
      <c r="H44" s="247">
        <v>30</v>
      </c>
      <c r="I44" s="247">
        <v>1</v>
      </c>
      <c r="J44" s="248">
        <f>(9.77*1750905)+1500</f>
        <v>17107841.849999998</v>
      </c>
      <c r="K44" s="248">
        <f t="shared" si="16"/>
        <v>1710784.1849999998</v>
      </c>
      <c r="L44" s="248">
        <f t="shared" si="1"/>
        <v>18818626.034999996</v>
      </c>
      <c r="M44" s="248">
        <f t="shared" si="2"/>
        <v>18818626.034999996</v>
      </c>
      <c r="N44" s="249">
        <f t="shared" si="3"/>
        <v>1881863</v>
      </c>
      <c r="O44" s="248">
        <f t="shared" si="4"/>
        <v>357554</v>
      </c>
      <c r="P44" s="248">
        <f t="shared" si="5"/>
        <v>19176180</v>
      </c>
      <c r="Q44" s="217"/>
      <c r="R44" s="217">
        <f t="shared" si="17"/>
        <v>19176180</v>
      </c>
    </row>
    <row r="45" spans="1:19" ht="24" x14ac:dyDescent="0.25">
      <c r="A45" s="5" t="s">
        <v>44</v>
      </c>
      <c r="B45" s="5" t="s">
        <v>17</v>
      </c>
      <c r="C45" s="244" t="s">
        <v>53</v>
      </c>
      <c r="D45" s="245" t="s">
        <v>19</v>
      </c>
      <c r="E45" s="246" t="s">
        <v>22</v>
      </c>
      <c r="F45" s="245" t="s">
        <v>47</v>
      </c>
      <c r="G45" s="247" t="s">
        <v>441</v>
      </c>
      <c r="H45" s="247">
        <v>30</v>
      </c>
      <c r="I45" s="247">
        <v>1</v>
      </c>
      <c r="J45" s="248">
        <f>(9.77*1750905)+1500</f>
        <v>17107841.849999998</v>
      </c>
      <c r="K45" s="248">
        <f t="shared" ref="K45:K46" si="18">+J45*0.08</f>
        <v>1368627.3479999998</v>
      </c>
      <c r="L45" s="248">
        <f t="shared" si="1"/>
        <v>18476469.197999999</v>
      </c>
      <c r="M45" s="248">
        <f t="shared" si="2"/>
        <v>18476469.197999999</v>
      </c>
      <c r="N45" s="249">
        <f t="shared" si="3"/>
        <v>1847647</v>
      </c>
      <c r="O45" s="248">
        <f t="shared" si="4"/>
        <v>351053</v>
      </c>
      <c r="P45" s="248">
        <f t="shared" si="5"/>
        <v>18827522</v>
      </c>
      <c r="Q45" s="215"/>
      <c r="R45" s="217">
        <f t="shared" si="17"/>
        <v>18827522</v>
      </c>
    </row>
    <row r="46" spans="1:19" ht="24" x14ac:dyDescent="0.25">
      <c r="A46" s="5" t="s">
        <v>44</v>
      </c>
      <c r="B46" s="5" t="s">
        <v>17</v>
      </c>
      <c r="C46" s="244" t="s">
        <v>53</v>
      </c>
      <c r="D46" s="245" t="s">
        <v>40</v>
      </c>
      <c r="E46" s="246" t="s">
        <v>22</v>
      </c>
      <c r="F46" s="245" t="s">
        <v>25</v>
      </c>
      <c r="G46" s="247" t="s">
        <v>441</v>
      </c>
      <c r="H46" s="247">
        <v>30</v>
      </c>
      <c r="I46" s="247">
        <v>1</v>
      </c>
      <c r="J46" s="248">
        <f>((((9.77*1750905)+1500)*0.4759)/13*12)/30*20</f>
        <v>5010228.8839476919</v>
      </c>
      <c r="K46" s="248">
        <f t="shared" si="18"/>
        <v>400818.31071581534</v>
      </c>
      <c r="L46" s="248">
        <f t="shared" si="1"/>
        <v>5411047.1946635069</v>
      </c>
      <c r="M46" s="248">
        <f t="shared" si="2"/>
        <v>5411047.1946635069</v>
      </c>
      <c r="N46" s="249">
        <f t="shared" si="3"/>
        <v>541105</v>
      </c>
      <c r="O46" s="248">
        <f t="shared" si="4"/>
        <v>102810</v>
      </c>
      <c r="P46" s="248">
        <f t="shared" si="5"/>
        <v>5513857</v>
      </c>
      <c r="Q46" s="215"/>
      <c r="R46" s="217">
        <f t="shared" si="17"/>
        <v>5513857</v>
      </c>
    </row>
    <row r="47" spans="1:19" ht="24" x14ac:dyDescent="0.25">
      <c r="A47" s="5" t="s">
        <v>44</v>
      </c>
      <c r="B47" s="5" t="s">
        <v>17</v>
      </c>
      <c r="C47" s="244" t="s">
        <v>54</v>
      </c>
      <c r="D47" s="245" t="s">
        <v>19</v>
      </c>
      <c r="E47" s="246" t="s">
        <v>20</v>
      </c>
      <c r="F47" s="245" t="s">
        <v>21</v>
      </c>
      <c r="G47" s="247" t="s">
        <v>441</v>
      </c>
      <c r="H47" s="247">
        <v>30</v>
      </c>
      <c r="I47" s="247">
        <v>1</v>
      </c>
      <c r="J47" s="248">
        <f>(9.77*1750905)+1500</f>
        <v>17107841.849999998</v>
      </c>
      <c r="K47" s="248">
        <f>+J47*10%</f>
        <v>1710784.1849999998</v>
      </c>
      <c r="L47" s="248">
        <f t="shared" si="1"/>
        <v>18818626.034999996</v>
      </c>
      <c r="M47" s="248">
        <f t="shared" si="2"/>
        <v>18818626.034999996</v>
      </c>
      <c r="N47" s="249">
        <f t="shared" si="3"/>
        <v>1881863</v>
      </c>
      <c r="O47" s="248">
        <f t="shared" si="4"/>
        <v>357554</v>
      </c>
      <c r="P47" s="248">
        <f t="shared" si="5"/>
        <v>19176180</v>
      </c>
      <c r="Q47" s="217"/>
      <c r="R47" s="217">
        <f t="shared" si="17"/>
        <v>19176180</v>
      </c>
    </row>
    <row r="48" spans="1:19" ht="24" x14ac:dyDescent="0.25">
      <c r="A48" s="5" t="s">
        <v>44</v>
      </c>
      <c r="B48" s="5" t="s">
        <v>17</v>
      </c>
      <c r="C48" s="244" t="s">
        <v>54</v>
      </c>
      <c r="D48" s="245" t="s">
        <v>40</v>
      </c>
      <c r="E48" s="246" t="s">
        <v>22</v>
      </c>
      <c r="F48" s="245" t="s">
        <v>25</v>
      </c>
      <c r="G48" s="247" t="s">
        <v>441</v>
      </c>
      <c r="H48" s="247">
        <v>30</v>
      </c>
      <c r="I48" s="247">
        <v>1</v>
      </c>
      <c r="J48" s="248">
        <f>((((9.77*1750905)+1500)*0.4759)/13*12)/30*20</f>
        <v>5010228.8839476919</v>
      </c>
      <c r="K48" s="248">
        <f>+J48*0.08</f>
        <v>400818.31071581534</v>
      </c>
      <c r="L48" s="248">
        <f t="shared" si="1"/>
        <v>5411047.1946635069</v>
      </c>
      <c r="M48" s="248">
        <f t="shared" si="2"/>
        <v>5411047.1946635069</v>
      </c>
      <c r="N48" s="249">
        <f t="shared" si="3"/>
        <v>541105</v>
      </c>
      <c r="O48" s="248">
        <f t="shared" si="4"/>
        <v>102810</v>
      </c>
      <c r="P48" s="248">
        <f t="shared" si="5"/>
        <v>5513857</v>
      </c>
      <c r="Q48" s="215"/>
      <c r="R48" s="217">
        <f t="shared" si="17"/>
        <v>5513857</v>
      </c>
    </row>
    <row r="49" spans="1:19" ht="24" x14ac:dyDescent="0.25">
      <c r="A49" s="5" t="s">
        <v>44</v>
      </c>
      <c r="B49" s="5" t="s">
        <v>17</v>
      </c>
      <c r="C49" s="241" t="s">
        <v>55</v>
      </c>
      <c r="D49" s="5" t="s">
        <v>19</v>
      </c>
      <c r="E49" s="7" t="s">
        <v>20</v>
      </c>
      <c r="F49" s="5" t="s">
        <v>21</v>
      </c>
      <c r="G49" s="8" t="s">
        <v>441</v>
      </c>
      <c r="H49" s="8">
        <v>30</v>
      </c>
      <c r="I49" s="8">
        <v>1</v>
      </c>
      <c r="J49" s="9">
        <f>(9.77*1750905)+1500</f>
        <v>17107841.849999998</v>
      </c>
      <c r="K49" s="9">
        <f t="shared" ref="K49:K51" si="19">+J49*10%</f>
        <v>1710784.1849999998</v>
      </c>
      <c r="L49" s="9">
        <f t="shared" si="1"/>
        <v>18818626.034999996</v>
      </c>
      <c r="M49" s="9">
        <f t="shared" si="2"/>
        <v>18818626.034999996</v>
      </c>
      <c r="N49" s="10">
        <f t="shared" si="3"/>
        <v>1881863</v>
      </c>
      <c r="O49" s="9">
        <f t="shared" si="4"/>
        <v>357554</v>
      </c>
      <c r="P49" s="9">
        <f t="shared" si="5"/>
        <v>19176180</v>
      </c>
      <c r="Q49" s="218"/>
      <c r="R49" s="217">
        <f t="shared" si="17"/>
        <v>19176180</v>
      </c>
    </row>
    <row r="50" spans="1:19" ht="24" x14ac:dyDescent="0.25">
      <c r="A50" s="5" t="s">
        <v>44</v>
      </c>
      <c r="B50" s="5" t="s">
        <v>17</v>
      </c>
      <c r="C50" s="241" t="s">
        <v>56</v>
      </c>
      <c r="D50" s="5" t="s">
        <v>19</v>
      </c>
      <c r="E50" s="7" t="s">
        <v>20</v>
      </c>
      <c r="F50" s="5" t="s">
        <v>21</v>
      </c>
      <c r="G50" s="8" t="s">
        <v>441</v>
      </c>
      <c r="H50" s="8">
        <v>30</v>
      </c>
      <c r="I50" s="8">
        <v>3</v>
      </c>
      <c r="J50" s="9">
        <f>(9.77*1750905)+1500</f>
        <v>17107841.849999998</v>
      </c>
      <c r="K50" s="9">
        <f t="shared" si="19"/>
        <v>1710784.1849999998</v>
      </c>
      <c r="L50" s="9">
        <f t="shared" si="1"/>
        <v>18818626.034999996</v>
      </c>
      <c r="M50" s="9">
        <f t="shared" si="2"/>
        <v>56455878.104999989</v>
      </c>
      <c r="N50" s="10">
        <f t="shared" si="3"/>
        <v>5645588</v>
      </c>
      <c r="O50" s="9">
        <f t="shared" si="4"/>
        <v>1072662</v>
      </c>
      <c r="P50" s="9">
        <f t="shared" si="5"/>
        <v>57528540</v>
      </c>
      <c r="Q50" s="218"/>
      <c r="R50" s="217">
        <f t="shared" si="17"/>
        <v>57528540</v>
      </c>
    </row>
    <row r="51" spans="1:19" ht="24" x14ac:dyDescent="0.25">
      <c r="A51" s="5" t="s">
        <v>44</v>
      </c>
      <c r="B51" s="5" t="s">
        <v>17</v>
      </c>
      <c r="C51" s="241" t="s">
        <v>57</v>
      </c>
      <c r="D51" s="5" t="s">
        <v>19</v>
      </c>
      <c r="E51" s="7" t="s">
        <v>20</v>
      </c>
      <c r="F51" s="5" t="s">
        <v>21</v>
      </c>
      <c r="G51" s="8" t="s">
        <v>441</v>
      </c>
      <c r="H51" s="8">
        <v>30</v>
      </c>
      <c r="I51" s="8">
        <v>3</v>
      </c>
      <c r="J51" s="9">
        <f>(9.77*1750905)+1500</f>
        <v>17107841.849999998</v>
      </c>
      <c r="K51" s="9">
        <f t="shared" si="19"/>
        <v>1710784.1849999998</v>
      </c>
      <c r="L51" s="9">
        <f t="shared" si="1"/>
        <v>18818626.034999996</v>
      </c>
      <c r="M51" s="9">
        <f t="shared" si="2"/>
        <v>56455878.104999989</v>
      </c>
      <c r="N51" s="10">
        <f t="shared" si="3"/>
        <v>5645588</v>
      </c>
      <c r="O51" s="9">
        <f t="shared" si="4"/>
        <v>1072662</v>
      </c>
      <c r="P51" s="9">
        <f t="shared" si="5"/>
        <v>57528540</v>
      </c>
      <c r="Q51" s="218"/>
      <c r="R51" s="217">
        <f t="shared" si="17"/>
        <v>57528540</v>
      </c>
    </row>
    <row r="52" spans="1:19" ht="24" x14ac:dyDescent="0.25">
      <c r="A52" s="5" t="s">
        <v>44</v>
      </c>
      <c r="B52" s="5" t="s">
        <v>17</v>
      </c>
      <c r="C52" s="241" t="s">
        <v>57</v>
      </c>
      <c r="D52" s="5" t="s">
        <v>40</v>
      </c>
      <c r="E52" s="7" t="s">
        <v>22</v>
      </c>
      <c r="F52" s="5" t="s">
        <v>25</v>
      </c>
      <c r="G52" s="8" t="s">
        <v>441</v>
      </c>
      <c r="H52" s="8">
        <v>30</v>
      </c>
      <c r="I52" s="8">
        <v>2</v>
      </c>
      <c r="J52" s="9">
        <f>((((9.77*1750905)+1500)*0.4759)/13*12)/30*20</f>
        <v>5010228.8839476919</v>
      </c>
      <c r="K52" s="9">
        <f>+J52*0.08</f>
        <v>400818.31071581534</v>
      </c>
      <c r="L52" s="9">
        <f t="shared" si="1"/>
        <v>5411047.1946635069</v>
      </c>
      <c r="M52" s="9">
        <f t="shared" si="2"/>
        <v>10822094.389327014</v>
      </c>
      <c r="N52" s="10">
        <f t="shared" si="3"/>
        <v>1082209</v>
      </c>
      <c r="O52" s="9">
        <f t="shared" si="4"/>
        <v>205620</v>
      </c>
      <c r="P52" s="9">
        <f t="shared" si="5"/>
        <v>11027714</v>
      </c>
      <c r="R52" s="215">
        <f>P52</f>
        <v>11027714</v>
      </c>
    </row>
    <row r="53" spans="1:19" ht="24" x14ac:dyDescent="0.25">
      <c r="A53" s="5" t="s">
        <v>44</v>
      </c>
      <c r="B53" s="5" t="s">
        <v>17</v>
      </c>
      <c r="C53" s="241" t="s">
        <v>58</v>
      </c>
      <c r="D53" s="5" t="s">
        <v>19</v>
      </c>
      <c r="E53" s="7" t="s">
        <v>20</v>
      </c>
      <c r="F53" s="5" t="s">
        <v>21</v>
      </c>
      <c r="G53" s="8" t="s">
        <v>441</v>
      </c>
      <c r="H53" s="8">
        <v>30</v>
      </c>
      <c r="I53" s="8">
        <v>1</v>
      </c>
      <c r="J53" s="9">
        <f>(9.77*1750905)+1500</f>
        <v>17107841.849999998</v>
      </c>
      <c r="K53" s="9">
        <f>+J53*10%</f>
        <v>1710784.1849999998</v>
      </c>
      <c r="L53" s="9">
        <f t="shared" si="1"/>
        <v>18818626.034999996</v>
      </c>
      <c r="M53" s="9">
        <f t="shared" si="2"/>
        <v>18818626.034999996</v>
      </c>
      <c r="N53" s="10">
        <f t="shared" si="3"/>
        <v>1881863</v>
      </c>
      <c r="O53" s="9">
        <f t="shared" si="4"/>
        <v>357554</v>
      </c>
      <c r="P53" s="9">
        <f t="shared" si="5"/>
        <v>19176180</v>
      </c>
      <c r="Q53" s="218"/>
      <c r="R53" s="217">
        <f t="shared" ref="R53" si="20">P53</f>
        <v>19176180</v>
      </c>
    </row>
    <row r="54" spans="1:19" ht="15.75" customHeight="1" x14ac:dyDescent="0.25">
      <c r="A54" s="261" t="s">
        <v>59</v>
      </c>
      <c r="B54" s="259"/>
      <c r="C54" s="259"/>
      <c r="D54" s="259"/>
      <c r="E54" s="259"/>
      <c r="F54" s="259"/>
      <c r="G54" s="259"/>
      <c r="H54" s="260"/>
      <c r="I54" s="12">
        <f t="shared" ref="I54:R54" si="21">SUM(I3:I53)</f>
        <v>155</v>
      </c>
      <c r="J54" s="13">
        <f t="shared" si="21"/>
        <v>682946310.00032163</v>
      </c>
      <c r="K54" s="13">
        <f t="shared" si="21"/>
        <v>64900409.910025731</v>
      </c>
      <c r="L54" s="13">
        <f t="shared" si="21"/>
        <v>747846719.91034663</v>
      </c>
      <c r="M54" s="13">
        <f t="shared" si="21"/>
        <v>2210892889.2825603</v>
      </c>
      <c r="N54" s="13">
        <f t="shared" si="21"/>
        <v>221089297</v>
      </c>
      <c r="O54" s="13">
        <f t="shared" si="21"/>
        <v>42006971</v>
      </c>
      <c r="P54" s="13">
        <f t="shared" si="21"/>
        <v>2252899857</v>
      </c>
      <c r="Q54" s="13">
        <f t="shared" si="21"/>
        <v>1067116515</v>
      </c>
      <c r="R54" s="13">
        <f t="shared" si="21"/>
        <v>1185783342</v>
      </c>
      <c r="S54" s="252">
        <f>SUM(S3:S53)</f>
        <v>19</v>
      </c>
    </row>
    <row r="55" spans="1:19" ht="15.75" customHeight="1" thickBot="1" x14ac:dyDescent="0.3">
      <c r="A55" s="14"/>
      <c r="B55" s="242"/>
      <c r="C55" s="242"/>
      <c r="D55" s="242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9" ht="15.75" customHeight="1" x14ac:dyDescent="0.25">
      <c r="A56" s="14"/>
      <c r="B56" s="242"/>
      <c r="C56" s="242"/>
      <c r="D56" s="242"/>
      <c r="E56" s="14"/>
      <c r="F56" s="14"/>
      <c r="G56" s="14"/>
      <c r="H56" s="14"/>
      <c r="I56" s="14"/>
      <c r="K56" s="262" t="s">
        <v>426</v>
      </c>
      <c r="L56" s="263"/>
      <c r="M56" s="264"/>
      <c r="N56" s="15"/>
      <c r="O56" s="15"/>
      <c r="P56" s="15"/>
    </row>
    <row r="57" spans="1:19" ht="15.75" customHeight="1" x14ac:dyDescent="0.25">
      <c r="A57" s="14"/>
      <c r="B57" s="242"/>
      <c r="C57" s="242"/>
      <c r="D57" s="242"/>
      <c r="E57" s="14"/>
      <c r="F57" s="14"/>
      <c r="G57" s="14"/>
      <c r="H57" s="14"/>
      <c r="I57" s="14"/>
      <c r="K57" s="193" t="s">
        <v>60</v>
      </c>
      <c r="L57" s="16"/>
      <c r="M57" s="194">
        <f>M54</f>
        <v>2210892889.2825603</v>
      </c>
      <c r="N57" s="15"/>
      <c r="O57" s="115"/>
      <c r="P57" s="115">
        <f>P54-'[1]Mayo 2026'!$P$54</f>
        <v>0</v>
      </c>
    </row>
    <row r="58" spans="1:19" ht="15.75" customHeight="1" x14ac:dyDescent="0.25">
      <c r="A58" s="14"/>
      <c r="B58" s="242"/>
      <c r="C58" s="242"/>
      <c r="D58" s="242"/>
      <c r="E58" s="14"/>
      <c r="F58" s="14"/>
      <c r="G58" s="14"/>
      <c r="H58" s="14"/>
      <c r="I58" s="14"/>
      <c r="J58" s="214"/>
      <c r="K58" s="193" t="s">
        <v>61</v>
      </c>
      <c r="L58" s="16"/>
      <c r="M58" s="194">
        <f>O54</f>
        <v>42006971</v>
      </c>
      <c r="N58" s="15"/>
      <c r="O58" s="115"/>
      <c r="P58" s="15"/>
    </row>
    <row r="59" spans="1:19" ht="15.75" customHeight="1" thickBot="1" x14ac:dyDescent="0.3">
      <c r="A59" s="14"/>
      <c r="B59" s="242"/>
      <c r="C59" s="242"/>
      <c r="D59" s="242"/>
      <c r="E59" s="14"/>
      <c r="F59" s="14"/>
      <c r="G59" s="14"/>
      <c r="H59" s="14"/>
      <c r="I59" s="14"/>
      <c r="J59" s="214"/>
      <c r="K59" s="195" t="s">
        <v>62</v>
      </c>
      <c r="L59" s="196"/>
      <c r="M59" s="197">
        <f>P54</f>
        <v>2252899857</v>
      </c>
      <c r="N59" s="15"/>
      <c r="O59" s="15"/>
      <c r="P59" s="15"/>
    </row>
    <row r="60" spans="1:19" ht="15.75" customHeight="1" thickBot="1" x14ac:dyDescent="0.3">
      <c r="A60" s="14"/>
      <c r="B60" s="242"/>
      <c r="C60" s="242"/>
      <c r="D60" s="242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9" ht="28.5" customHeight="1" x14ac:dyDescent="0.25">
      <c r="A61" s="14"/>
      <c r="B61" s="242"/>
      <c r="C61" s="242"/>
      <c r="D61" s="242"/>
      <c r="E61" s="14"/>
      <c r="F61" s="14"/>
      <c r="G61" s="14"/>
      <c r="H61" s="14"/>
      <c r="I61" s="14"/>
      <c r="K61" s="265" t="s">
        <v>430</v>
      </c>
      <c r="L61" s="266"/>
      <c r="M61" s="267"/>
      <c r="N61" s="15"/>
      <c r="O61" s="15"/>
      <c r="P61" s="15"/>
    </row>
    <row r="62" spans="1:19" ht="15.75" customHeight="1" x14ac:dyDescent="0.25">
      <c r="A62" s="14"/>
      <c r="B62" s="242"/>
      <c r="C62" s="242"/>
      <c r="D62" s="242"/>
      <c r="E62" s="14"/>
      <c r="F62" s="14"/>
      <c r="G62" s="14"/>
      <c r="H62" s="14"/>
      <c r="I62" s="14"/>
      <c r="K62" s="193" t="s">
        <v>60</v>
      </c>
      <c r="L62" s="210"/>
      <c r="M62" s="211">
        <v>1718258</v>
      </c>
      <c r="N62" s="15"/>
      <c r="O62" s="15"/>
    </row>
    <row r="63" spans="1:19" ht="15.75" customHeight="1" x14ac:dyDescent="0.25">
      <c r="A63" s="14"/>
      <c r="B63" s="242"/>
      <c r="C63" s="242"/>
      <c r="D63" s="242"/>
      <c r="E63" s="14"/>
      <c r="F63" s="14"/>
      <c r="G63" s="14"/>
      <c r="H63" s="14"/>
      <c r="I63" s="14"/>
      <c r="K63" s="193" t="s">
        <v>61</v>
      </c>
      <c r="L63" s="210"/>
      <c r="M63" s="211">
        <f>+M62*1.9/100</f>
        <v>32646.901999999998</v>
      </c>
      <c r="N63" s="15"/>
      <c r="O63" s="15"/>
    </row>
    <row r="64" spans="1:19" ht="15.75" customHeight="1" thickBot="1" x14ac:dyDescent="0.3">
      <c r="A64" s="14"/>
      <c r="B64" s="242"/>
      <c r="C64" s="242"/>
      <c r="D64" s="242"/>
      <c r="E64" s="14"/>
      <c r="F64" s="14"/>
      <c r="G64" s="14"/>
      <c r="H64" s="14"/>
      <c r="I64" s="14"/>
      <c r="K64" s="195" t="s">
        <v>62</v>
      </c>
      <c r="L64" s="212"/>
      <c r="M64" s="213">
        <f>+M62+M63</f>
        <v>1750904.902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242"/>
      <c r="C66" s="242"/>
      <c r="D66" s="242"/>
      <c r="E66" s="14"/>
      <c r="F66" s="14"/>
      <c r="G66" s="14"/>
      <c r="H66" s="14"/>
      <c r="I66" s="14"/>
      <c r="K66" s="198" t="s">
        <v>431</v>
      </c>
      <c r="L66" s="199"/>
      <c r="M66" s="200">
        <f>+M59-M64</f>
        <v>2251148952.098</v>
      </c>
      <c r="N66" s="115"/>
      <c r="O66" s="15"/>
      <c r="P66" s="15"/>
    </row>
    <row r="67" spans="1:16" ht="15.75" customHeight="1" x14ac:dyDescent="0.25">
      <c r="A67" s="14"/>
      <c r="B67" s="242"/>
      <c r="C67" s="242"/>
      <c r="D67" s="242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68" t="s">
        <v>63</v>
      </c>
      <c r="B68" s="259"/>
      <c r="C68" s="259"/>
      <c r="D68" s="259"/>
      <c r="E68" s="259"/>
      <c r="F68" s="259"/>
      <c r="G68" s="259"/>
      <c r="H68" s="259"/>
      <c r="I68" s="259"/>
      <c r="J68" s="259"/>
      <c r="K68" s="259"/>
      <c r="L68" s="259"/>
      <c r="M68" s="259"/>
      <c r="N68" s="259"/>
      <c r="O68" s="259"/>
      <c r="P68" s="260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241" t="s">
        <v>65</v>
      </c>
      <c r="D70" s="5" t="s">
        <v>19</v>
      </c>
      <c r="E70" s="7" t="s">
        <v>20</v>
      </c>
      <c r="F70" s="5"/>
      <c r="G70" s="8" t="s">
        <v>432</v>
      </c>
      <c r="H70" s="8">
        <v>30</v>
      </c>
      <c r="I70" s="8">
        <v>5</v>
      </c>
      <c r="J70" s="9">
        <f>9.77*1750905+1500</f>
        <v>17107841.849999998</v>
      </c>
      <c r="K70" s="9">
        <f>+J70*0.1</f>
        <v>1710784.1849999998</v>
      </c>
      <c r="L70" s="9">
        <f>(J70+K70)/30*H70</f>
        <v>18818626.034999996</v>
      </c>
      <c r="M70" s="9">
        <f>L70*I70</f>
        <v>94093130.174999982</v>
      </c>
      <c r="N70" s="10">
        <f>ROUND(M70*10%,0)</f>
        <v>9409313</v>
      </c>
      <c r="O70" s="9">
        <f t="shared" ref="O70:O72" si="22">+N70*19%</f>
        <v>1787769.47</v>
      </c>
      <c r="P70" s="9">
        <f>+ROUND(M70+O70,0)</f>
        <v>95880900</v>
      </c>
    </row>
    <row r="71" spans="1:16" ht="15.75" customHeight="1" x14ac:dyDescent="0.25">
      <c r="A71" s="5" t="s">
        <v>16</v>
      </c>
      <c r="B71" s="5" t="s">
        <v>64</v>
      </c>
      <c r="C71" s="241" t="s">
        <v>65</v>
      </c>
      <c r="D71" s="5" t="s">
        <v>19</v>
      </c>
      <c r="E71" s="7" t="s">
        <v>22</v>
      </c>
      <c r="F71" s="5"/>
      <c r="G71" s="8" t="s">
        <v>432</v>
      </c>
      <c r="H71" s="8">
        <v>30</v>
      </c>
      <c r="I71" s="8">
        <v>1</v>
      </c>
      <c r="J71" s="9">
        <f>9.77*1750905+1500</f>
        <v>17107841.849999998</v>
      </c>
      <c r="K71" s="9">
        <f>+J71*0.08</f>
        <v>1368627.3479999998</v>
      </c>
      <c r="L71" s="9">
        <f t="shared" ref="L71" si="23">(J71+K71)/30*H71</f>
        <v>18476469.197999999</v>
      </c>
      <c r="M71" s="9">
        <f>L71*I71</f>
        <v>18476469.197999999</v>
      </c>
      <c r="N71" s="10">
        <f t="shared" ref="N71:N72" si="24">+M71*10%</f>
        <v>1847646.9198</v>
      </c>
      <c r="O71" s="9">
        <f t="shared" si="22"/>
        <v>351052.91476200003</v>
      </c>
      <c r="P71" s="9">
        <f t="shared" ref="P71:P72" si="25">+ROUND(M71+O71,0)</f>
        <v>18827522</v>
      </c>
    </row>
    <row r="72" spans="1:16" ht="15.75" customHeight="1" x14ac:dyDescent="0.25">
      <c r="A72" s="5" t="s">
        <v>16</v>
      </c>
      <c r="B72" s="5" t="s">
        <v>64</v>
      </c>
      <c r="C72" s="241" t="s">
        <v>65</v>
      </c>
      <c r="D72" s="5" t="s">
        <v>40</v>
      </c>
      <c r="E72" s="7" t="s">
        <v>22</v>
      </c>
      <c r="F72" s="5"/>
      <c r="G72" s="8" t="s">
        <v>432</v>
      </c>
      <c r="H72" s="8">
        <v>30</v>
      </c>
      <c r="I72" s="8">
        <v>1</v>
      </c>
      <c r="J72" s="9">
        <f>((((9.77*1750905)+1500)*0.4759)/13*12)/30*20</f>
        <v>5010228.8839476919</v>
      </c>
      <c r="K72" s="9">
        <f>+J72*0.08</f>
        <v>400818.31071581534</v>
      </c>
      <c r="L72" s="9">
        <f>(J72+K72)/30*H72</f>
        <v>5411047.1946635069</v>
      </c>
      <c r="M72" s="9">
        <f>L72*I72</f>
        <v>5411047.1946635069</v>
      </c>
      <c r="N72" s="10">
        <f t="shared" si="24"/>
        <v>541104.71946635074</v>
      </c>
      <c r="O72" s="9">
        <f t="shared" si="22"/>
        <v>102809.89669860664</v>
      </c>
      <c r="P72" s="9">
        <f t="shared" si="25"/>
        <v>5513857</v>
      </c>
    </row>
    <row r="73" spans="1:16" ht="15.75" customHeight="1" x14ac:dyDescent="0.25">
      <c r="A73" s="261" t="s">
        <v>59</v>
      </c>
      <c r="B73" s="259"/>
      <c r="C73" s="259"/>
      <c r="D73" s="259"/>
      <c r="E73" s="259"/>
      <c r="F73" s="259"/>
      <c r="G73" s="259"/>
      <c r="H73" s="260"/>
      <c r="I73" s="192">
        <f t="shared" ref="I73:P73" si="26">I70+I71+I72</f>
        <v>7</v>
      </c>
      <c r="J73" s="12">
        <f t="shared" si="26"/>
        <v>39225912.583947688</v>
      </c>
      <c r="K73" s="12">
        <f t="shared" si="26"/>
        <v>3480229.8437158153</v>
      </c>
      <c r="L73" s="12">
        <f t="shared" si="26"/>
        <v>42706142.427663505</v>
      </c>
      <c r="M73" s="12">
        <f t="shared" si="26"/>
        <v>117980646.56766349</v>
      </c>
      <c r="N73" s="12">
        <f t="shared" si="26"/>
        <v>11798064.639266351</v>
      </c>
      <c r="O73" s="12">
        <f t="shared" si="26"/>
        <v>2241632.2814606065</v>
      </c>
      <c r="P73" s="12">
        <f t="shared" si="26"/>
        <v>120222279</v>
      </c>
    </row>
    <row r="74" spans="1:16" ht="15.75" customHeight="1" x14ac:dyDescent="0.25">
      <c r="A74" s="14"/>
      <c r="B74" s="242"/>
      <c r="C74" s="242"/>
      <c r="D74" s="242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6" spans="1:16" ht="15" customHeight="1" x14ac:dyDescent="0.25">
      <c r="J76" s="257"/>
      <c r="K76" s="257"/>
      <c r="L76" s="257"/>
      <c r="M76" s="257"/>
      <c r="N76" s="257"/>
      <c r="O76" s="257"/>
      <c r="P76" s="219">
        <f>P61+P74</f>
        <v>0</v>
      </c>
    </row>
    <row r="77" spans="1:16" ht="15" customHeight="1" x14ac:dyDescent="0.25">
      <c r="J77" s="257" t="s">
        <v>439</v>
      </c>
      <c r="K77" s="257"/>
      <c r="L77" s="257"/>
      <c r="M77" s="257"/>
      <c r="N77" s="257"/>
      <c r="O77" s="257"/>
    </row>
    <row r="78" spans="1:16" ht="15" customHeight="1" x14ac:dyDescent="0.25">
      <c r="J78" s="220" t="s">
        <v>435</v>
      </c>
      <c r="K78" s="220" t="s">
        <v>442</v>
      </c>
      <c r="L78" s="221" t="s">
        <v>442</v>
      </c>
      <c r="M78" s="220" t="s">
        <v>436</v>
      </c>
      <c r="N78" s="220" t="str">
        <f>K78</f>
        <v xml:space="preserve">FACTURA  </v>
      </c>
      <c r="O78" s="221" t="str">
        <f>L78</f>
        <v xml:space="preserve">FACTURA  </v>
      </c>
      <c r="P78" s="222" t="s">
        <v>62</v>
      </c>
    </row>
    <row r="79" spans="1:16" ht="15" customHeight="1" x14ac:dyDescent="0.25">
      <c r="J79" s="223" t="s">
        <v>437</v>
      </c>
      <c r="K79" s="224">
        <f>Q54/1.019</f>
        <v>1047219347.3994113</v>
      </c>
      <c r="L79" s="225">
        <f>+M73</f>
        <v>117980646.56766349</v>
      </c>
      <c r="M79" s="226">
        <f>K79+L79</f>
        <v>1165199993.9670749</v>
      </c>
      <c r="N79" s="227">
        <f>K79/K81</f>
        <v>0.47366353710057518</v>
      </c>
      <c r="O79" s="228">
        <f>L79/L81</f>
        <v>1</v>
      </c>
      <c r="P79" s="229">
        <f>M79/M81</f>
        <v>0.50032772267152836</v>
      </c>
    </row>
    <row r="80" spans="1:16" ht="15" customHeight="1" x14ac:dyDescent="0.25">
      <c r="J80" s="230" t="s">
        <v>434</v>
      </c>
      <c r="K80" s="231">
        <f>R54/1.019</f>
        <v>1163673544.6516194</v>
      </c>
      <c r="L80" s="232">
        <v>0</v>
      </c>
      <c r="M80" s="233">
        <f t="shared" ref="M80:M81" si="27">K80+L80</f>
        <v>1163673544.6516194</v>
      </c>
      <c r="N80" s="227">
        <f>K80/K81</f>
        <v>0.52633646289942482</v>
      </c>
      <c r="O80" s="234"/>
      <c r="P80" s="229">
        <f>M80/M81</f>
        <v>0.49967227732847169</v>
      </c>
    </row>
    <row r="81" spans="10:16" ht="15" customHeight="1" x14ac:dyDescent="0.25">
      <c r="J81" s="230" t="s">
        <v>207</v>
      </c>
      <c r="K81" s="231">
        <f>K79+K80</f>
        <v>2210892892.0510306</v>
      </c>
      <c r="L81" s="232">
        <f>L79+L80</f>
        <v>117980646.56766349</v>
      </c>
      <c r="M81" s="233">
        <f t="shared" si="27"/>
        <v>2328873538.6186943</v>
      </c>
      <c r="N81" s="235">
        <f>SUM(N79:N80)</f>
        <v>1</v>
      </c>
      <c r="O81" s="235">
        <f>SUM(O79:O80)</f>
        <v>1</v>
      </c>
      <c r="P81" s="236"/>
    </row>
    <row r="82" spans="10:16" ht="15" customHeight="1" x14ac:dyDescent="0.25">
      <c r="J82" s="230" t="s">
        <v>61</v>
      </c>
      <c r="K82" s="231">
        <f>K81*10%*19%</f>
        <v>42006964.94896958</v>
      </c>
      <c r="L82" s="232">
        <f>L81*10%*19%</f>
        <v>2241632.2847856064</v>
      </c>
      <c r="M82" s="231">
        <f>M81*10%*19%</f>
        <v>44248597.233755194</v>
      </c>
      <c r="P82" s="218"/>
    </row>
    <row r="83" spans="10:16" ht="15" customHeight="1" x14ac:dyDescent="0.25">
      <c r="J83" s="237" t="s">
        <v>438</v>
      </c>
      <c r="K83" s="238">
        <f>K81+K82</f>
        <v>2252899857</v>
      </c>
      <c r="L83" s="239">
        <f>L81+L82</f>
        <v>120222278.8524491</v>
      </c>
      <c r="M83" s="238">
        <f>M81+M82</f>
        <v>2373122135.8524494</v>
      </c>
      <c r="N83" s="243"/>
      <c r="P83" s="218"/>
    </row>
    <row r="85" spans="10:16" ht="15" customHeight="1" x14ac:dyDescent="0.25">
      <c r="M85" s="240"/>
    </row>
    <row r="88" spans="10:16" ht="15" customHeight="1" x14ac:dyDescent="0.25">
      <c r="J88" s="257" t="s">
        <v>440</v>
      </c>
      <c r="K88" s="257"/>
      <c r="L88" s="257"/>
      <c r="M88" s="257"/>
      <c r="N88" s="257"/>
      <c r="O88" s="257"/>
    </row>
    <row r="89" spans="10:16" ht="15" customHeight="1" x14ac:dyDescent="0.25">
      <c r="J89" s="220" t="s">
        <v>435</v>
      </c>
      <c r="K89" s="220" t="s">
        <v>442</v>
      </c>
      <c r="L89" s="221" t="s">
        <v>442</v>
      </c>
      <c r="M89" s="220" t="s">
        <v>436</v>
      </c>
      <c r="N89" s="220" t="str">
        <f>K89</f>
        <v xml:space="preserve">FACTURA  </v>
      </c>
      <c r="O89" s="221" t="str">
        <f>L89</f>
        <v xml:space="preserve">FACTURA  </v>
      </c>
      <c r="P89" s="222" t="s">
        <v>62</v>
      </c>
    </row>
    <row r="90" spans="10:16" ht="15" customHeight="1" x14ac:dyDescent="0.25">
      <c r="J90" s="223" t="s">
        <v>437</v>
      </c>
      <c r="K90" s="224">
        <f>+K79-M62</f>
        <v>1045501089.3994113</v>
      </c>
      <c r="L90" s="225">
        <f>+L79</f>
        <v>117980646.56766349</v>
      </c>
      <c r="M90" s="226">
        <f>K90+L90</f>
        <v>1163481735.9670749</v>
      </c>
      <c r="N90" s="227">
        <f>K90/K92</f>
        <v>0.47362253711655777</v>
      </c>
      <c r="O90" s="228">
        <f>L90/L92</f>
        <v>1</v>
      </c>
      <c r="P90" s="229">
        <f>M90/M92</f>
        <v>0.50032820697800207</v>
      </c>
    </row>
    <row r="91" spans="10:16" ht="15" customHeight="1" x14ac:dyDescent="0.25">
      <c r="J91" s="230" t="s">
        <v>434</v>
      </c>
      <c r="K91" s="231">
        <f>K80-M62</f>
        <v>1161955286.6516194</v>
      </c>
      <c r="L91" s="232">
        <v>0</v>
      </c>
      <c r="M91" s="233">
        <f t="shared" ref="M91:M92" si="28">K91+L91</f>
        <v>1161955286.6516194</v>
      </c>
      <c r="N91" s="227">
        <f>K91/K92</f>
        <v>0.52637746288344234</v>
      </c>
      <c r="O91" s="234"/>
      <c r="P91" s="229">
        <f>M91/M92</f>
        <v>0.49967179302199799</v>
      </c>
    </row>
    <row r="92" spans="10:16" ht="15" customHeight="1" x14ac:dyDescent="0.25">
      <c r="J92" s="230" t="s">
        <v>207</v>
      </c>
      <c r="K92" s="231">
        <f>K90+K91</f>
        <v>2207456376.0510306</v>
      </c>
      <c r="L92" s="232">
        <f>L90+L91</f>
        <v>117980646.56766349</v>
      </c>
      <c r="M92" s="233">
        <f t="shared" si="28"/>
        <v>2325437022.6186943</v>
      </c>
      <c r="N92" s="235">
        <f>SUM(N90:N91)</f>
        <v>1</v>
      </c>
      <c r="O92" s="235">
        <f>SUM(O90:O91)</f>
        <v>1</v>
      </c>
      <c r="P92" s="236"/>
    </row>
    <row r="93" spans="10:16" ht="15" customHeight="1" x14ac:dyDescent="0.25">
      <c r="J93" s="230" t="s">
        <v>61</v>
      </c>
      <c r="K93" s="231">
        <f>K92*10%*19%</f>
        <v>41941671.144969583</v>
      </c>
      <c r="L93" s="232">
        <f>L92*10%*19%</f>
        <v>2241632.2847856064</v>
      </c>
      <c r="M93" s="231">
        <f>M92*10%*19%</f>
        <v>44183303.429755196</v>
      </c>
      <c r="P93" s="218"/>
    </row>
    <row r="94" spans="10:16" ht="15" customHeight="1" x14ac:dyDescent="0.25">
      <c r="J94" s="237" t="s">
        <v>438</v>
      </c>
      <c r="K94" s="238">
        <f>K92+K93</f>
        <v>2249398047.1960001</v>
      </c>
      <c r="L94" s="239">
        <f>L92+L93</f>
        <v>120222278.8524491</v>
      </c>
      <c r="M94" s="238">
        <f>M92+M93</f>
        <v>2369620326.0484495</v>
      </c>
      <c r="P94" s="218"/>
    </row>
    <row r="97" spans="13:13" ht="15" customHeight="1" x14ac:dyDescent="0.25">
      <c r="M97" s="243"/>
    </row>
  </sheetData>
  <autoFilter ref="A2:R54" xr:uid="{00000000-0001-0000-0200-000000000000}"/>
  <mergeCells count="9">
    <mergeCell ref="J76:O76"/>
    <mergeCell ref="J77:O77"/>
    <mergeCell ref="J88:O88"/>
    <mergeCell ref="A1:P1"/>
    <mergeCell ref="A54:H54"/>
    <mergeCell ref="K56:M56"/>
    <mergeCell ref="K61:M61"/>
    <mergeCell ref="A68:P68"/>
    <mergeCell ref="A73:H73"/>
  </mergeCells>
  <pageMargins left="0.31496062992125984" right="0.31496062992125984" top="0.35433070866141736" bottom="0.35433070866141736" header="0" footer="0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1:M84"/>
  <sheetViews>
    <sheetView showGridLines="0" zoomScale="85" zoomScaleNormal="85" workbookViewId="0">
      <pane ySplit="2" topLeftCell="A3" activePane="bottomLeft" state="frozen"/>
      <selection pane="bottomLeft" activeCell="J3" sqref="J3"/>
    </sheetView>
  </sheetViews>
  <sheetFormatPr baseColWidth="10" defaultColWidth="14.42578125" defaultRowHeight="15" customHeight="1" x14ac:dyDescent="0.25"/>
  <cols>
    <col min="1" max="1" width="16.42578125" customWidth="1"/>
    <col min="2" max="2" width="14.140625" customWidth="1"/>
    <col min="3" max="3" width="37.42578125" customWidth="1"/>
    <col min="4" max="4" width="28.28515625" customWidth="1"/>
    <col min="5" max="5" width="14.85546875" customWidth="1"/>
    <col min="6" max="6" width="50.140625" hidden="1" customWidth="1"/>
    <col min="7" max="7" width="22.85546875" customWidth="1"/>
    <col min="8" max="8" width="9.42578125" customWidth="1"/>
    <col min="9" max="9" width="7.42578125" customWidth="1"/>
    <col min="10" max="10" width="16.7109375" customWidth="1"/>
    <col min="11" max="11" width="15.140625" customWidth="1"/>
    <col min="12" max="12" width="18.140625" customWidth="1"/>
    <col min="13" max="13" width="16.42578125" customWidth="1"/>
  </cols>
  <sheetData>
    <row r="1" spans="1:13" ht="50.25" customHeight="1" x14ac:dyDescent="0.25">
      <c r="A1" s="258" t="s">
        <v>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60"/>
    </row>
    <row r="2" spans="1:13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12</v>
      </c>
      <c r="K2" s="4" t="s">
        <v>13</v>
      </c>
      <c r="L2" s="4" t="s">
        <v>14</v>
      </c>
      <c r="M2" s="4" t="s">
        <v>15</v>
      </c>
    </row>
    <row r="3" spans="1:13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429</v>
      </c>
      <c r="H3" s="8">
        <v>30</v>
      </c>
      <c r="I3" s="8">
        <v>3</v>
      </c>
      <c r="J3" s="9" t="e">
        <f>+#REF!+'CUADRO SERVICIOS'!M3</f>
        <v>#REF!</v>
      </c>
      <c r="K3" s="10" t="e">
        <f t="shared" ref="K3:K53" si="0">ROUND(J3*10%,0)</f>
        <v>#REF!</v>
      </c>
      <c r="L3" s="9" t="e">
        <f t="shared" ref="L3:L53" si="1">ROUND(K3*19%,0)</f>
        <v>#REF!</v>
      </c>
      <c r="M3" s="9" t="e">
        <f t="shared" ref="M3:M53" si="2">+ROUND(J3+L3,0)</f>
        <v>#REF!</v>
      </c>
    </row>
    <row r="4" spans="1:13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429</v>
      </c>
      <c r="H4" s="8">
        <v>30</v>
      </c>
      <c r="I4" s="8">
        <v>1</v>
      </c>
      <c r="J4" s="9" t="e">
        <f>+#REF!+'CUADRO SERVICIOS'!M4</f>
        <v>#REF!</v>
      </c>
      <c r="K4" s="10" t="e">
        <f t="shared" si="0"/>
        <v>#REF!</v>
      </c>
      <c r="L4" s="9" t="e">
        <f t="shared" si="1"/>
        <v>#REF!</v>
      </c>
      <c r="M4" s="9" t="e">
        <f t="shared" si="2"/>
        <v>#REF!</v>
      </c>
    </row>
    <row r="5" spans="1:13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429</v>
      </c>
      <c r="H5" s="8">
        <v>30</v>
      </c>
      <c r="I5" s="8">
        <v>1</v>
      </c>
      <c r="J5" s="9" t="e">
        <f>+#REF!+'CUADRO SERVICIOS'!M5</f>
        <v>#REF!</v>
      </c>
      <c r="K5" s="10" t="e">
        <f t="shared" si="0"/>
        <v>#REF!</v>
      </c>
      <c r="L5" s="9" t="e">
        <f t="shared" si="1"/>
        <v>#REF!</v>
      </c>
      <c r="M5" s="9" t="e">
        <f t="shared" si="2"/>
        <v>#REF!</v>
      </c>
    </row>
    <row r="6" spans="1:13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429</v>
      </c>
      <c r="H6" s="8">
        <v>30</v>
      </c>
      <c r="I6" s="8">
        <v>3</v>
      </c>
      <c r="J6" s="9" t="e">
        <f>+#REF!+'CUADRO SERVICIOS'!M6</f>
        <v>#REF!</v>
      </c>
      <c r="K6" s="10" t="e">
        <f t="shared" si="0"/>
        <v>#REF!</v>
      </c>
      <c r="L6" s="9" t="e">
        <f t="shared" si="1"/>
        <v>#REF!</v>
      </c>
      <c r="M6" s="9" t="e">
        <f t="shared" si="2"/>
        <v>#REF!</v>
      </c>
    </row>
    <row r="7" spans="1:13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429</v>
      </c>
      <c r="H7" s="8">
        <v>30</v>
      </c>
      <c r="I7" s="8">
        <v>2</v>
      </c>
      <c r="J7" s="9" t="e">
        <f>+#REF!+'CUADRO SERVICIOS'!M7</f>
        <v>#REF!</v>
      </c>
      <c r="K7" s="10" t="e">
        <f t="shared" si="0"/>
        <v>#REF!</v>
      </c>
      <c r="L7" s="9" t="e">
        <f t="shared" si="1"/>
        <v>#REF!</v>
      </c>
      <c r="M7" s="9" t="e">
        <f t="shared" si="2"/>
        <v>#REF!</v>
      </c>
    </row>
    <row r="8" spans="1:13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429</v>
      </c>
      <c r="H8" s="8">
        <v>30</v>
      </c>
      <c r="I8" s="8">
        <v>3</v>
      </c>
      <c r="J8" s="9" t="e">
        <f>+#REF!+'CUADRO SERVICIOS'!M8</f>
        <v>#REF!</v>
      </c>
      <c r="K8" s="10" t="e">
        <f t="shared" si="0"/>
        <v>#REF!</v>
      </c>
      <c r="L8" s="9" t="e">
        <f t="shared" si="1"/>
        <v>#REF!</v>
      </c>
      <c r="M8" s="9" t="e">
        <f t="shared" si="2"/>
        <v>#REF!</v>
      </c>
    </row>
    <row r="9" spans="1:13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429</v>
      </c>
      <c r="H9" s="8">
        <v>30</v>
      </c>
      <c r="I9" s="8">
        <v>4</v>
      </c>
      <c r="J9" s="9" t="e">
        <f>+#REF!+'CUADRO SERVICIOS'!M9</f>
        <v>#REF!</v>
      </c>
      <c r="K9" s="10" t="e">
        <f t="shared" si="0"/>
        <v>#REF!</v>
      </c>
      <c r="L9" s="9" t="e">
        <f t="shared" si="1"/>
        <v>#REF!</v>
      </c>
      <c r="M9" s="9" t="e">
        <f t="shared" si="2"/>
        <v>#REF!</v>
      </c>
    </row>
    <row r="10" spans="1:13" ht="30" x14ac:dyDescent="0.25">
      <c r="A10" s="5" t="s">
        <v>16</v>
      </c>
      <c r="B10" s="5" t="s">
        <v>17</v>
      </c>
      <c r="C10" s="209" t="s">
        <v>28</v>
      </c>
      <c r="D10" s="5" t="s">
        <v>19</v>
      </c>
      <c r="E10" s="7" t="s">
        <v>20</v>
      </c>
      <c r="F10" s="5" t="s">
        <v>21</v>
      </c>
      <c r="G10" s="8" t="s">
        <v>429</v>
      </c>
      <c r="H10" s="8">
        <v>30</v>
      </c>
      <c r="I10" s="8">
        <v>1</v>
      </c>
      <c r="J10" s="9" t="e">
        <f>+#REF!+'CUADRO SERVICIOS'!M10</f>
        <v>#REF!</v>
      </c>
      <c r="K10" s="10" t="e">
        <f t="shared" si="0"/>
        <v>#REF!</v>
      </c>
      <c r="L10" s="9" t="e">
        <f t="shared" si="1"/>
        <v>#REF!</v>
      </c>
      <c r="M10" s="9" t="e">
        <f t="shared" si="2"/>
        <v>#REF!</v>
      </c>
    </row>
    <row r="11" spans="1:13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429</v>
      </c>
      <c r="H11" s="8">
        <v>30</v>
      </c>
      <c r="I11" s="8">
        <v>1</v>
      </c>
      <c r="J11" s="9" t="e">
        <f>+#REF!+'CUADRO SERVICIOS'!M11</f>
        <v>#REF!</v>
      </c>
      <c r="K11" s="10" t="e">
        <f t="shared" si="0"/>
        <v>#REF!</v>
      </c>
      <c r="L11" s="9" t="e">
        <f t="shared" si="1"/>
        <v>#REF!</v>
      </c>
      <c r="M11" s="9" t="e">
        <f t="shared" si="2"/>
        <v>#REF!</v>
      </c>
    </row>
    <row r="12" spans="1:13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429</v>
      </c>
      <c r="H12" s="8">
        <v>30</v>
      </c>
      <c r="I12" s="8">
        <v>1</v>
      </c>
      <c r="J12" s="9" t="e">
        <f>+#REF!+'CUADRO SERVICIOS'!M12</f>
        <v>#REF!</v>
      </c>
      <c r="K12" s="10" t="e">
        <f t="shared" si="0"/>
        <v>#REF!</v>
      </c>
      <c r="L12" s="9" t="e">
        <f t="shared" si="1"/>
        <v>#REF!</v>
      </c>
      <c r="M12" s="9" t="e">
        <f t="shared" si="2"/>
        <v>#REF!</v>
      </c>
    </row>
    <row r="13" spans="1:13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429</v>
      </c>
      <c r="H13" s="8">
        <v>30</v>
      </c>
      <c r="I13" s="8">
        <v>3</v>
      </c>
      <c r="J13" s="9" t="e">
        <f>+#REF!+'CUADRO SERVICIOS'!M13</f>
        <v>#REF!</v>
      </c>
      <c r="K13" s="10" t="e">
        <f t="shared" si="0"/>
        <v>#REF!</v>
      </c>
      <c r="L13" s="9" t="e">
        <f t="shared" si="1"/>
        <v>#REF!</v>
      </c>
      <c r="M13" s="9" t="e">
        <f t="shared" si="2"/>
        <v>#REF!</v>
      </c>
    </row>
    <row r="14" spans="1:13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429</v>
      </c>
      <c r="H14" s="8">
        <v>30</v>
      </c>
      <c r="I14" s="8">
        <v>4</v>
      </c>
      <c r="J14" s="9" t="e">
        <f>+#REF!+'CUADRO SERVICIOS'!M14</f>
        <v>#REF!</v>
      </c>
      <c r="K14" s="10" t="e">
        <f t="shared" si="0"/>
        <v>#REF!</v>
      </c>
      <c r="L14" s="9" t="e">
        <f t="shared" si="1"/>
        <v>#REF!</v>
      </c>
      <c r="M14" s="9" t="e">
        <f t="shared" si="2"/>
        <v>#REF!</v>
      </c>
    </row>
    <row r="15" spans="1:13" ht="30" x14ac:dyDescent="0.25">
      <c r="A15" s="5" t="s">
        <v>16</v>
      </c>
      <c r="B15" s="5" t="s">
        <v>17</v>
      </c>
      <c r="C15" s="209" t="s">
        <v>31</v>
      </c>
      <c r="D15" s="5" t="s">
        <v>19</v>
      </c>
      <c r="E15" s="7" t="s">
        <v>20</v>
      </c>
      <c r="F15" s="5" t="s">
        <v>21</v>
      </c>
      <c r="G15" s="8" t="s">
        <v>429</v>
      </c>
      <c r="H15" s="8">
        <v>30</v>
      </c>
      <c r="I15" s="8">
        <v>3</v>
      </c>
      <c r="J15" s="9" t="e">
        <f>+#REF!+'CUADRO SERVICIOS'!M15</f>
        <v>#REF!</v>
      </c>
      <c r="K15" s="10" t="e">
        <f t="shared" si="0"/>
        <v>#REF!</v>
      </c>
      <c r="L15" s="9" t="e">
        <f t="shared" si="1"/>
        <v>#REF!</v>
      </c>
      <c r="M15" s="9" t="e">
        <f t="shared" si="2"/>
        <v>#REF!</v>
      </c>
    </row>
    <row r="16" spans="1:13" ht="30" x14ac:dyDescent="0.25">
      <c r="A16" s="5" t="s">
        <v>16</v>
      </c>
      <c r="B16" s="5" t="s">
        <v>17</v>
      </c>
      <c r="C16" s="209" t="s">
        <v>32</v>
      </c>
      <c r="D16" s="5" t="s">
        <v>19</v>
      </c>
      <c r="E16" s="7" t="s">
        <v>20</v>
      </c>
      <c r="F16" s="5" t="s">
        <v>21</v>
      </c>
      <c r="G16" s="8" t="s">
        <v>429</v>
      </c>
      <c r="H16" s="8">
        <v>30</v>
      </c>
      <c r="I16" s="8">
        <v>4</v>
      </c>
      <c r="J16" s="9" t="e">
        <f>+#REF!+'CUADRO SERVICIOS'!M16</f>
        <v>#REF!</v>
      </c>
      <c r="K16" s="10" t="e">
        <f t="shared" si="0"/>
        <v>#REF!</v>
      </c>
      <c r="L16" s="9" t="e">
        <f t="shared" si="1"/>
        <v>#REF!</v>
      </c>
      <c r="M16" s="9" t="e">
        <f t="shared" si="2"/>
        <v>#REF!</v>
      </c>
    </row>
    <row r="17" spans="1:13" ht="30" x14ac:dyDescent="0.25">
      <c r="A17" s="5" t="s">
        <v>16</v>
      </c>
      <c r="B17" s="5" t="s">
        <v>17</v>
      </c>
      <c r="C17" s="209" t="s">
        <v>33</v>
      </c>
      <c r="D17" s="5" t="s">
        <v>19</v>
      </c>
      <c r="E17" s="7" t="s">
        <v>20</v>
      </c>
      <c r="F17" s="5" t="s">
        <v>21</v>
      </c>
      <c r="G17" s="8" t="s">
        <v>429</v>
      </c>
      <c r="H17" s="8">
        <v>30</v>
      </c>
      <c r="I17" s="8">
        <v>1</v>
      </c>
      <c r="J17" s="9" t="e">
        <f>+#REF!+'CUADRO SERVICIOS'!M17</f>
        <v>#REF!</v>
      </c>
      <c r="K17" s="10" t="e">
        <f t="shared" si="0"/>
        <v>#REF!</v>
      </c>
      <c r="L17" s="9" t="e">
        <f t="shared" si="1"/>
        <v>#REF!</v>
      </c>
      <c r="M17" s="9" t="e">
        <f t="shared" si="2"/>
        <v>#REF!</v>
      </c>
    </row>
    <row r="18" spans="1:13" ht="30" x14ac:dyDescent="0.25">
      <c r="A18" s="5" t="s">
        <v>16</v>
      </c>
      <c r="B18" s="5" t="s">
        <v>17</v>
      </c>
      <c r="C18" s="209" t="s">
        <v>33</v>
      </c>
      <c r="D18" s="5" t="s">
        <v>24</v>
      </c>
      <c r="E18" s="7" t="s">
        <v>22</v>
      </c>
      <c r="F18" s="5" t="s">
        <v>25</v>
      </c>
      <c r="G18" s="8" t="s">
        <v>429</v>
      </c>
      <c r="H18" s="8">
        <v>30</v>
      </c>
      <c r="I18" s="8">
        <v>1</v>
      </c>
      <c r="J18" s="9" t="e">
        <f>+#REF!+'CUADRO SERVICIOS'!M18</f>
        <v>#REF!</v>
      </c>
      <c r="K18" s="10" t="e">
        <f t="shared" si="0"/>
        <v>#REF!</v>
      </c>
      <c r="L18" s="9" t="e">
        <f t="shared" si="1"/>
        <v>#REF!</v>
      </c>
      <c r="M18" s="9" t="e">
        <f t="shared" si="2"/>
        <v>#REF!</v>
      </c>
    </row>
    <row r="19" spans="1:13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429</v>
      </c>
      <c r="H19" s="8">
        <v>30</v>
      </c>
      <c r="I19" s="8">
        <v>3</v>
      </c>
      <c r="J19" s="9" t="e">
        <f>+#REF!+'CUADRO SERVICIOS'!M19</f>
        <v>#REF!</v>
      </c>
      <c r="K19" s="10" t="e">
        <f t="shared" si="0"/>
        <v>#REF!</v>
      </c>
      <c r="L19" s="9" t="e">
        <f t="shared" si="1"/>
        <v>#REF!</v>
      </c>
      <c r="M19" s="9" t="e">
        <f t="shared" si="2"/>
        <v>#REF!</v>
      </c>
    </row>
    <row r="20" spans="1:13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429</v>
      </c>
      <c r="H20" s="8">
        <v>30</v>
      </c>
      <c r="I20" s="8">
        <v>2</v>
      </c>
      <c r="J20" s="9" t="e">
        <f>+#REF!+'CUADRO SERVICIOS'!M20</f>
        <v>#REF!</v>
      </c>
      <c r="K20" s="10" t="e">
        <f t="shared" si="0"/>
        <v>#REF!</v>
      </c>
      <c r="L20" s="9" t="e">
        <f t="shared" si="1"/>
        <v>#REF!</v>
      </c>
      <c r="M20" s="9" t="e">
        <f t="shared" si="2"/>
        <v>#REF!</v>
      </c>
    </row>
    <row r="21" spans="1:13" ht="30" x14ac:dyDescent="0.25">
      <c r="A21" s="5" t="s">
        <v>16</v>
      </c>
      <c r="B21" s="5" t="s">
        <v>17</v>
      </c>
      <c r="C21" s="209" t="s">
        <v>35</v>
      </c>
      <c r="D21" s="5" t="s">
        <v>19</v>
      </c>
      <c r="E21" s="7" t="s">
        <v>20</v>
      </c>
      <c r="F21" s="5" t="s">
        <v>21</v>
      </c>
      <c r="G21" s="8" t="s">
        <v>429</v>
      </c>
      <c r="H21" s="8">
        <v>30</v>
      </c>
      <c r="I21" s="8">
        <v>1</v>
      </c>
      <c r="J21" s="9" t="e">
        <f>+#REF!+'CUADRO SERVICIOS'!M21</f>
        <v>#REF!</v>
      </c>
      <c r="K21" s="10" t="e">
        <f t="shared" si="0"/>
        <v>#REF!</v>
      </c>
      <c r="L21" s="9" t="e">
        <f t="shared" si="1"/>
        <v>#REF!</v>
      </c>
      <c r="M21" s="9" t="e">
        <f t="shared" si="2"/>
        <v>#REF!</v>
      </c>
    </row>
    <row r="22" spans="1:13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429</v>
      </c>
      <c r="H22" s="8">
        <v>30</v>
      </c>
      <c r="I22" s="8">
        <v>1</v>
      </c>
      <c r="J22" s="9" t="e">
        <f>+#REF!+'CUADRO SERVICIOS'!M22</f>
        <v>#REF!</v>
      </c>
      <c r="K22" s="10" t="e">
        <f t="shared" si="0"/>
        <v>#REF!</v>
      </c>
      <c r="L22" s="9" t="e">
        <f t="shared" si="1"/>
        <v>#REF!</v>
      </c>
      <c r="M22" s="9" t="e">
        <f t="shared" si="2"/>
        <v>#REF!</v>
      </c>
    </row>
    <row r="23" spans="1:13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429</v>
      </c>
      <c r="H23" s="8">
        <v>30</v>
      </c>
      <c r="I23" s="8">
        <v>1</v>
      </c>
      <c r="J23" s="9" t="e">
        <f>+#REF!+'CUADRO SERVICIOS'!M23</f>
        <v>#REF!</v>
      </c>
      <c r="K23" s="10" t="e">
        <f t="shared" si="0"/>
        <v>#REF!</v>
      </c>
      <c r="L23" s="9" t="e">
        <f t="shared" si="1"/>
        <v>#REF!</v>
      </c>
      <c r="M23" s="9" t="e">
        <f t="shared" si="2"/>
        <v>#REF!</v>
      </c>
    </row>
    <row r="24" spans="1:13" ht="30" x14ac:dyDescent="0.25">
      <c r="A24" s="5" t="s">
        <v>16</v>
      </c>
      <c r="B24" s="5" t="s">
        <v>17</v>
      </c>
      <c r="C24" s="209" t="s">
        <v>38</v>
      </c>
      <c r="D24" s="5" t="s">
        <v>19</v>
      </c>
      <c r="E24" s="7" t="s">
        <v>20</v>
      </c>
      <c r="F24" s="5" t="s">
        <v>21</v>
      </c>
      <c r="G24" s="8" t="s">
        <v>429</v>
      </c>
      <c r="H24" s="8">
        <v>30</v>
      </c>
      <c r="I24" s="8">
        <v>6</v>
      </c>
      <c r="J24" s="9" t="e">
        <f>+#REF!+'CUADRO SERVICIOS'!M24</f>
        <v>#REF!</v>
      </c>
      <c r="K24" s="10" t="e">
        <f t="shared" si="0"/>
        <v>#REF!</v>
      </c>
      <c r="L24" s="9" t="e">
        <f t="shared" si="1"/>
        <v>#REF!</v>
      </c>
      <c r="M24" s="9" t="e">
        <f t="shared" si="2"/>
        <v>#REF!</v>
      </c>
    </row>
    <row r="25" spans="1:13" ht="30" x14ac:dyDescent="0.25">
      <c r="A25" s="5" t="s">
        <v>16</v>
      </c>
      <c r="B25" s="5" t="s">
        <v>17</v>
      </c>
      <c r="C25" s="209" t="s">
        <v>38</v>
      </c>
      <c r="D25" s="5" t="s">
        <v>24</v>
      </c>
      <c r="E25" s="7" t="s">
        <v>22</v>
      </c>
      <c r="F25" s="5" t="s">
        <v>25</v>
      </c>
      <c r="G25" s="8" t="s">
        <v>429</v>
      </c>
      <c r="H25" s="8">
        <v>30</v>
      </c>
      <c r="I25" s="8">
        <v>3</v>
      </c>
      <c r="J25" s="9" t="e">
        <f>+#REF!+'CUADRO SERVICIOS'!M25</f>
        <v>#REF!</v>
      </c>
      <c r="K25" s="10" t="e">
        <f t="shared" si="0"/>
        <v>#REF!</v>
      </c>
      <c r="L25" s="9" t="e">
        <f t="shared" si="1"/>
        <v>#REF!</v>
      </c>
      <c r="M25" s="9" t="e">
        <f t="shared" si="2"/>
        <v>#REF!</v>
      </c>
    </row>
    <row r="26" spans="1:13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429</v>
      </c>
      <c r="H26" s="8">
        <v>30</v>
      </c>
      <c r="I26" s="8">
        <v>3</v>
      </c>
      <c r="J26" s="9" t="e">
        <f>+#REF!+'CUADRO SERVICIOS'!M26</f>
        <v>#REF!</v>
      </c>
      <c r="K26" s="10" t="e">
        <f t="shared" si="0"/>
        <v>#REF!</v>
      </c>
      <c r="L26" s="9" t="e">
        <f t="shared" si="1"/>
        <v>#REF!</v>
      </c>
      <c r="M26" s="9" t="e">
        <f t="shared" si="2"/>
        <v>#REF!</v>
      </c>
    </row>
    <row r="27" spans="1:13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429</v>
      </c>
      <c r="H27" s="8">
        <v>30</v>
      </c>
      <c r="I27" s="8">
        <v>1</v>
      </c>
      <c r="J27" s="9" t="e">
        <f>+#REF!+'CUADRO SERVICIOS'!M27</f>
        <v>#REF!</v>
      </c>
      <c r="K27" s="10" t="e">
        <f t="shared" si="0"/>
        <v>#REF!</v>
      </c>
      <c r="L27" s="9" t="e">
        <f t="shared" si="1"/>
        <v>#REF!</v>
      </c>
      <c r="M27" s="9" t="e">
        <f t="shared" si="2"/>
        <v>#REF!</v>
      </c>
    </row>
    <row r="28" spans="1:13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429</v>
      </c>
      <c r="H28" s="8">
        <v>30</v>
      </c>
      <c r="I28" s="8">
        <v>1</v>
      </c>
      <c r="J28" s="9" t="e">
        <f>+#REF!+'CUADRO SERVICIOS'!M28</f>
        <v>#REF!</v>
      </c>
      <c r="K28" s="10" t="e">
        <f t="shared" si="0"/>
        <v>#REF!</v>
      </c>
      <c r="L28" s="9" t="e">
        <f t="shared" si="1"/>
        <v>#REF!</v>
      </c>
      <c r="M28" s="9" t="e">
        <f t="shared" si="2"/>
        <v>#REF!</v>
      </c>
    </row>
    <row r="29" spans="1:13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429</v>
      </c>
      <c r="H29" s="8">
        <v>30</v>
      </c>
      <c r="I29" s="8">
        <v>1</v>
      </c>
      <c r="J29" s="9" t="e">
        <f>+#REF!+'CUADRO SERVICIOS'!M29</f>
        <v>#REF!</v>
      </c>
      <c r="K29" s="10" t="e">
        <f t="shared" si="0"/>
        <v>#REF!</v>
      </c>
      <c r="L29" s="9" t="e">
        <f t="shared" si="1"/>
        <v>#REF!</v>
      </c>
      <c r="M29" s="9" t="e">
        <f t="shared" si="2"/>
        <v>#REF!</v>
      </c>
    </row>
    <row r="30" spans="1:13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429</v>
      </c>
      <c r="H30" s="8">
        <v>30</v>
      </c>
      <c r="I30" s="8">
        <v>1</v>
      </c>
      <c r="J30" s="9" t="e">
        <f>+#REF!+'CUADRO SERVICIOS'!M30</f>
        <v>#REF!</v>
      </c>
      <c r="K30" s="10" t="e">
        <f t="shared" si="0"/>
        <v>#REF!</v>
      </c>
      <c r="L30" s="9" t="e">
        <f t="shared" si="1"/>
        <v>#REF!</v>
      </c>
      <c r="M30" s="9" t="e">
        <f t="shared" si="2"/>
        <v>#REF!</v>
      </c>
    </row>
    <row r="31" spans="1:13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429</v>
      </c>
      <c r="H31" s="8">
        <v>30</v>
      </c>
      <c r="I31" s="8">
        <v>17</v>
      </c>
      <c r="J31" s="9" t="e">
        <f>+#REF!+'CUADRO SERVICIOS'!M31</f>
        <v>#REF!</v>
      </c>
      <c r="K31" s="10" t="e">
        <f t="shared" si="0"/>
        <v>#REF!</v>
      </c>
      <c r="L31" s="9" t="e">
        <f t="shared" si="1"/>
        <v>#REF!</v>
      </c>
      <c r="M31" s="9" t="e">
        <f t="shared" si="2"/>
        <v>#REF!</v>
      </c>
    </row>
    <row r="32" spans="1:13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429</v>
      </c>
      <c r="H32" s="8">
        <v>30</v>
      </c>
      <c r="I32" s="8">
        <v>8</v>
      </c>
      <c r="J32" s="9" t="e">
        <f>+#REF!+'CUADRO SERVICIOS'!M32</f>
        <v>#REF!</v>
      </c>
      <c r="K32" s="10" t="e">
        <f t="shared" si="0"/>
        <v>#REF!</v>
      </c>
      <c r="L32" s="9" t="e">
        <f t="shared" si="1"/>
        <v>#REF!</v>
      </c>
      <c r="M32" s="9" t="e">
        <f t="shared" si="2"/>
        <v>#REF!</v>
      </c>
    </row>
    <row r="33" spans="1:13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429</v>
      </c>
      <c r="H33" s="8">
        <v>30</v>
      </c>
      <c r="I33" s="8">
        <v>21</v>
      </c>
      <c r="J33" s="9" t="e">
        <f>+#REF!+'CUADRO SERVICIOS'!M33</f>
        <v>#REF!</v>
      </c>
      <c r="K33" s="10" t="e">
        <f t="shared" si="0"/>
        <v>#REF!</v>
      </c>
      <c r="L33" s="9" t="e">
        <f t="shared" si="1"/>
        <v>#REF!</v>
      </c>
      <c r="M33" s="9" t="e">
        <f t="shared" si="2"/>
        <v>#REF!</v>
      </c>
    </row>
    <row r="34" spans="1:13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429</v>
      </c>
      <c r="H34" s="8">
        <v>30</v>
      </c>
      <c r="I34" s="8">
        <v>1</v>
      </c>
      <c r="J34" s="9" t="e">
        <f>+#REF!+'CUADRO SERVICIOS'!M34</f>
        <v>#REF!</v>
      </c>
      <c r="K34" s="10" t="e">
        <f t="shared" si="0"/>
        <v>#REF!</v>
      </c>
      <c r="L34" s="9" t="e">
        <f t="shared" si="1"/>
        <v>#REF!</v>
      </c>
      <c r="M34" s="9" t="e">
        <f t="shared" si="2"/>
        <v>#REF!</v>
      </c>
    </row>
    <row r="35" spans="1:13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429</v>
      </c>
      <c r="H35" s="8">
        <v>30</v>
      </c>
      <c r="I35" s="8">
        <v>13</v>
      </c>
      <c r="J35" s="9" t="e">
        <f>+#REF!+'CUADRO SERVICIOS'!M35</f>
        <v>#REF!</v>
      </c>
      <c r="K35" s="10" t="e">
        <f t="shared" si="0"/>
        <v>#REF!</v>
      </c>
      <c r="L35" s="9" t="e">
        <f t="shared" si="1"/>
        <v>#REF!</v>
      </c>
      <c r="M35" s="9" t="e">
        <f t="shared" si="2"/>
        <v>#REF!</v>
      </c>
    </row>
    <row r="36" spans="1:13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429</v>
      </c>
      <c r="H36" s="8">
        <v>30</v>
      </c>
      <c r="I36" s="8">
        <v>4</v>
      </c>
      <c r="J36" s="9" t="e">
        <f>+#REF!+'CUADRO SERVICIOS'!M36</f>
        <v>#REF!</v>
      </c>
      <c r="K36" s="10" t="e">
        <f t="shared" si="0"/>
        <v>#REF!</v>
      </c>
      <c r="L36" s="9" t="e">
        <f t="shared" si="1"/>
        <v>#REF!</v>
      </c>
      <c r="M36" s="9" t="e">
        <f t="shared" si="2"/>
        <v>#REF!</v>
      </c>
    </row>
    <row r="37" spans="1:13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429</v>
      </c>
      <c r="H37" s="8">
        <v>30</v>
      </c>
      <c r="I37" s="8">
        <v>12</v>
      </c>
      <c r="J37" s="9" t="e">
        <f>+#REF!+'CUADRO SERVICIOS'!M37</f>
        <v>#REF!</v>
      </c>
      <c r="K37" s="10" t="e">
        <f t="shared" si="0"/>
        <v>#REF!</v>
      </c>
      <c r="L37" s="9" t="e">
        <f t="shared" si="1"/>
        <v>#REF!</v>
      </c>
      <c r="M37" s="9" t="e">
        <f t="shared" si="2"/>
        <v>#REF!</v>
      </c>
    </row>
    <row r="38" spans="1:13" ht="30" x14ac:dyDescent="0.25">
      <c r="A38" s="5" t="s">
        <v>44</v>
      </c>
      <c r="B38" s="5" t="s">
        <v>17</v>
      </c>
      <c r="C38" s="209" t="s">
        <v>49</v>
      </c>
      <c r="D38" s="5" t="s">
        <v>19</v>
      </c>
      <c r="E38" s="7" t="s">
        <v>20</v>
      </c>
      <c r="F38" s="5" t="s">
        <v>21</v>
      </c>
      <c r="G38" s="8" t="s">
        <v>429</v>
      </c>
      <c r="H38" s="8">
        <v>30</v>
      </c>
      <c r="I38" s="8">
        <v>3</v>
      </c>
      <c r="J38" s="9" t="e">
        <f>+#REF!+'CUADRO SERVICIOS'!M38</f>
        <v>#REF!</v>
      </c>
      <c r="K38" s="10" t="e">
        <f t="shared" si="0"/>
        <v>#REF!</v>
      </c>
      <c r="L38" s="9" t="e">
        <f t="shared" si="1"/>
        <v>#REF!</v>
      </c>
      <c r="M38" s="9" t="e">
        <f t="shared" si="2"/>
        <v>#REF!</v>
      </c>
    </row>
    <row r="39" spans="1:13" ht="30" x14ac:dyDescent="0.25">
      <c r="A39" s="5" t="s">
        <v>44</v>
      </c>
      <c r="B39" s="5" t="s">
        <v>17</v>
      </c>
      <c r="C39" s="209" t="s">
        <v>49</v>
      </c>
      <c r="D39" s="5" t="s">
        <v>40</v>
      </c>
      <c r="E39" s="7" t="s">
        <v>22</v>
      </c>
      <c r="F39" s="5" t="s">
        <v>25</v>
      </c>
      <c r="G39" s="8" t="s">
        <v>429</v>
      </c>
      <c r="H39" s="8">
        <v>30</v>
      </c>
      <c r="I39" s="8">
        <v>8</v>
      </c>
      <c r="J39" s="9" t="e">
        <f>+#REF!+'CUADRO SERVICIOS'!M39</f>
        <v>#REF!</v>
      </c>
      <c r="K39" s="10" t="e">
        <f t="shared" si="0"/>
        <v>#REF!</v>
      </c>
      <c r="L39" s="9" t="e">
        <f t="shared" si="1"/>
        <v>#REF!</v>
      </c>
      <c r="M39" s="9" t="e">
        <f t="shared" si="2"/>
        <v>#REF!</v>
      </c>
    </row>
    <row r="40" spans="1:13" ht="24" x14ac:dyDescent="0.25">
      <c r="A40" s="5" t="s">
        <v>44</v>
      </c>
      <c r="B40" s="5" t="s">
        <v>17</v>
      </c>
      <c r="C40" s="209" t="s">
        <v>50</v>
      </c>
      <c r="D40" s="5" t="s">
        <v>19</v>
      </c>
      <c r="E40" s="7" t="s">
        <v>20</v>
      </c>
      <c r="F40" s="5" t="s">
        <v>21</v>
      </c>
      <c r="G40" s="8" t="s">
        <v>429</v>
      </c>
      <c r="H40" s="8">
        <v>30</v>
      </c>
      <c r="I40" s="8">
        <v>1</v>
      </c>
      <c r="J40" s="9" t="e">
        <f>+#REF!+'CUADRO SERVICIOS'!M40</f>
        <v>#REF!</v>
      </c>
      <c r="K40" s="10" t="e">
        <f t="shared" si="0"/>
        <v>#REF!</v>
      </c>
      <c r="L40" s="9" t="e">
        <f t="shared" si="1"/>
        <v>#REF!</v>
      </c>
      <c r="M40" s="9" t="e">
        <f t="shared" si="2"/>
        <v>#REF!</v>
      </c>
    </row>
    <row r="41" spans="1:13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429</v>
      </c>
      <c r="H41" s="8">
        <v>30</v>
      </c>
      <c r="I41" s="8">
        <v>1</v>
      </c>
      <c r="J41" s="9" t="e">
        <f>+#REF!+'CUADRO SERVICIOS'!M41</f>
        <v>#REF!</v>
      </c>
      <c r="K41" s="10" t="e">
        <f t="shared" si="0"/>
        <v>#REF!</v>
      </c>
      <c r="L41" s="9" t="e">
        <f t="shared" si="1"/>
        <v>#REF!</v>
      </c>
      <c r="M41" s="9" t="e">
        <f t="shared" si="2"/>
        <v>#REF!</v>
      </c>
    </row>
    <row r="42" spans="1:13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429</v>
      </c>
      <c r="H42" s="8">
        <v>30</v>
      </c>
      <c r="I42" s="8">
        <v>1</v>
      </c>
      <c r="J42" s="9" t="e">
        <f>+#REF!+'CUADRO SERVICIOS'!M42</f>
        <v>#REF!</v>
      </c>
      <c r="K42" s="10" t="e">
        <f t="shared" si="0"/>
        <v>#REF!</v>
      </c>
      <c r="L42" s="9" t="e">
        <f t="shared" si="1"/>
        <v>#REF!</v>
      </c>
      <c r="M42" s="9" t="e">
        <f t="shared" si="2"/>
        <v>#REF!</v>
      </c>
    </row>
    <row r="43" spans="1:13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429</v>
      </c>
      <c r="H43" s="8">
        <v>30</v>
      </c>
      <c r="I43" s="8">
        <v>9</v>
      </c>
      <c r="J43" s="9" t="e">
        <f>+#REF!+'CUADRO SERVICIOS'!M43</f>
        <v>#REF!</v>
      </c>
      <c r="K43" s="10" t="e">
        <f t="shared" si="0"/>
        <v>#REF!</v>
      </c>
      <c r="L43" s="9" t="e">
        <f t="shared" si="1"/>
        <v>#REF!</v>
      </c>
      <c r="M43" s="9" t="e">
        <f t="shared" si="2"/>
        <v>#REF!</v>
      </c>
    </row>
    <row r="44" spans="1:13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429</v>
      </c>
      <c r="H44" s="8">
        <v>30</v>
      </c>
      <c r="I44" s="8">
        <v>1</v>
      </c>
      <c r="J44" s="9" t="e">
        <f>+#REF!+'CUADRO SERVICIOS'!M44</f>
        <v>#REF!</v>
      </c>
      <c r="K44" s="10" t="e">
        <f t="shared" si="0"/>
        <v>#REF!</v>
      </c>
      <c r="L44" s="9" t="e">
        <f t="shared" si="1"/>
        <v>#REF!</v>
      </c>
      <c r="M44" s="9" t="e">
        <f t="shared" si="2"/>
        <v>#REF!</v>
      </c>
    </row>
    <row r="45" spans="1:13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429</v>
      </c>
      <c r="H45" s="8">
        <v>30</v>
      </c>
      <c r="I45" s="8">
        <v>1</v>
      </c>
      <c r="J45" s="9" t="e">
        <f>+#REF!+'CUADRO SERVICIOS'!M45</f>
        <v>#REF!</v>
      </c>
      <c r="K45" s="10" t="e">
        <f t="shared" si="0"/>
        <v>#REF!</v>
      </c>
      <c r="L45" s="9" t="e">
        <f t="shared" si="1"/>
        <v>#REF!</v>
      </c>
      <c r="M45" s="9" t="e">
        <f t="shared" si="2"/>
        <v>#REF!</v>
      </c>
    </row>
    <row r="46" spans="1:13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429</v>
      </c>
      <c r="H46" s="8">
        <v>30</v>
      </c>
      <c r="I46" s="8">
        <v>1</v>
      </c>
      <c r="J46" s="9" t="e">
        <f>+#REF!+'CUADRO SERVICIOS'!M46</f>
        <v>#REF!</v>
      </c>
      <c r="K46" s="10" t="e">
        <f t="shared" si="0"/>
        <v>#REF!</v>
      </c>
      <c r="L46" s="9" t="e">
        <f t="shared" si="1"/>
        <v>#REF!</v>
      </c>
      <c r="M46" s="9" t="e">
        <f t="shared" si="2"/>
        <v>#REF!</v>
      </c>
    </row>
    <row r="47" spans="1:13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429</v>
      </c>
      <c r="H47" s="8">
        <v>30</v>
      </c>
      <c r="I47" s="8">
        <v>1</v>
      </c>
      <c r="J47" s="9" t="e">
        <f>+#REF!+'CUADRO SERVICIOS'!M47</f>
        <v>#REF!</v>
      </c>
      <c r="K47" s="10" t="e">
        <f t="shared" si="0"/>
        <v>#REF!</v>
      </c>
      <c r="L47" s="9" t="e">
        <f t="shared" si="1"/>
        <v>#REF!</v>
      </c>
      <c r="M47" s="9" t="e">
        <f t="shared" si="2"/>
        <v>#REF!</v>
      </c>
    </row>
    <row r="48" spans="1:13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429</v>
      </c>
      <c r="H48" s="8">
        <v>30</v>
      </c>
      <c r="I48" s="8">
        <v>1</v>
      </c>
      <c r="J48" s="9" t="e">
        <f>+#REF!+'CUADRO SERVICIOS'!M48</f>
        <v>#REF!</v>
      </c>
      <c r="K48" s="10" t="e">
        <f t="shared" si="0"/>
        <v>#REF!</v>
      </c>
      <c r="L48" s="9" t="e">
        <f t="shared" si="1"/>
        <v>#REF!</v>
      </c>
      <c r="M48" s="9" t="e">
        <f t="shared" si="2"/>
        <v>#REF!</v>
      </c>
    </row>
    <row r="49" spans="1:13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429</v>
      </c>
      <c r="H49" s="8">
        <v>30</v>
      </c>
      <c r="I49" s="8">
        <v>1</v>
      </c>
      <c r="J49" s="9" t="e">
        <f>+#REF!+'CUADRO SERVICIOS'!M49</f>
        <v>#REF!</v>
      </c>
      <c r="K49" s="10" t="e">
        <f t="shared" si="0"/>
        <v>#REF!</v>
      </c>
      <c r="L49" s="9" t="e">
        <f t="shared" si="1"/>
        <v>#REF!</v>
      </c>
      <c r="M49" s="9" t="e">
        <f t="shared" si="2"/>
        <v>#REF!</v>
      </c>
    </row>
    <row r="50" spans="1:13" ht="30" x14ac:dyDescent="0.25">
      <c r="A50" s="5" t="s">
        <v>44</v>
      </c>
      <c r="B50" s="5" t="s">
        <v>17</v>
      </c>
      <c r="C50" s="209" t="s">
        <v>56</v>
      </c>
      <c r="D50" s="5" t="s">
        <v>19</v>
      </c>
      <c r="E50" s="7" t="s">
        <v>20</v>
      </c>
      <c r="F50" s="5" t="s">
        <v>21</v>
      </c>
      <c r="G50" s="8" t="s">
        <v>429</v>
      </c>
      <c r="H50" s="8">
        <v>30</v>
      </c>
      <c r="I50" s="8">
        <v>3</v>
      </c>
      <c r="J50" s="9" t="e">
        <f>+#REF!+'CUADRO SERVICIOS'!M50</f>
        <v>#REF!</v>
      </c>
      <c r="K50" s="10" t="e">
        <f t="shared" si="0"/>
        <v>#REF!</v>
      </c>
      <c r="L50" s="9" t="e">
        <f t="shared" si="1"/>
        <v>#REF!</v>
      </c>
      <c r="M50" s="9" t="e">
        <f t="shared" si="2"/>
        <v>#REF!</v>
      </c>
    </row>
    <row r="51" spans="1:13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429</v>
      </c>
      <c r="H51" s="8">
        <v>30</v>
      </c>
      <c r="I51" s="8">
        <v>3</v>
      </c>
      <c r="J51" s="9" t="e">
        <f>+#REF!+'CUADRO SERVICIOS'!M51</f>
        <v>#REF!</v>
      </c>
      <c r="K51" s="10" t="e">
        <f t="shared" si="0"/>
        <v>#REF!</v>
      </c>
      <c r="L51" s="9" t="e">
        <f t="shared" si="1"/>
        <v>#REF!</v>
      </c>
      <c r="M51" s="9" t="e">
        <f t="shared" si="2"/>
        <v>#REF!</v>
      </c>
    </row>
    <row r="52" spans="1:13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429</v>
      </c>
      <c r="H52" s="8">
        <v>30</v>
      </c>
      <c r="I52" s="8">
        <v>2</v>
      </c>
      <c r="J52" s="9" t="e">
        <f>+#REF!+'CUADRO SERVICIOS'!M52</f>
        <v>#REF!</v>
      </c>
      <c r="K52" s="10" t="e">
        <f t="shared" si="0"/>
        <v>#REF!</v>
      </c>
      <c r="L52" s="9" t="e">
        <f t="shared" si="1"/>
        <v>#REF!</v>
      </c>
      <c r="M52" s="9" t="e">
        <f t="shared" si="2"/>
        <v>#REF!</v>
      </c>
    </row>
    <row r="53" spans="1:13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429</v>
      </c>
      <c r="H53" s="8">
        <v>30</v>
      </c>
      <c r="I53" s="8">
        <v>1</v>
      </c>
      <c r="J53" s="9" t="e">
        <f>+#REF!+'CUADRO SERVICIOS'!M53</f>
        <v>#REF!</v>
      </c>
      <c r="K53" s="10" t="e">
        <f t="shared" si="0"/>
        <v>#REF!</v>
      </c>
      <c r="L53" s="9" t="e">
        <f t="shared" si="1"/>
        <v>#REF!</v>
      </c>
      <c r="M53" s="9" t="e">
        <f t="shared" si="2"/>
        <v>#REF!</v>
      </c>
    </row>
    <row r="54" spans="1:13" ht="15.75" customHeight="1" x14ac:dyDescent="0.25">
      <c r="A54" s="261" t="s">
        <v>59</v>
      </c>
      <c r="B54" s="259"/>
      <c r="C54" s="259"/>
      <c r="D54" s="259"/>
      <c r="E54" s="259"/>
      <c r="F54" s="259"/>
      <c r="G54" s="259"/>
      <c r="H54" s="260"/>
      <c r="I54" s="12">
        <f t="shared" ref="I54:M54" si="3">SUM(I3:I53)</f>
        <v>174</v>
      </c>
      <c r="J54" s="13" t="e">
        <f t="shared" si="3"/>
        <v>#REF!</v>
      </c>
      <c r="K54" s="13" t="e">
        <f t="shared" si="3"/>
        <v>#REF!</v>
      </c>
      <c r="L54" s="13" t="e">
        <f t="shared" si="3"/>
        <v>#REF!</v>
      </c>
      <c r="M54" s="13" t="e">
        <f t="shared" si="3"/>
        <v>#REF!</v>
      </c>
    </row>
    <row r="55" spans="1:13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</row>
    <row r="56" spans="1:13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262" t="s">
        <v>426</v>
      </c>
      <c r="K56" s="263"/>
      <c r="L56" s="264"/>
      <c r="M56" s="15"/>
    </row>
    <row r="57" spans="1:13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93" t="s">
        <v>60</v>
      </c>
      <c r="K57" s="16"/>
      <c r="L57" s="207" t="e">
        <f>+M54/1.019</f>
        <v>#REF!</v>
      </c>
      <c r="M57" s="15"/>
    </row>
    <row r="58" spans="1:13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93" t="s">
        <v>61</v>
      </c>
      <c r="K58" s="16"/>
      <c r="L58" s="194" t="e">
        <f>+L57*0.019</f>
        <v>#REF!</v>
      </c>
      <c r="M58" s="15"/>
    </row>
    <row r="59" spans="1:13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95" t="s">
        <v>62</v>
      </c>
      <c r="K59" s="196"/>
      <c r="L59" s="197" t="e">
        <f>+L57+L58</f>
        <v>#REF!</v>
      </c>
      <c r="M59" s="15"/>
    </row>
    <row r="60" spans="1:13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5"/>
      <c r="K60" s="15"/>
      <c r="L60" s="15"/>
      <c r="M60" s="15"/>
    </row>
    <row r="61" spans="1:13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271" t="s">
        <v>427</v>
      </c>
      <c r="K61" s="272"/>
      <c r="L61" s="273"/>
      <c r="M61" s="15"/>
    </row>
    <row r="62" spans="1:13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201" t="s">
        <v>60</v>
      </c>
      <c r="K62" s="202"/>
      <c r="L62" s="203">
        <f>1423500/1.019</f>
        <v>1396957.8017664377</v>
      </c>
    </row>
    <row r="63" spans="1:13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201" t="s">
        <v>61</v>
      </c>
      <c r="K63" s="202"/>
      <c r="L63" s="203">
        <f>L62*0.019</f>
        <v>26542.198233562314</v>
      </c>
    </row>
    <row r="64" spans="1:13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204" t="s">
        <v>62</v>
      </c>
      <c r="K64" s="205"/>
      <c r="L64" s="206">
        <f>L62+L63</f>
        <v>1423500</v>
      </c>
    </row>
    <row r="65" spans="1:13" ht="15" customHeight="1" thickBot="1" x14ac:dyDescent="0.3"/>
    <row r="66" spans="1:13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98" t="s">
        <v>424</v>
      </c>
      <c r="K66" s="199"/>
      <c r="L66" s="200" t="e">
        <f>L59-L64</f>
        <v>#REF!</v>
      </c>
      <c r="M66" s="15"/>
    </row>
    <row r="67" spans="1:13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</row>
    <row r="68" spans="1:13" ht="48.75" customHeight="1" x14ac:dyDescent="0.25">
      <c r="A68" s="268" t="s">
        <v>63</v>
      </c>
      <c r="B68" s="259"/>
      <c r="C68" s="259"/>
      <c r="D68" s="259"/>
      <c r="E68" s="259"/>
      <c r="F68" s="259"/>
      <c r="G68" s="259"/>
      <c r="H68" s="259"/>
      <c r="I68" s="259"/>
      <c r="J68" s="259"/>
      <c r="K68" s="259"/>
      <c r="L68" s="259"/>
      <c r="M68" s="260"/>
    </row>
    <row r="69" spans="1:13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12</v>
      </c>
      <c r="K69" s="4" t="s">
        <v>13</v>
      </c>
      <c r="L69" s="4" t="s">
        <v>14</v>
      </c>
      <c r="M69" s="4" t="s">
        <v>15</v>
      </c>
    </row>
    <row r="70" spans="1:13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429</v>
      </c>
      <c r="H70" s="8">
        <v>16</v>
      </c>
      <c r="I70" s="8">
        <v>5</v>
      </c>
      <c r="J70" s="9" t="e">
        <f>+#REF!+'CUADRO SERVICIOS'!M70</f>
        <v>#REF!</v>
      </c>
      <c r="K70" s="10" t="e">
        <f>ROUND(J70*10%,0)</f>
        <v>#REF!</v>
      </c>
      <c r="L70" s="9" t="e">
        <f t="shared" ref="L70:L72" si="4">+K70*19%</f>
        <v>#REF!</v>
      </c>
      <c r="M70" s="9" t="e">
        <f t="shared" ref="M70:M72" si="5">+ROUND(J70+L70,0)</f>
        <v>#REF!</v>
      </c>
    </row>
    <row r="71" spans="1:13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429</v>
      </c>
      <c r="H71" s="8">
        <v>16</v>
      </c>
      <c r="I71" s="8">
        <v>1</v>
      </c>
      <c r="J71" s="9" t="e">
        <f>+#REF!+'CUADRO SERVICIOS'!M71</f>
        <v>#REF!</v>
      </c>
      <c r="K71" s="10" t="e">
        <f t="shared" ref="K71:K72" si="6">+J71*10%</f>
        <v>#REF!</v>
      </c>
      <c r="L71" s="9" t="e">
        <f t="shared" si="4"/>
        <v>#REF!</v>
      </c>
      <c r="M71" s="9" t="e">
        <f t="shared" si="5"/>
        <v>#REF!</v>
      </c>
    </row>
    <row r="72" spans="1:13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429</v>
      </c>
      <c r="H72" s="8">
        <v>16</v>
      </c>
      <c r="I72" s="8">
        <v>1</v>
      </c>
      <c r="J72" s="9" t="e">
        <f>+#REF!+'CUADRO SERVICIOS'!M72</f>
        <v>#REF!</v>
      </c>
      <c r="K72" s="10" t="e">
        <f t="shared" si="6"/>
        <v>#REF!</v>
      </c>
      <c r="L72" s="9" t="e">
        <f t="shared" si="4"/>
        <v>#REF!</v>
      </c>
      <c r="M72" s="9" t="e">
        <f t="shared" si="5"/>
        <v>#REF!</v>
      </c>
    </row>
    <row r="73" spans="1:13" ht="15.75" customHeight="1" x14ac:dyDescent="0.25">
      <c r="A73" s="261" t="s">
        <v>59</v>
      </c>
      <c r="B73" s="259"/>
      <c r="C73" s="259"/>
      <c r="D73" s="259"/>
      <c r="E73" s="259"/>
      <c r="F73" s="259"/>
      <c r="G73" s="259"/>
      <c r="H73" s="260"/>
      <c r="I73" s="192">
        <f t="shared" ref="I73:M73" si="7">I70+I71+I72</f>
        <v>7</v>
      </c>
      <c r="J73" s="12" t="e">
        <f t="shared" si="7"/>
        <v>#REF!</v>
      </c>
      <c r="K73" s="12" t="e">
        <f t="shared" si="7"/>
        <v>#REF!</v>
      </c>
      <c r="L73" s="12" t="e">
        <f t="shared" si="7"/>
        <v>#REF!</v>
      </c>
      <c r="M73" s="12" t="e">
        <f t="shared" si="7"/>
        <v>#REF!</v>
      </c>
    </row>
    <row r="74" spans="1:13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</row>
    <row r="75" spans="1:13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15"/>
      <c r="L75" s="15"/>
      <c r="M75" s="15"/>
    </row>
    <row r="76" spans="1:13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6" t="e">
        <f>J73</f>
        <v>#REF!</v>
      </c>
      <c r="K76" s="15"/>
      <c r="L76" s="15"/>
      <c r="M76" s="15"/>
    </row>
    <row r="77" spans="1:13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6" t="e">
        <f>L73</f>
        <v>#REF!</v>
      </c>
      <c r="K77" s="15"/>
      <c r="L77" s="15"/>
      <c r="M77" s="15"/>
    </row>
    <row r="78" spans="1:13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7" t="e">
        <f>M73</f>
        <v>#REF!</v>
      </c>
      <c r="K78" s="15"/>
      <c r="L78" s="15"/>
      <c r="M78" s="15"/>
    </row>
    <row r="79" spans="1:13" ht="15" hidden="1" customHeight="1" x14ac:dyDescent="0.25"/>
    <row r="80" spans="1:13" ht="15" hidden="1" customHeight="1" x14ac:dyDescent="0.25"/>
    <row r="81" spans="13:13" ht="15" hidden="1" customHeight="1" x14ac:dyDescent="0.25"/>
    <row r="84" spans="13:13" ht="15" customHeight="1" x14ac:dyDescent="0.25">
      <c r="M84" s="208"/>
    </row>
  </sheetData>
  <autoFilter ref="A2:M59" xr:uid="{00000000-0009-0000-0000-000004000000}"/>
  <mergeCells count="6">
    <mergeCell ref="A73:H73"/>
    <mergeCell ref="J56:L56"/>
    <mergeCell ref="J61:L61"/>
    <mergeCell ref="A1:M1"/>
    <mergeCell ref="A54:H54"/>
    <mergeCell ref="A68:M68"/>
  </mergeCells>
  <pageMargins left="0.31496062992125984" right="0.31496062992125984" top="0.35433070866141736" bottom="0.35433070866141736" header="0" footer="0"/>
  <pageSetup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/>
  <dimension ref="A1:L7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9.42578125" customWidth="1"/>
    <col min="8" max="8" width="7.42578125" customWidth="1"/>
    <col min="9" max="9" width="26.28515625" customWidth="1"/>
    <col min="10" max="10" width="22.42578125" customWidth="1"/>
    <col min="11" max="11" width="23.85546875" customWidth="1"/>
    <col min="12" max="12" width="26" customWidth="1"/>
  </cols>
  <sheetData>
    <row r="1" spans="1:12" ht="65.25" customHeight="1" x14ac:dyDescent="0.25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2" t="s">
        <v>67</v>
      </c>
      <c r="G1" s="2" t="s">
        <v>7</v>
      </c>
      <c r="H1" s="3" t="s">
        <v>8</v>
      </c>
      <c r="I1" s="4" t="s">
        <v>68</v>
      </c>
      <c r="J1" s="4" t="s">
        <v>13</v>
      </c>
      <c r="K1" s="4" t="s">
        <v>14</v>
      </c>
      <c r="L1" s="4" t="s">
        <v>15</v>
      </c>
    </row>
    <row r="2" spans="1:12" ht="24" customHeight="1" x14ac:dyDescent="0.25">
      <c r="A2" s="5" t="s">
        <v>16</v>
      </c>
      <c r="B2" s="5" t="s">
        <v>69</v>
      </c>
      <c r="C2" s="6" t="s">
        <v>70</v>
      </c>
      <c r="D2" s="5" t="s">
        <v>40</v>
      </c>
      <c r="E2" s="7" t="s">
        <v>22</v>
      </c>
      <c r="F2" s="5" t="s">
        <v>21</v>
      </c>
      <c r="G2" s="8">
        <v>30</v>
      </c>
      <c r="H2" s="8">
        <v>1</v>
      </c>
      <c r="I2" s="9">
        <v>3831330</v>
      </c>
      <c r="J2" s="10">
        <v>383133</v>
      </c>
      <c r="K2" s="9">
        <v>72795.27</v>
      </c>
      <c r="L2" s="9">
        <v>3904125</v>
      </c>
    </row>
    <row r="3" spans="1:12" x14ac:dyDescent="0.25">
      <c r="A3" s="5" t="s">
        <v>16</v>
      </c>
      <c r="B3" s="5" t="s">
        <v>71</v>
      </c>
      <c r="C3" s="11" t="s">
        <v>72</v>
      </c>
      <c r="D3" s="5" t="s">
        <v>19</v>
      </c>
      <c r="E3" s="7" t="s">
        <v>20</v>
      </c>
      <c r="F3" s="5" t="s">
        <v>23</v>
      </c>
      <c r="G3" s="8">
        <v>30</v>
      </c>
      <c r="H3" s="8">
        <v>1</v>
      </c>
      <c r="I3" s="9">
        <v>13071850</v>
      </c>
      <c r="J3" s="10">
        <v>1307185</v>
      </c>
      <c r="K3" s="9">
        <v>248365.15</v>
      </c>
      <c r="L3" s="9">
        <v>13320215</v>
      </c>
    </row>
    <row r="4" spans="1:12" x14ac:dyDescent="0.25">
      <c r="A4" s="5" t="s">
        <v>16</v>
      </c>
      <c r="B4" s="5" t="s">
        <v>71</v>
      </c>
      <c r="C4" s="11" t="s">
        <v>73</v>
      </c>
      <c r="D4" s="5" t="s">
        <v>19</v>
      </c>
      <c r="E4" s="7" t="s">
        <v>20</v>
      </c>
      <c r="F4" s="5" t="s">
        <v>74</v>
      </c>
      <c r="G4" s="8">
        <v>30</v>
      </c>
      <c r="H4" s="8">
        <v>1</v>
      </c>
      <c r="I4" s="9">
        <v>13071850</v>
      </c>
      <c r="J4" s="10">
        <v>1307185</v>
      </c>
      <c r="K4" s="9">
        <v>248365.15</v>
      </c>
      <c r="L4" s="9">
        <v>13320215</v>
      </c>
    </row>
    <row r="5" spans="1:12" x14ac:dyDescent="0.25">
      <c r="A5" s="5" t="s">
        <v>16</v>
      </c>
      <c r="B5" s="5" t="s">
        <v>71</v>
      </c>
      <c r="C5" s="11" t="s">
        <v>75</v>
      </c>
      <c r="D5" s="5" t="s">
        <v>19</v>
      </c>
      <c r="E5" s="7" t="s">
        <v>20</v>
      </c>
      <c r="F5" s="5" t="s">
        <v>74</v>
      </c>
      <c r="G5" s="8">
        <v>30</v>
      </c>
      <c r="H5" s="8">
        <v>1</v>
      </c>
      <c r="I5" s="9">
        <v>13071850</v>
      </c>
      <c r="J5" s="10">
        <v>1307185</v>
      </c>
      <c r="K5" s="9">
        <v>248365.15</v>
      </c>
      <c r="L5" s="9">
        <v>13320215</v>
      </c>
    </row>
    <row r="6" spans="1:12" x14ac:dyDescent="0.25">
      <c r="A6" s="5" t="s">
        <v>16</v>
      </c>
      <c r="B6" s="5" t="s">
        <v>76</v>
      </c>
      <c r="C6" s="6" t="s">
        <v>77</v>
      </c>
      <c r="D6" s="5" t="s">
        <v>19</v>
      </c>
      <c r="E6" s="7" t="s">
        <v>20</v>
      </c>
      <c r="F6" s="5" t="s">
        <v>74</v>
      </c>
      <c r="G6" s="8">
        <v>30</v>
      </c>
      <c r="H6" s="8">
        <v>1</v>
      </c>
      <c r="I6" s="9">
        <v>13071850</v>
      </c>
      <c r="J6" s="10">
        <v>1307185</v>
      </c>
      <c r="K6" s="9">
        <v>248365.15</v>
      </c>
      <c r="L6" s="9">
        <v>13320215</v>
      </c>
    </row>
    <row r="7" spans="1:12" x14ac:dyDescent="0.25">
      <c r="A7" s="5" t="s">
        <v>16</v>
      </c>
      <c r="B7" s="5" t="s">
        <v>78</v>
      </c>
      <c r="C7" s="11" t="s">
        <v>79</v>
      </c>
      <c r="D7" s="5" t="s">
        <v>40</v>
      </c>
      <c r="E7" s="7" t="s">
        <v>22</v>
      </c>
      <c r="F7" s="5" t="s">
        <v>80</v>
      </c>
      <c r="G7" s="8">
        <v>30</v>
      </c>
      <c r="H7" s="8">
        <v>1</v>
      </c>
      <c r="I7" s="9">
        <v>3831330</v>
      </c>
      <c r="J7" s="10">
        <v>383133</v>
      </c>
      <c r="K7" s="9">
        <v>72795.27</v>
      </c>
      <c r="L7" s="9">
        <v>3904125</v>
      </c>
    </row>
    <row r="8" spans="1:12" x14ac:dyDescent="0.25">
      <c r="A8" s="5" t="s">
        <v>16</v>
      </c>
      <c r="B8" s="5" t="s">
        <v>81</v>
      </c>
      <c r="C8" s="6" t="s">
        <v>82</v>
      </c>
      <c r="D8" s="5" t="s">
        <v>19</v>
      </c>
      <c r="E8" s="7" t="s">
        <v>20</v>
      </c>
      <c r="F8" s="5" t="s">
        <v>83</v>
      </c>
      <c r="G8" s="8">
        <v>30</v>
      </c>
      <c r="H8" s="8">
        <v>1</v>
      </c>
      <c r="I8" s="9">
        <v>13071850</v>
      </c>
      <c r="J8" s="10">
        <v>1307185</v>
      </c>
      <c r="K8" s="9">
        <v>248365.15</v>
      </c>
      <c r="L8" s="9">
        <v>13320215</v>
      </c>
    </row>
    <row r="9" spans="1:12" x14ac:dyDescent="0.25">
      <c r="A9" s="5" t="s">
        <v>16</v>
      </c>
      <c r="B9" s="5" t="s">
        <v>84</v>
      </c>
      <c r="C9" s="11" t="s">
        <v>85</v>
      </c>
      <c r="D9" s="5" t="s">
        <v>19</v>
      </c>
      <c r="E9" s="7" t="s">
        <v>20</v>
      </c>
      <c r="F9" s="5" t="s">
        <v>86</v>
      </c>
      <c r="G9" s="8">
        <v>30</v>
      </c>
      <c r="H9" s="8">
        <v>1</v>
      </c>
      <c r="I9" s="9">
        <v>13071850</v>
      </c>
      <c r="J9" s="10">
        <v>1307185</v>
      </c>
      <c r="K9" s="9">
        <v>248365.15</v>
      </c>
      <c r="L9" s="9">
        <v>13320215</v>
      </c>
    </row>
    <row r="10" spans="1:12" x14ac:dyDescent="0.25">
      <c r="A10" s="5" t="s">
        <v>16</v>
      </c>
      <c r="B10" s="5" t="s">
        <v>84</v>
      </c>
      <c r="C10" s="6" t="s">
        <v>87</v>
      </c>
      <c r="D10" s="5" t="s">
        <v>19</v>
      </c>
      <c r="E10" s="7" t="s">
        <v>20</v>
      </c>
      <c r="F10" s="5" t="s">
        <v>86</v>
      </c>
      <c r="G10" s="8">
        <v>30</v>
      </c>
      <c r="H10" s="8">
        <v>1</v>
      </c>
      <c r="I10" s="9">
        <v>13071850</v>
      </c>
      <c r="J10" s="10">
        <v>1307185</v>
      </c>
      <c r="K10" s="9">
        <v>248365.15</v>
      </c>
      <c r="L10" s="9">
        <v>13320215</v>
      </c>
    </row>
    <row r="11" spans="1:12" x14ac:dyDescent="0.25">
      <c r="A11" s="5" t="s">
        <v>16</v>
      </c>
      <c r="B11" s="5" t="s">
        <v>88</v>
      </c>
      <c r="C11" s="11" t="s">
        <v>89</v>
      </c>
      <c r="D11" s="5" t="s">
        <v>19</v>
      </c>
      <c r="E11" s="7" t="s">
        <v>20</v>
      </c>
      <c r="F11" s="5" t="s">
        <v>86</v>
      </c>
      <c r="G11" s="8">
        <v>30</v>
      </c>
      <c r="H11" s="8">
        <v>1</v>
      </c>
      <c r="I11" s="9">
        <v>13071850</v>
      </c>
      <c r="J11" s="10">
        <v>1307185</v>
      </c>
      <c r="K11" s="9">
        <v>248365.15</v>
      </c>
      <c r="L11" s="9">
        <v>13320215</v>
      </c>
    </row>
    <row r="12" spans="1:12" x14ac:dyDescent="0.25">
      <c r="A12" s="5" t="s">
        <v>16</v>
      </c>
      <c r="B12" s="5" t="s">
        <v>90</v>
      </c>
      <c r="C12" s="11" t="s">
        <v>91</v>
      </c>
      <c r="D12" s="5" t="s">
        <v>19</v>
      </c>
      <c r="E12" s="7" t="s">
        <v>20</v>
      </c>
      <c r="F12" s="5" t="s">
        <v>92</v>
      </c>
      <c r="G12" s="8">
        <v>30</v>
      </c>
      <c r="H12" s="8">
        <v>1</v>
      </c>
      <c r="I12" s="9">
        <v>13071850</v>
      </c>
      <c r="J12" s="10">
        <v>1307185</v>
      </c>
      <c r="K12" s="9">
        <v>248365.15</v>
      </c>
      <c r="L12" s="9">
        <v>13320215</v>
      </c>
    </row>
    <row r="13" spans="1:12" x14ac:dyDescent="0.25">
      <c r="A13" s="5" t="s">
        <v>16</v>
      </c>
      <c r="B13" s="5" t="s">
        <v>90</v>
      </c>
      <c r="C13" s="11" t="s">
        <v>91</v>
      </c>
      <c r="D13" s="5" t="s">
        <v>40</v>
      </c>
      <c r="E13" s="7" t="s">
        <v>20</v>
      </c>
      <c r="F13" s="5" t="s">
        <v>93</v>
      </c>
      <c r="G13" s="8">
        <v>30</v>
      </c>
      <c r="H13" s="8">
        <v>1</v>
      </c>
      <c r="I13" s="9">
        <v>3902281</v>
      </c>
      <c r="J13" s="10">
        <v>390228.10000000003</v>
      </c>
      <c r="K13" s="9">
        <v>74143.339000000007</v>
      </c>
      <c r="L13" s="9">
        <v>3976424</v>
      </c>
    </row>
    <row r="14" spans="1:12" ht="15.75" customHeight="1" x14ac:dyDescent="0.25">
      <c r="A14" s="5" t="s">
        <v>16</v>
      </c>
      <c r="B14" s="5" t="s">
        <v>94</v>
      </c>
      <c r="C14" s="11" t="s">
        <v>95</v>
      </c>
      <c r="D14" s="5" t="s">
        <v>19</v>
      </c>
      <c r="E14" s="7" t="s">
        <v>20</v>
      </c>
      <c r="F14" s="5" t="s">
        <v>92</v>
      </c>
      <c r="G14" s="8">
        <v>30</v>
      </c>
      <c r="H14" s="8">
        <v>2</v>
      </c>
      <c r="I14" s="9">
        <v>26143700</v>
      </c>
      <c r="J14" s="10">
        <v>2614370</v>
      </c>
      <c r="K14" s="9">
        <v>496730.3</v>
      </c>
      <c r="L14" s="9">
        <v>26640430</v>
      </c>
    </row>
    <row r="15" spans="1:12" ht="15.75" customHeight="1" x14ac:dyDescent="0.25">
      <c r="A15" s="5" t="s">
        <v>16</v>
      </c>
      <c r="B15" s="5" t="s">
        <v>94</v>
      </c>
      <c r="C15" s="11" t="s">
        <v>96</v>
      </c>
      <c r="D15" s="5" t="s">
        <v>40</v>
      </c>
      <c r="E15" s="7" t="s">
        <v>22</v>
      </c>
      <c r="F15" s="5" t="s">
        <v>97</v>
      </c>
      <c r="G15" s="8">
        <v>30</v>
      </c>
      <c r="H15" s="8">
        <v>1</v>
      </c>
      <c r="I15" s="9">
        <v>3831330</v>
      </c>
      <c r="J15" s="10">
        <v>383133</v>
      </c>
      <c r="K15" s="9">
        <v>72795.27</v>
      </c>
      <c r="L15" s="9">
        <v>3904125</v>
      </c>
    </row>
    <row r="16" spans="1:12" ht="15.75" customHeight="1" x14ac:dyDescent="0.25">
      <c r="A16" s="5" t="s">
        <v>16</v>
      </c>
      <c r="B16" s="5" t="s">
        <v>98</v>
      </c>
      <c r="C16" s="11" t="s">
        <v>99</v>
      </c>
      <c r="D16" s="5" t="s">
        <v>19</v>
      </c>
      <c r="E16" s="7" t="s">
        <v>20</v>
      </c>
      <c r="F16" s="5" t="s">
        <v>92</v>
      </c>
      <c r="G16" s="8">
        <v>30</v>
      </c>
      <c r="H16" s="8">
        <v>1</v>
      </c>
      <c r="I16" s="9">
        <v>13071850</v>
      </c>
      <c r="J16" s="10">
        <v>1307185</v>
      </c>
      <c r="K16" s="9">
        <v>248365.15</v>
      </c>
      <c r="L16" s="9">
        <v>13320215</v>
      </c>
    </row>
    <row r="17" spans="1:12" ht="15.75" customHeight="1" x14ac:dyDescent="0.25">
      <c r="A17" s="5" t="s">
        <v>16</v>
      </c>
      <c r="B17" s="5" t="s">
        <v>98</v>
      </c>
      <c r="C17" s="11" t="s">
        <v>100</v>
      </c>
      <c r="D17" s="5" t="s">
        <v>19</v>
      </c>
      <c r="E17" s="7" t="s">
        <v>20</v>
      </c>
      <c r="F17" s="5" t="s">
        <v>92</v>
      </c>
      <c r="G17" s="8">
        <v>30</v>
      </c>
      <c r="H17" s="8">
        <v>1</v>
      </c>
      <c r="I17" s="9">
        <v>13071850</v>
      </c>
      <c r="J17" s="10">
        <v>1307185</v>
      </c>
      <c r="K17" s="9">
        <v>248365.15</v>
      </c>
      <c r="L17" s="9">
        <v>13320215</v>
      </c>
    </row>
    <row r="18" spans="1:12" ht="15.75" customHeight="1" x14ac:dyDescent="0.25">
      <c r="A18" s="5" t="s">
        <v>16</v>
      </c>
      <c r="B18" s="5" t="s">
        <v>98</v>
      </c>
      <c r="C18" s="11" t="s">
        <v>100</v>
      </c>
      <c r="D18" s="5" t="s">
        <v>40</v>
      </c>
      <c r="E18" s="7" t="s">
        <v>22</v>
      </c>
      <c r="F18" s="5" t="s">
        <v>101</v>
      </c>
      <c r="G18" s="8">
        <v>30</v>
      </c>
      <c r="H18" s="8">
        <v>1</v>
      </c>
      <c r="I18" s="9">
        <v>3831330</v>
      </c>
      <c r="J18" s="10">
        <v>383133</v>
      </c>
      <c r="K18" s="9">
        <v>72795.27</v>
      </c>
      <c r="L18" s="9">
        <v>3904125</v>
      </c>
    </row>
    <row r="19" spans="1:12" ht="15.75" customHeight="1" x14ac:dyDescent="0.25">
      <c r="A19" s="5" t="s">
        <v>16</v>
      </c>
      <c r="B19" s="5" t="s">
        <v>102</v>
      </c>
      <c r="C19" s="6" t="s">
        <v>103</v>
      </c>
      <c r="D19" s="5" t="s">
        <v>19</v>
      </c>
      <c r="E19" s="7" t="s">
        <v>20</v>
      </c>
      <c r="F19" s="5" t="s">
        <v>104</v>
      </c>
      <c r="G19" s="8">
        <v>30</v>
      </c>
      <c r="H19" s="8">
        <v>1</v>
      </c>
      <c r="I19" s="9">
        <v>13071850</v>
      </c>
      <c r="J19" s="10">
        <v>1307185</v>
      </c>
      <c r="K19" s="9">
        <v>248365.15</v>
      </c>
      <c r="L19" s="9">
        <v>13320215</v>
      </c>
    </row>
    <row r="20" spans="1:12" ht="15.75" customHeight="1" x14ac:dyDescent="0.25">
      <c r="A20" s="5" t="s">
        <v>16</v>
      </c>
      <c r="B20" s="5" t="s">
        <v>105</v>
      </c>
      <c r="C20" s="11" t="s">
        <v>106</v>
      </c>
      <c r="D20" s="5" t="s">
        <v>19</v>
      </c>
      <c r="E20" s="7" t="s">
        <v>20</v>
      </c>
      <c r="F20" s="5" t="s">
        <v>104</v>
      </c>
      <c r="G20" s="8">
        <v>30</v>
      </c>
      <c r="H20" s="8">
        <v>1</v>
      </c>
      <c r="I20" s="9">
        <v>13071850</v>
      </c>
      <c r="J20" s="10">
        <v>1307185</v>
      </c>
      <c r="K20" s="9">
        <v>248365.15</v>
      </c>
      <c r="L20" s="9">
        <v>13320215</v>
      </c>
    </row>
    <row r="21" spans="1:12" ht="15.75" customHeight="1" x14ac:dyDescent="0.25">
      <c r="A21" s="5" t="s">
        <v>16</v>
      </c>
      <c r="B21" s="5" t="s">
        <v>107</v>
      </c>
      <c r="C21" s="11" t="s">
        <v>108</v>
      </c>
      <c r="D21" s="5" t="s">
        <v>40</v>
      </c>
      <c r="E21" s="7" t="s">
        <v>22</v>
      </c>
      <c r="F21" s="5" t="s">
        <v>25</v>
      </c>
      <c r="G21" s="8">
        <v>30</v>
      </c>
      <c r="H21" s="8">
        <v>1</v>
      </c>
      <c r="I21" s="9">
        <v>3831330</v>
      </c>
      <c r="J21" s="10">
        <v>383133</v>
      </c>
      <c r="K21" s="9">
        <v>72795.27</v>
      </c>
      <c r="L21" s="9">
        <v>3904125</v>
      </c>
    </row>
    <row r="22" spans="1:12" ht="15.75" customHeight="1" x14ac:dyDescent="0.25">
      <c r="A22" s="5" t="s">
        <v>16</v>
      </c>
      <c r="B22" s="5" t="s">
        <v>109</v>
      </c>
      <c r="C22" s="6" t="s">
        <v>110</v>
      </c>
      <c r="D22" s="5" t="s">
        <v>19</v>
      </c>
      <c r="E22" s="7" t="s">
        <v>20</v>
      </c>
      <c r="F22" s="5" t="s">
        <v>111</v>
      </c>
      <c r="G22" s="8">
        <v>30</v>
      </c>
      <c r="H22" s="8">
        <v>1</v>
      </c>
      <c r="I22" s="9">
        <v>13071850</v>
      </c>
      <c r="J22" s="10">
        <v>1307185</v>
      </c>
      <c r="K22" s="9">
        <v>248365.15</v>
      </c>
      <c r="L22" s="9">
        <v>13320215</v>
      </c>
    </row>
    <row r="23" spans="1:12" ht="15.75" customHeight="1" x14ac:dyDescent="0.25">
      <c r="A23" s="5" t="s">
        <v>16</v>
      </c>
      <c r="B23" s="5" t="s">
        <v>109</v>
      </c>
      <c r="C23" s="11" t="s">
        <v>100</v>
      </c>
      <c r="D23" s="5" t="s">
        <v>40</v>
      </c>
      <c r="E23" s="7" t="s">
        <v>20</v>
      </c>
      <c r="F23" s="5" t="s">
        <v>112</v>
      </c>
      <c r="G23" s="8">
        <v>30</v>
      </c>
      <c r="H23" s="8">
        <v>1</v>
      </c>
      <c r="I23" s="9">
        <v>3902281</v>
      </c>
      <c r="J23" s="10">
        <v>390228.10000000003</v>
      </c>
      <c r="K23" s="9">
        <v>74143.339000000007</v>
      </c>
      <c r="L23" s="9">
        <v>3976424</v>
      </c>
    </row>
    <row r="24" spans="1:12" ht="15.75" customHeight="1" x14ac:dyDescent="0.25">
      <c r="A24" s="5" t="s">
        <v>16</v>
      </c>
      <c r="B24" s="5" t="s">
        <v>113</v>
      </c>
      <c r="C24" s="6" t="s">
        <v>114</v>
      </c>
      <c r="D24" s="5" t="s">
        <v>40</v>
      </c>
      <c r="E24" s="7" t="s">
        <v>20</v>
      </c>
      <c r="F24" s="5" t="s">
        <v>115</v>
      </c>
      <c r="G24" s="8">
        <v>30</v>
      </c>
      <c r="H24" s="8">
        <v>1</v>
      </c>
      <c r="I24" s="9">
        <v>3902281</v>
      </c>
      <c r="J24" s="10">
        <v>390228.10000000003</v>
      </c>
      <c r="K24" s="9">
        <v>74143.339000000007</v>
      </c>
      <c r="L24" s="9">
        <v>3976424</v>
      </c>
    </row>
    <row r="25" spans="1:12" ht="15.75" customHeight="1" x14ac:dyDescent="0.25">
      <c r="A25" s="5" t="s">
        <v>16</v>
      </c>
      <c r="B25" s="5" t="s">
        <v>116</v>
      </c>
      <c r="C25" s="6" t="s">
        <v>117</v>
      </c>
      <c r="D25" s="5" t="s">
        <v>19</v>
      </c>
      <c r="E25" s="7" t="s">
        <v>20</v>
      </c>
      <c r="F25" s="5" t="s">
        <v>118</v>
      </c>
      <c r="G25" s="8">
        <v>30</v>
      </c>
      <c r="H25" s="8">
        <v>1</v>
      </c>
      <c r="I25" s="9">
        <v>13071850</v>
      </c>
      <c r="J25" s="10">
        <v>1307185</v>
      </c>
      <c r="K25" s="9">
        <v>248365.15</v>
      </c>
      <c r="L25" s="9">
        <v>13320215</v>
      </c>
    </row>
    <row r="26" spans="1:12" ht="15.75" customHeight="1" x14ac:dyDescent="0.25">
      <c r="A26" s="5" t="s">
        <v>16</v>
      </c>
      <c r="B26" s="5" t="s">
        <v>119</v>
      </c>
      <c r="C26" s="11" t="s">
        <v>120</v>
      </c>
      <c r="D26" s="5" t="s">
        <v>40</v>
      </c>
      <c r="E26" s="7" t="s">
        <v>22</v>
      </c>
      <c r="F26" s="5" t="s">
        <v>121</v>
      </c>
      <c r="G26" s="8">
        <v>30</v>
      </c>
      <c r="H26" s="8">
        <v>1</v>
      </c>
      <c r="I26" s="9">
        <v>3831330</v>
      </c>
      <c r="J26" s="10">
        <v>383133</v>
      </c>
      <c r="K26" s="9">
        <v>72795.27</v>
      </c>
      <c r="L26" s="9">
        <v>3904125</v>
      </c>
    </row>
    <row r="27" spans="1:12" ht="15.75" customHeight="1" x14ac:dyDescent="0.25">
      <c r="A27" s="5" t="s">
        <v>16</v>
      </c>
      <c r="B27" s="5" t="s">
        <v>122</v>
      </c>
      <c r="C27" s="11" t="s">
        <v>123</v>
      </c>
      <c r="D27" s="5" t="s">
        <v>40</v>
      </c>
      <c r="E27" s="7" t="s">
        <v>22</v>
      </c>
      <c r="F27" s="5" t="s">
        <v>121</v>
      </c>
      <c r="G27" s="8">
        <v>30</v>
      </c>
      <c r="H27" s="8">
        <v>1</v>
      </c>
      <c r="I27" s="9">
        <v>3831330</v>
      </c>
      <c r="J27" s="10">
        <v>383133</v>
      </c>
      <c r="K27" s="9">
        <v>72795.27</v>
      </c>
      <c r="L27" s="9">
        <v>3904125</v>
      </c>
    </row>
    <row r="28" spans="1:12" ht="24" customHeight="1" x14ac:dyDescent="0.25">
      <c r="A28" s="5" t="s">
        <v>16</v>
      </c>
      <c r="B28" s="5" t="s">
        <v>124</v>
      </c>
      <c r="C28" s="6" t="s">
        <v>125</v>
      </c>
      <c r="D28" s="5" t="s">
        <v>19</v>
      </c>
      <c r="E28" s="7" t="s">
        <v>20</v>
      </c>
      <c r="F28" s="5" t="s">
        <v>47</v>
      </c>
      <c r="G28" s="8">
        <v>30</v>
      </c>
      <c r="H28" s="8">
        <v>2</v>
      </c>
      <c r="I28" s="9">
        <v>26143700</v>
      </c>
      <c r="J28" s="10">
        <v>2614370</v>
      </c>
      <c r="K28" s="9">
        <v>496730.3</v>
      </c>
      <c r="L28" s="9">
        <v>26640430</v>
      </c>
    </row>
    <row r="29" spans="1:12" ht="15.75" customHeight="1" x14ac:dyDescent="0.25">
      <c r="A29" s="5" t="s">
        <v>16</v>
      </c>
      <c r="B29" s="5" t="s">
        <v>124</v>
      </c>
      <c r="C29" s="11" t="s">
        <v>126</v>
      </c>
      <c r="D29" s="5" t="s">
        <v>19</v>
      </c>
      <c r="E29" s="7" t="s">
        <v>20</v>
      </c>
      <c r="F29" s="5" t="s">
        <v>47</v>
      </c>
      <c r="G29" s="8">
        <v>30</v>
      </c>
      <c r="H29" s="8">
        <v>1</v>
      </c>
      <c r="I29" s="9">
        <v>13071850</v>
      </c>
      <c r="J29" s="10">
        <v>1307185</v>
      </c>
      <c r="K29" s="9">
        <v>248365.15</v>
      </c>
      <c r="L29" s="9">
        <v>13320215</v>
      </c>
    </row>
    <row r="30" spans="1:12" ht="15.75" customHeight="1" x14ac:dyDescent="0.25">
      <c r="A30" s="5" t="s">
        <v>16</v>
      </c>
      <c r="B30" s="5" t="s">
        <v>124</v>
      </c>
      <c r="C30" s="11" t="s">
        <v>126</v>
      </c>
      <c r="D30" s="5" t="s">
        <v>40</v>
      </c>
      <c r="E30" s="7" t="s">
        <v>20</v>
      </c>
      <c r="F30" s="5" t="s">
        <v>127</v>
      </c>
      <c r="G30" s="8">
        <v>30</v>
      </c>
      <c r="H30" s="8">
        <v>1</v>
      </c>
      <c r="I30" s="9">
        <v>3902281</v>
      </c>
      <c r="J30" s="10">
        <v>390228.10000000003</v>
      </c>
      <c r="K30" s="9">
        <v>74143.339000000007</v>
      </c>
      <c r="L30" s="9">
        <v>3976424</v>
      </c>
    </row>
    <row r="31" spans="1:12" ht="15.75" customHeight="1" x14ac:dyDescent="0.25">
      <c r="A31" s="5" t="s">
        <v>16</v>
      </c>
      <c r="B31" s="5" t="s">
        <v>128</v>
      </c>
      <c r="C31" s="6" t="s">
        <v>129</v>
      </c>
      <c r="D31" s="5" t="s">
        <v>19</v>
      </c>
      <c r="E31" s="7" t="s">
        <v>20</v>
      </c>
      <c r="F31" s="5" t="s">
        <v>47</v>
      </c>
      <c r="G31" s="8">
        <v>30</v>
      </c>
      <c r="H31" s="8">
        <v>1</v>
      </c>
      <c r="I31" s="9">
        <v>13071850</v>
      </c>
      <c r="J31" s="10">
        <v>1307185</v>
      </c>
      <c r="K31" s="9">
        <v>248365.15</v>
      </c>
      <c r="L31" s="9">
        <v>13320215</v>
      </c>
    </row>
    <row r="32" spans="1:12" ht="15.75" customHeight="1" x14ac:dyDescent="0.25">
      <c r="A32" s="5" t="s">
        <v>16</v>
      </c>
      <c r="B32" s="5" t="s">
        <v>130</v>
      </c>
      <c r="C32" s="11" t="s">
        <v>131</v>
      </c>
      <c r="D32" s="5" t="s">
        <v>19</v>
      </c>
      <c r="E32" s="7" t="s">
        <v>20</v>
      </c>
      <c r="F32" s="5" t="s">
        <v>47</v>
      </c>
      <c r="G32" s="8">
        <v>30</v>
      </c>
      <c r="H32" s="8">
        <v>1</v>
      </c>
      <c r="I32" s="9">
        <v>13071850</v>
      </c>
      <c r="J32" s="10">
        <v>1307185</v>
      </c>
      <c r="K32" s="9">
        <v>248365.15</v>
      </c>
      <c r="L32" s="9">
        <v>13320215</v>
      </c>
    </row>
    <row r="33" spans="1:12" ht="15.75" customHeight="1" x14ac:dyDescent="0.25">
      <c r="A33" s="5" t="s">
        <v>16</v>
      </c>
      <c r="B33" s="5" t="s">
        <v>132</v>
      </c>
      <c r="C33" s="18" t="s">
        <v>133</v>
      </c>
      <c r="D33" s="5" t="s">
        <v>19</v>
      </c>
      <c r="E33" s="7" t="s">
        <v>20</v>
      </c>
      <c r="F33" s="5" t="s">
        <v>134</v>
      </c>
      <c r="G33" s="8">
        <v>30</v>
      </c>
      <c r="H33" s="8">
        <v>1</v>
      </c>
      <c r="I33" s="9">
        <v>13071850</v>
      </c>
      <c r="J33" s="10">
        <v>1307185</v>
      </c>
      <c r="K33" s="9">
        <v>248365.15</v>
      </c>
      <c r="L33" s="9">
        <v>13320215</v>
      </c>
    </row>
    <row r="34" spans="1:12" ht="15.75" customHeight="1" x14ac:dyDescent="0.25">
      <c r="A34" s="5" t="s">
        <v>16</v>
      </c>
      <c r="B34" s="5" t="s">
        <v>132</v>
      </c>
      <c r="C34" s="11" t="s">
        <v>135</v>
      </c>
      <c r="D34" s="5" t="s">
        <v>19</v>
      </c>
      <c r="E34" s="7" t="s">
        <v>20</v>
      </c>
      <c r="F34" s="5" t="s">
        <v>134</v>
      </c>
      <c r="G34" s="8">
        <v>30</v>
      </c>
      <c r="H34" s="8">
        <v>1</v>
      </c>
      <c r="I34" s="9">
        <v>13071850</v>
      </c>
      <c r="J34" s="10">
        <v>1307185</v>
      </c>
      <c r="K34" s="9">
        <v>248365.15</v>
      </c>
      <c r="L34" s="9">
        <v>13320215</v>
      </c>
    </row>
    <row r="35" spans="1:12" ht="31.5" customHeight="1" x14ac:dyDescent="0.25">
      <c r="A35" s="5" t="s">
        <v>16</v>
      </c>
      <c r="B35" s="5" t="s">
        <v>136</v>
      </c>
      <c r="C35" s="6" t="s">
        <v>137</v>
      </c>
      <c r="D35" s="5" t="s">
        <v>40</v>
      </c>
      <c r="E35" s="7" t="s">
        <v>20</v>
      </c>
      <c r="F35" s="5" t="s">
        <v>138</v>
      </c>
      <c r="G35" s="19">
        <v>0</v>
      </c>
      <c r="H35" s="19">
        <v>0</v>
      </c>
      <c r="I35" s="9">
        <v>0</v>
      </c>
      <c r="J35" s="10">
        <v>0</v>
      </c>
      <c r="K35" s="9">
        <v>0</v>
      </c>
      <c r="L35" s="9">
        <v>0</v>
      </c>
    </row>
    <row r="36" spans="1:12" ht="36" customHeight="1" x14ac:dyDescent="0.25">
      <c r="A36" s="5" t="s">
        <v>17</v>
      </c>
      <c r="B36" s="5" t="s">
        <v>17</v>
      </c>
      <c r="C36" s="6" t="s">
        <v>139</v>
      </c>
      <c r="D36" s="5" t="s">
        <v>19</v>
      </c>
      <c r="E36" s="7" t="s">
        <v>20</v>
      </c>
      <c r="F36" s="5" t="s">
        <v>134</v>
      </c>
      <c r="G36" s="8">
        <v>30</v>
      </c>
      <c r="H36" s="8">
        <v>3</v>
      </c>
      <c r="I36" s="9">
        <v>39215550</v>
      </c>
      <c r="J36" s="10">
        <v>3921555</v>
      </c>
      <c r="K36" s="9">
        <v>745095.45</v>
      </c>
      <c r="L36" s="9">
        <v>39960645</v>
      </c>
    </row>
    <row r="37" spans="1:12" ht="27.75" customHeight="1" x14ac:dyDescent="0.25">
      <c r="A37" s="5" t="s">
        <v>17</v>
      </c>
      <c r="B37" s="5" t="s">
        <v>17</v>
      </c>
      <c r="C37" s="6" t="s">
        <v>139</v>
      </c>
      <c r="D37" s="5" t="s">
        <v>40</v>
      </c>
      <c r="E37" s="7" t="s">
        <v>22</v>
      </c>
      <c r="F37" s="5"/>
      <c r="G37" s="8">
        <v>30</v>
      </c>
      <c r="H37" s="8">
        <v>3</v>
      </c>
      <c r="I37" s="9">
        <v>11493990</v>
      </c>
      <c r="J37" s="10">
        <v>1149399</v>
      </c>
      <c r="K37" s="9">
        <v>218385.81</v>
      </c>
      <c r="L37" s="9">
        <v>11712376</v>
      </c>
    </row>
    <row r="38" spans="1:12" ht="27.75" customHeight="1" x14ac:dyDescent="0.25">
      <c r="A38" s="5" t="s">
        <v>140</v>
      </c>
      <c r="B38" s="5" t="s">
        <v>141</v>
      </c>
      <c r="C38" s="6" t="s">
        <v>142</v>
      </c>
      <c r="D38" s="5" t="s">
        <v>19</v>
      </c>
      <c r="E38" s="7" t="s">
        <v>20</v>
      </c>
      <c r="F38" s="5" t="s">
        <v>143</v>
      </c>
      <c r="G38" s="8">
        <v>30</v>
      </c>
      <c r="H38" s="8">
        <v>1</v>
      </c>
      <c r="I38" s="9">
        <v>13071850</v>
      </c>
      <c r="J38" s="10">
        <v>1307185</v>
      </c>
      <c r="K38" s="20">
        <v>0</v>
      </c>
      <c r="L38" s="9">
        <v>13071850</v>
      </c>
    </row>
    <row r="39" spans="1:12" ht="27.75" customHeight="1" x14ac:dyDescent="0.25">
      <c r="A39" s="5" t="s">
        <v>140</v>
      </c>
      <c r="B39" s="5" t="s">
        <v>141</v>
      </c>
      <c r="C39" s="6" t="s">
        <v>144</v>
      </c>
      <c r="D39" s="5" t="s">
        <v>19</v>
      </c>
      <c r="E39" s="7" t="s">
        <v>20</v>
      </c>
      <c r="F39" s="5" t="s">
        <v>143</v>
      </c>
      <c r="G39" s="8">
        <v>30</v>
      </c>
      <c r="H39" s="8">
        <v>1</v>
      </c>
      <c r="I39" s="9">
        <v>13071850</v>
      </c>
      <c r="J39" s="10">
        <v>1307185</v>
      </c>
      <c r="K39" s="20">
        <v>0</v>
      </c>
      <c r="L39" s="9">
        <v>13071850</v>
      </c>
    </row>
    <row r="40" spans="1:12" ht="27.75" customHeight="1" x14ac:dyDescent="0.25">
      <c r="A40" s="5" t="s">
        <v>140</v>
      </c>
      <c r="B40" s="5" t="s">
        <v>141</v>
      </c>
      <c r="C40" s="6" t="s">
        <v>145</v>
      </c>
      <c r="D40" s="5" t="s">
        <v>19</v>
      </c>
      <c r="E40" s="7" t="s">
        <v>20</v>
      </c>
      <c r="F40" s="5" t="s">
        <v>143</v>
      </c>
      <c r="G40" s="8">
        <v>30</v>
      </c>
      <c r="H40" s="8">
        <v>1</v>
      </c>
      <c r="I40" s="9">
        <v>13071850</v>
      </c>
      <c r="J40" s="10">
        <v>1307185</v>
      </c>
      <c r="K40" s="20">
        <v>0</v>
      </c>
      <c r="L40" s="9">
        <v>13071850</v>
      </c>
    </row>
    <row r="41" spans="1:12" ht="15.75" customHeight="1" x14ac:dyDescent="0.25">
      <c r="A41" s="5" t="s">
        <v>146</v>
      </c>
      <c r="B41" s="5" t="s">
        <v>147</v>
      </c>
      <c r="C41" s="11" t="s">
        <v>148</v>
      </c>
      <c r="D41" s="5" t="s">
        <v>19</v>
      </c>
      <c r="E41" s="7" t="s">
        <v>20</v>
      </c>
      <c r="F41" s="5" t="s">
        <v>149</v>
      </c>
      <c r="G41" s="8">
        <v>30</v>
      </c>
      <c r="H41" s="8">
        <v>1</v>
      </c>
      <c r="I41" s="9">
        <v>13071850</v>
      </c>
      <c r="J41" s="10">
        <v>1307185</v>
      </c>
      <c r="K41" s="9">
        <v>248365.15</v>
      </c>
      <c r="L41" s="9">
        <v>13320215</v>
      </c>
    </row>
    <row r="42" spans="1:12" ht="15.75" customHeight="1" x14ac:dyDescent="0.25">
      <c r="A42" s="5" t="s">
        <v>146</v>
      </c>
      <c r="B42" s="5" t="s">
        <v>147</v>
      </c>
      <c r="C42" s="11" t="s">
        <v>150</v>
      </c>
      <c r="D42" s="5" t="s">
        <v>40</v>
      </c>
      <c r="E42" s="7" t="s">
        <v>20</v>
      </c>
      <c r="F42" s="5" t="s">
        <v>151</v>
      </c>
      <c r="G42" s="8">
        <v>30</v>
      </c>
      <c r="H42" s="8">
        <v>1</v>
      </c>
      <c r="I42" s="9">
        <v>3902281</v>
      </c>
      <c r="J42" s="10">
        <v>390228.10000000003</v>
      </c>
      <c r="K42" s="9">
        <v>74143.339000000007</v>
      </c>
      <c r="L42" s="9">
        <v>3976424</v>
      </c>
    </row>
    <row r="43" spans="1:12" ht="15.75" customHeight="1" x14ac:dyDescent="0.25">
      <c r="A43" s="5" t="s">
        <v>146</v>
      </c>
      <c r="B43" s="5" t="s">
        <v>152</v>
      </c>
      <c r="C43" s="6" t="s">
        <v>153</v>
      </c>
      <c r="D43" s="5" t="s">
        <v>40</v>
      </c>
      <c r="E43" s="7" t="s">
        <v>20</v>
      </c>
      <c r="F43" s="5" t="s">
        <v>154</v>
      </c>
      <c r="G43" s="8">
        <v>30</v>
      </c>
      <c r="H43" s="8">
        <v>1</v>
      </c>
      <c r="I43" s="9">
        <v>3902281</v>
      </c>
      <c r="J43" s="10">
        <v>390228.10000000003</v>
      </c>
      <c r="K43" s="9">
        <v>74143.339000000007</v>
      </c>
      <c r="L43" s="9">
        <v>3976424</v>
      </c>
    </row>
    <row r="44" spans="1:12" ht="15.75" customHeight="1" x14ac:dyDescent="0.25">
      <c r="A44" s="5" t="s">
        <v>146</v>
      </c>
      <c r="B44" s="5" t="s">
        <v>155</v>
      </c>
      <c r="C44" s="11" t="s">
        <v>156</v>
      </c>
      <c r="D44" s="5" t="s">
        <v>40</v>
      </c>
      <c r="E44" s="7" t="s">
        <v>22</v>
      </c>
      <c r="F44" s="5" t="s">
        <v>157</v>
      </c>
      <c r="G44" s="8">
        <v>30</v>
      </c>
      <c r="H44" s="8">
        <v>1</v>
      </c>
      <c r="I44" s="9">
        <v>3831330</v>
      </c>
      <c r="J44" s="10">
        <v>383133</v>
      </c>
      <c r="K44" s="9">
        <v>72795.27</v>
      </c>
      <c r="L44" s="9">
        <v>3904125</v>
      </c>
    </row>
    <row r="45" spans="1:12" ht="15.75" customHeight="1" x14ac:dyDescent="0.25">
      <c r="A45" s="5" t="s">
        <v>146</v>
      </c>
      <c r="B45" s="5" t="s">
        <v>155</v>
      </c>
      <c r="C45" s="11" t="s">
        <v>158</v>
      </c>
      <c r="D45" s="5" t="s">
        <v>40</v>
      </c>
      <c r="E45" s="7" t="s">
        <v>22</v>
      </c>
      <c r="F45" s="5" t="s">
        <v>157</v>
      </c>
      <c r="G45" s="8">
        <v>30</v>
      </c>
      <c r="H45" s="8">
        <v>1</v>
      </c>
      <c r="I45" s="9">
        <v>3831330</v>
      </c>
      <c r="J45" s="10">
        <v>383133</v>
      </c>
      <c r="K45" s="9">
        <v>72795.27</v>
      </c>
      <c r="L45" s="9">
        <v>3904125</v>
      </c>
    </row>
    <row r="46" spans="1:12" ht="15.75" customHeight="1" x14ac:dyDescent="0.25">
      <c r="A46" s="5" t="s">
        <v>146</v>
      </c>
      <c r="B46" s="5" t="s">
        <v>159</v>
      </c>
      <c r="C46" s="11" t="s">
        <v>160</v>
      </c>
      <c r="D46" s="5" t="s">
        <v>40</v>
      </c>
      <c r="E46" s="7" t="s">
        <v>20</v>
      </c>
      <c r="F46" s="5" t="s">
        <v>161</v>
      </c>
      <c r="G46" s="8">
        <v>30</v>
      </c>
      <c r="H46" s="8">
        <v>1</v>
      </c>
      <c r="I46" s="9">
        <v>3902281</v>
      </c>
      <c r="J46" s="10">
        <v>390228.10000000003</v>
      </c>
      <c r="K46" s="9">
        <v>74143.339000000007</v>
      </c>
      <c r="L46" s="9">
        <v>3976424</v>
      </c>
    </row>
    <row r="47" spans="1:12" ht="15.75" customHeight="1" x14ac:dyDescent="0.25">
      <c r="A47" s="5" t="s">
        <v>146</v>
      </c>
      <c r="B47" s="5" t="s">
        <v>162</v>
      </c>
      <c r="C47" s="11" t="s">
        <v>163</v>
      </c>
      <c r="D47" s="5" t="s">
        <v>40</v>
      </c>
      <c r="E47" s="7" t="s">
        <v>22</v>
      </c>
      <c r="F47" s="5"/>
      <c r="G47" s="8">
        <v>30</v>
      </c>
      <c r="H47" s="8">
        <v>1</v>
      </c>
      <c r="I47" s="9">
        <v>3831330</v>
      </c>
      <c r="J47" s="10">
        <v>383133</v>
      </c>
      <c r="K47" s="9">
        <v>72795.27</v>
      </c>
      <c r="L47" s="9">
        <v>3904125</v>
      </c>
    </row>
    <row r="48" spans="1:12" ht="15.75" customHeight="1" x14ac:dyDescent="0.25">
      <c r="A48" s="5" t="s">
        <v>146</v>
      </c>
      <c r="B48" s="5" t="s">
        <v>164</v>
      </c>
      <c r="C48" s="11" t="s">
        <v>165</v>
      </c>
      <c r="D48" s="5" t="s">
        <v>40</v>
      </c>
      <c r="E48" s="7" t="s">
        <v>20</v>
      </c>
      <c r="F48" s="5"/>
      <c r="G48" s="8">
        <v>30</v>
      </c>
      <c r="H48" s="8">
        <v>1</v>
      </c>
      <c r="I48" s="9">
        <v>3902281</v>
      </c>
      <c r="J48" s="10">
        <v>390228.10000000003</v>
      </c>
      <c r="K48" s="9">
        <v>74143.339000000007</v>
      </c>
      <c r="L48" s="9">
        <v>3976424</v>
      </c>
    </row>
    <row r="49" spans="1:12" ht="15.75" customHeight="1" x14ac:dyDescent="0.25">
      <c r="A49" s="5" t="s">
        <v>146</v>
      </c>
      <c r="B49" s="5" t="s">
        <v>166</v>
      </c>
      <c r="C49" s="11" t="s">
        <v>167</v>
      </c>
      <c r="D49" s="5" t="s">
        <v>40</v>
      </c>
      <c r="E49" s="7" t="s">
        <v>20</v>
      </c>
      <c r="F49" s="5"/>
      <c r="G49" s="8">
        <v>30</v>
      </c>
      <c r="H49" s="8">
        <v>1</v>
      </c>
      <c r="I49" s="9">
        <v>3902281</v>
      </c>
      <c r="J49" s="10">
        <v>390228.10000000003</v>
      </c>
      <c r="K49" s="9">
        <v>74143.339000000007</v>
      </c>
      <c r="L49" s="9">
        <v>3976424</v>
      </c>
    </row>
    <row r="50" spans="1:12" ht="15.75" customHeight="1" x14ac:dyDescent="0.25">
      <c r="A50" s="5" t="s">
        <v>146</v>
      </c>
      <c r="B50" s="5" t="s">
        <v>168</v>
      </c>
      <c r="C50" s="11" t="s">
        <v>169</v>
      </c>
      <c r="D50" s="5" t="s">
        <v>40</v>
      </c>
      <c r="E50" s="7" t="s">
        <v>20</v>
      </c>
      <c r="F50" s="5"/>
      <c r="G50" s="8">
        <v>30</v>
      </c>
      <c r="H50" s="8">
        <v>1</v>
      </c>
      <c r="I50" s="9">
        <v>3902281</v>
      </c>
      <c r="J50" s="10">
        <v>390228.10000000003</v>
      </c>
      <c r="K50" s="9">
        <v>74143.339000000007</v>
      </c>
      <c r="L50" s="9">
        <v>3976424</v>
      </c>
    </row>
    <row r="51" spans="1:12" ht="15.75" customHeight="1" x14ac:dyDescent="0.25">
      <c r="A51" s="5" t="s">
        <v>146</v>
      </c>
      <c r="B51" s="5" t="s">
        <v>170</v>
      </c>
      <c r="C51" s="11" t="s">
        <v>171</v>
      </c>
      <c r="D51" s="5" t="s">
        <v>40</v>
      </c>
      <c r="E51" s="7" t="s">
        <v>20</v>
      </c>
      <c r="F51" s="5"/>
      <c r="G51" s="8">
        <v>30</v>
      </c>
      <c r="H51" s="8">
        <v>1</v>
      </c>
      <c r="I51" s="9">
        <v>3902281</v>
      </c>
      <c r="J51" s="10">
        <v>390228.10000000003</v>
      </c>
      <c r="K51" s="9">
        <v>74143.339000000007</v>
      </c>
      <c r="L51" s="9">
        <v>3976424</v>
      </c>
    </row>
    <row r="52" spans="1:12" ht="15.75" customHeight="1" x14ac:dyDescent="0.25">
      <c r="A52" s="5" t="s">
        <v>146</v>
      </c>
      <c r="B52" s="5" t="s">
        <v>172</v>
      </c>
      <c r="C52" s="11" t="s">
        <v>173</v>
      </c>
      <c r="D52" s="5" t="s">
        <v>40</v>
      </c>
      <c r="E52" s="7" t="s">
        <v>20</v>
      </c>
      <c r="F52" s="5"/>
      <c r="G52" s="8">
        <v>30</v>
      </c>
      <c r="H52" s="8">
        <v>1</v>
      </c>
      <c r="I52" s="9">
        <v>3902281</v>
      </c>
      <c r="J52" s="10">
        <v>390228.10000000003</v>
      </c>
      <c r="K52" s="9">
        <v>74143.339000000007</v>
      </c>
      <c r="L52" s="9">
        <v>3976424</v>
      </c>
    </row>
    <row r="53" spans="1:12" ht="15.75" customHeight="1" x14ac:dyDescent="0.25">
      <c r="A53" s="5" t="s">
        <v>146</v>
      </c>
      <c r="B53" s="5" t="s">
        <v>174</v>
      </c>
      <c r="C53" s="11" t="s">
        <v>175</v>
      </c>
      <c r="D53" s="5" t="s">
        <v>40</v>
      </c>
      <c r="E53" s="7" t="s">
        <v>22</v>
      </c>
      <c r="F53" s="5"/>
      <c r="G53" s="8">
        <v>30</v>
      </c>
      <c r="H53" s="8">
        <v>1</v>
      </c>
      <c r="I53" s="9">
        <v>3831330</v>
      </c>
      <c r="J53" s="10">
        <v>383133</v>
      </c>
      <c r="K53" s="9">
        <v>72795.27</v>
      </c>
      <c r="L53" s="9">
        <v>3904125</v>
      </c>
    </row>
    <row r="54" spans="1:12" ht="15.75" customHeight="1" x14ac:dyDescent="0.25">
      <c r="A54" s="5" t="s">
        <v>146</v>
      </c>
      <c r="B54" s="5" t="s">
        <v>176</v>
      </c>
      <c r="C54" s="11" t="s">
        <v>177</v>
      </c>
      <c r="D54" s="5" t="s">
        <v>40</v>
      </c>
      <c r="E54" s="7" t="s">
        <v>20</v>
      </c>
      <c r="F54" s="5"/>
      <c r="G54" s="8">
        <v>30</v>
      </c>
      <c r="H54" s="8">
        <v>1</v>
      </c>
      <c r="I54" s="9">
        <v>3902281</v>
      </c>
      <c r="J54" s="10">
        <v>390228.10000000003</v>
      </c>
      <c r="K54" s="9">
        <v>74143.339000000007</v>
      </c>
      <c r="L54" s="9">
        <v>3976424</v>
      </c>
    </row>
    <row r="55" spans="1:12" ht="15.75" customHeight="1" x14ac:dyDescent="0.25">
      <c r="A55" s="5" t="s">
        <v>146</v>
      </c>
      <c r="B55" s="5" t="s">
        <v>155</v>
      </c>
      <c r="C55" s="11" t="s">
        <v>178</v>
      </c>
      <c r="D55" s="5" t="s">
        <v>19</v>
      </c>
      <c r="E55" s="7" t="s">
        <v>20</v>
      </c>
      <c r="F55" s="5"/>
      <c r="G55" s="8">
        <v>30</v>
      </c>
      <c r="H55" s="8">
        <v>1</v>
      </c>
      <c r="I55" s="9">
        <v>13071850</v>
      </c>
      <c r="J55" s="10">
        <v>1307185</v>
      </c>
      <c r="K55" s="9">
        <v>248365.15</v>
      </c>
      <c r="L55" s="9">
        <v>13320215</v>
      </c>
    </row>
    <row r="56" spans="1:12" ht="15.75" customHeight="1" x14ac:dyDescent="0.25">
      <c r="A56" s="5" t="s">
        <v>146</v>
      </c>
      <c r="B56" s="5" t="s">
        <v>179</v>
      </c>
      <c r="C56" s="11" t="s">
        <v>180</v>
      </c>
      <c r="D56" s="5" t="s">
        <v>40</v>
      </c>
      <c r="E56" s="7" t="s">
        <v>20</v>
      </c>
      <c r="F56" s="5"/>
      <c r="G56" s="8">
        <v>30</v>
      </c>
      <c r="H56" s="8">
        <v>1</v>
      </c>
      <c r="I56" s="9">
        <v>3902281</v>
      </c>
      <c r="J56" s="10">
        <v>390228.10000000003</v>
      </c>
      <c r="K56" s="9">
        <v>74143.339000000007</v>
      </c>
      <c r="L56" s="9">
        <v>3976424</v>
      </c>
    </row>
    <row r="57" spans="1:12" ht="15.75" customHeight="1" x14ac:dyDescent="0.25">
      <c r="A57" s="5" t="s">
        <v>146</v>
      </c>
      <c r="B57" s="5" t="s">
        <v>181</v>
      </c>
      <c r="C57" s="11" t="s">
        <v>182</v>
      </c>
      <c r="D57" s="5" t="s">
        <v>40</v>
      </c>
      <c r="E57" s="7" t="s">
        <v>22</v>
      </c>
      <c r="F57" s="5"/>
      <c r="G57" s="8">
        <v>30</v>
      </c>
      <c r="H57" s="8">
        <v>1</v>
      </c>
      <c r="I57" s="9">
        <v>3831330</v>
      </c>
      <c r="J57" s="10">
        <v>383133</v>
      </c>
      <c r="K57" s="9">
        <v>72795.27</v>
      </c>
      <c r="L57" s="9">
        <v>3904125</v>
      </c>
    </row>
    <row r="58" spans="1:12" ht="15.75" customHeight="1" x14ac:dyDescent="0.25">
      <c r="A58" s="5" t="s">
        <v>146</v>
      </c>
      <c r="B58" s="5" t="s">
        <v>124</v>
      </c>
      <c r="C58" s="11" t="s">
        <v>183</v>
      </c>
      <c r="D58" s="5" t="s">
        <v>40</v>
      </c>
      <c r="E58" s="7" t="s">
        <v>22</v>
      </c>
      <c r="F58" s="5"/>
      <c r="G58" s="8">
        <v>30</v>
      </c>
      <c r="H58" s="8">
        <v>1</v>
      </c>
      <c r="I58" s="9">
        <v>3831330</v>
      </c>
      <c r="J58" s="10">
        <v>383133</v>
      </c>
      <c r="K58" s="9">
        <v>72795.27</v>
      </c>
      <c r="L58" s="9">
        <v>3904125</v>
      </c>
    </row>
    <row r="59" spans="1:12" ht="15.75" customHeight="1" x14ac:dyDescent="0.25">
      <c r="A59" s="5" t="s">
        <v>146</v>
      </c>
      <c r="B59" s="5" t="s">
        <v>184</v>
      </c>
      <c r="C59" s="11" t="s">
        <v>185</v>
      </c>
      <c r="D59" s="5" t="s">
        <v>40</v>
      </c>
      <c r="E59" s="7" t="s">
        <v>22</v>
      </c>
      <c r="F59" s="5"/>
      <c r="G59" s="8">
        <v>30</v>
      </c>
      <c r="H59" s="8">
        <v>1</v>
      </c>
      <c r="I59" s="9">
        <v>3831330</v>
      </c>
      <c r="J59" s="10">
        <v>383133</v>
      </c>
      <c r="K59" s="9">
        <v>72795.27</v>
      </c>
      <c r="L59" s="9">
        <v>3904125</v>
      </c>
    </row>
    <row r="60" spans="1:12" ht="15.75" customHeight="1" x14ac:dyDescent="0.25">
      <c r="A60" s="5" t="s">
        <v>146</v>
      </c>
      <c r="B60" s="5" t="s">
        <v>186</v>
      </c>
      <c r="C60" s="11" t="s">
        <v>187</v>
      </c>
      <c r="D60" s="5" t="s">
        <v>19</v>
      </c>
      <c r="E60" s="7" t="s">
        <v>20</v>
      </c>
      <c r="F60" s="5"/>
      <c r="G60" s="8">
        <v>30</v>
      </c>
      <c r="H60" s="8">
        <v>1</v>
      </c>
      <c r="I60" s="9">
        <v>13071850</v>
      </c>
      <c r="J60" s="10">
        <v>1307185</v>
      </c>
      <c r="K60" s="9">
        <v>248365.15</v>
      </c>
      <c r="L60" s="9">
        <v>13320215</v>
      </c>
    </row>
    <row r="61" spans="1:12" ht="15.75" customHeight="1" x14ac:dyDescent="0.25">
      <c r="A61" s="5" t="s">
        <v>146</v>
      </c>
      <c r="B61" s="5" t="s">
        <v>186</v>
      </c>
      <c r="C61" s="11" t="s">
        <v>188</v>
      </c>
      <c r="D61" s="5" t="s">
        <v>40</v>
      </c>
      <c r="E61" s="7" t="s">
        <v>22</v>
      </c>
      <c r="F61" s="5"/>
      <c r="G61" s="8">
        <v>30</v>
      </c>
      <c r="H61" s="8">
        <v>1</v>
      </c>
      <c r="I61" s="9">
        <v>3831330</v>
      </c>
      <c r="J61" s="10">
        <v>383133</v>
      </c>
      <c r="K61" s="9">
        <v>72795.27</v>
      </c>
      <c r="L61" s="9">
        <v>3904125</v>
      </c>
    </row>
    <row r="62" spans="1:12" ht="15.75" customHeight="1" x14ac:dyDescent="0.25">
      <c r="A62" s="5" t="s">
        <v>146</v>
      </c>
      <c r="B62" s="5" t="s">
        <v>186</v>
      </c>
      <c r="C62" s="11" t="s">
        <v>189</v>
      </c>
      <c r="D62" s="5" t="s">
        <v>40</v>
      </c>
      <c r="E62" s="7" t="s">
        <v>22</v>
      </c>
      <c r="F62" s="5"/>
      <c r="G62" s="8">
        <v>30</v>
      </c>
      <c r="H62" s="8">
        <v>1</v>
      </c>
      <c r="I62" s="9">
        <v>3831330</v>
      </c>
      <c r="J62" s="10">
        <v>383133</v>
      </c>
      <c r="K62" s="9">
        <v>72795.27</v>
      </c>
      <c r="L62" s="9">
        <v>3904125</v>
      </c>
    </row>
    <row r="63" spans="1:12" ht="15.75" customHeight="1" x14ac:dyDescent="0.25">
      <c r="A63" s="5" t="s">
        <v>146</v>
      </c>
      <c r="B63" s="5" t="s">
        <v>152</v>
      </c>
      <c r="C63" s="11" t="s">
        <v>190</v>
      </c>
      <c r="D63" s="5" t="s">
        <v>40</v>
      </c>
      <c r="E63" s="7" t="s">
        <v>22</v>
      </c>
      <c r="F63" s="5"/>
      <c r="G63" s="8">
        <v>30</v>
      </c>
      <c r="H63" s="8">
        <v>1</v>
      </c>
      <c r="I63" s="9">
        <v>3831330</v>
      </c>
      <c r="J63" s="10">
        <v>383133</v>
      </c>
      <c r="K63" s="9">
        <v>72795.27</v>
      </c>
      <c r="L63" s="9">
        <v>3904125</v>
      </c>
    </row>
    <row r="64" spans="1:12" ht="15.75" customHeight="1" x14ac:dyDescent="0.25">
      <c r="A64" s="5" t="s">
        <v>146</v>
      </c>
      <c r="B64" s="5" t="s">
        <v>152</v>
      </c>
      <c r="C64" s="11" t="s">
        <v>191</v>
      </c>
      <c r="D64" s="5" t="s">
        <v>19</v>
      </c>
      <c r="E64" s="7" t="s">
        <v>20</v>
      </c>
      <c r="F64" s="5"/>
      <c r="G64" s="8">
        <v>30</v>
      </c>
      <c r="H64" s="8">
        <v>1</v>
      </c>
      <c r="I64" s="9">
        <v>13071850</v>
      </c>
      <c r="J64" s="10">
        <v>1307185</v>
      </c>
      <c r="K64" s="9">
        <v>248365.15</v>
      </c>
      <c r="L64" s="9">
        <v>13320215</v>
      </c>
    </row>
    <row r="65" spans="1:12" ht="15.75" customHeight="1" x14ac:dyDescent="0.25">
      <c r="A65" s="5" t="s">
        <v>146</v>
      </c>
      <c r="B65" s="5" t="s">
        <v>152</v>
      </c>
      <c r="C65" s="11" t="s">
        <v>192</v>
      </c>
      <c r="D65" s="5" t="s">
        <v>40</v>
      </c>
      <c r="E65" s="7" t="s">
        <v>22</v>
      </c>
      <c r="F65" s="5"/>
      <c r="G65" s="8">
        <v>30</v>
      </c>
      <c r="H65" s="8">
        <v>1</v>
      </c>
      <c r="I65" s="9">
        <v>3831330</v>
      </c>
      <c r="J65" s="10">
        <v>383133</v>
      </c>
      <c r="K65" s="9">
        <v>72795.27</v>
      </c>
      <c r="L65" s="9">
        <v>3904125</v>
      </c>
    </row>
    <row r="66" spans="1:12" ht="15.75" customHeight="1" x14ac:dyDescent="0.25">
      <c r="A66" s="5" t="s">
        <v>146</v>
      </c>
      <c r="B66" s="5" t="s">
        <v>152</v>
      </c>
      <c r="C66" s="11" t="s">
        <v>193</v>
      </c>
      <c r="D66" s="5" t="s">
        <v>40</v>
      </c>
      <c r="E66" s="7" t="s">
        <v>22</v>
      </c>
      <c r="F66" s="5"/>
      <c r="G66" s="8">
        <v>30</v>
      </c>
      <c r="H66" s="8">
        <v>1</v>
      </c>
      <c r="I66" s="9">
        <v>3831330</v>
      </c>
      <c r="J66" s="10">
        <v>383133</v>
      </c>
      <c r="K66" s="9">
        <v>72795.27</v>
      </c>
      <c r="L66" s="9">
        <v>3904125</v>
      </c>
    </row>
    <row r="67" spans="1:12" ht="15.75" customHeight="1" x14ac:dyDescent="0.25">
      <c r="A67" s="5" t="s">
        <v>146</v>
      </c>
      <c r="B67" s="5" t="s">
        <v>152</v>
      </c>
      <c r="C67" s="11" t="s">
        <v>194</v>
      </c>
      <c r="D67" s="5" t="s">
        <v>40</v>
      </c>
      <c r="E67" s="7" t="s">
        <v>22</v>
      </c>
      <c r="F67" s="5"/>
      <c r="G67" s="8">
        <v>30</v>
      </c>
      <c r="H67" s="8">
        <v>1</v>
      </c>
      <c r="I67" s="9">
        <v>3831330</v>
      </c>
      <c r="J67" s="10">
        <v>383133</v>
      </c>
      <c r="K67" s="9">
        <v>72795.27</v>
      </c>
      <c r="L67" s="9">
        <v>3904125</v>
      </c>
    </row>
    <row r="68" spans="1:12" ht="15.75" customHeight="1" x14ac:dyDescent="0.25">
      <c r="A68" s="5" t="s">
        <v>146</v>
      </c>
      <c r="B68" s="5" t="s">
        <v>152</v>
      </c>
      <c r="C68" s="11" t="s">
        <v>195</v>
      </c>
      <c r="D68" s="5" t="s">
        <v>19</v>
      </c>
      <c r="E68" s="7" t="s">
        <v>20</v>
      </c>
      <c r="F68" s="5"/>
      <c r="G68" s="8">
        <v>30</v>
      </c>
      <c r="H68" s="8">
        <v>1</v>
      </c>
      <c r="I68" s="9">
        <v>13071850</v>
      </c>
      <c r="J68" s="10">
        <v>1307185</v>
      </c>
      <c r="K68" s="9">
        <v>248365.15</v>
      </c>
      <c r="L68" s="9">
        <v>13320215</v>
      </c>
    </row>
    <row r="69" spans="1:12" ht="15.75" customHeight="1" x14ac:dyDescent="0.25">
      <c r="A69" s="5" t="s">
        <v>146</v>
      </c>
      <c r="B69" s="5" t="s">
        <v>152</v>
      </c>
      <c r="C69" s="11" t="s">
        <v>196</v>
      </c>
      <c r="D69" s="5" t="s">
        <v>40</v>
      </c>
      <c r="E69" s="7" t="s">
        <v>22</v>
      </c>
      <c r="F69" s="5"/>
      <c r="G69" s="8">
        <v>30</v>
      </c>
      <c r="H69" s="8">
        <v>1</v>
      </c>
      <c r="I69" s="9">
        <v>3831330</v>
      </c>
      <c r="J69" s="10">
        <v>383133</v>
      </c>
      <c r="K69" s="9">
        <v>72795.27</v>
      </c>
      <c r="L69" s="9">
        <v>3904125</v>
      </c>
    </row>
    <row r="70" spans="1:12" ht="15.75" customHeight="1" x14ac:dyDescent="0.25">
      <c r="A70" s="5" t="s">
        <v>146</v>
      </c>
      <c r="B70" s="5" t="s">
        <v>152</v>
      </c>
      <c r="C70" s="11" t="s">
        <v>197</v>
      </c>
      <c r="D70" s="5" t="s">
        <v>40</v>
      </c>
      <c r="E70" s="7" t="s">
        <v>20</v>
      </c>
      <c r="F70" s="5"/>
      <c r="G70" s="8">
        <v>30</v>
      </c>
      <c r="H70" s="8">
        <v>1</v>
      </c>
      <c r="I70" s="9">
        <v>3902281</v>
      </c>
      <c r="J70" s="10">
        <v>390228.10000000003</v>
      </c>
      <c r="K70" s="9">
        <v>74143.339000000007</v>
      </c>
      <c r="L70" s="9">
        <v>3976424</v>
      </c>
    </row>
    <row r="71" spans="1:12" ht="15.75" customHeight="1" x14ac:dyDescent="0.25">
      <c r="A71" s="5" t="s">
        <v>146</v>
      </c>
      <c r="B71" s="5" t="s">
        <v>152</v>
      </c>
      <c r="C71" s="11" t="s">
        <v>198</v>
      </c>
      <c r="D71" s="5" t="s">
        <v>19</v>
      </c>
      <c r="E71" s="7" t="s">
        <v>20</v>
      </c>
      <c r="F71" s="5"/>
      <c r="G71" s="8">
        <v>30</v>
      </c>
      <c r="H71" s="8">
        <v>1</v>
      </c>
      <c r="I71" s="9">
        <v>13071850</v>
      </c>
      <c r="J71" s="10">
        <v>1307185</v>
      </c>
      <c r="K71" s="9">
        <v>248365.15</v>
      </c>
      <c r="L71" s="9">
        <v>13320215</v>
      </c>
    </row>
    <row r="72" spans="1:12" ht="15.75" customHeight="1" x14ac:dyDescent="0.25">
      <c r="A72" s="5" t="s">
        <v>146</v>
      </c>
      <c r="B72" s="5" t="s">
        <v>199</v>
      </c>
      <c r="C72" s="11" t="s">
        <v>200</v>
      </c>
      <c r="D72" s="5" t="s">
        <v>40</v>
      </c>
      <c r="E72" s="7" t="s">
        <v>22</v>
      </c>
      <c r="F72" s="5"/>
      <c r="G72" s="8">
        <v>30</v>
      </c>
      <c r="H72" s="8">
        <v>1</v>
      </c>
      <c r="I72" s="9">
        <v>3831330</v>
      </c>
      <c r="J72" s="10">
        <v>383133</v>
      </c>
      <c r="K72" s="9">
        <v>72795.27</v>
      </c>
      <c r="L72" s="9">
        <v>3904125</v>
      </c>
    </row>
    <row r="73" spans="1:12" ht="15.75" customHeight="1" x14ac:dyDescent="0.25">
      <c r="A73" s="5" t="s">
        <v>146</v>
      </c>
      <c r="B73" s="5" t="s">
        <v>201</v>
      </c>
      <c r="C73" s="11" t="s">
        <v>202</v>
      </c>
      <c r="D73" s="5" t="s">
        <v>40</v>
      </c>
      <c r="E73" s="7" t="s">
        <v>20</v>
      </c>
      <c r="F73" s="5"/>
      <c r="G73" s="19">
        <v>0</v>
      </c>
      <c r="H73" s="19">
        <v>0</v>
      </c>
      <c r="I73" s="9">
        <v>0</v>
      </c>
      <c r="J73" s="10">
        <v>0</v>
      </c>
      <c r="K73" s="9">
        <v>0</v>
      </c>
      <c r="L73" s="9">
        <v>0</v>
      </c>
    </row>
    <row r="74" spans="1:12" ht="15.75" customHeight="1" x14ac:dyDescent="0.25">
      <c r="A74" s="274" t="s">
        <v>203</v>
      </c>
      <c r="B74" s="259"/>
      <c r="C74" s="259"/>
      <c r="D74" s="259"/>
      <c r="E74" s="259"/>
      <c r="F74" s="259"/>
      <c r="G74" s="260"/>
      <c r="H74" s="21">
        <f t="shared" ref="H74:L74" si="0">SUM(H2:H73)</f>
        <v>76</v>
      </c>
      <c r="I74" s="17">
        <f t="shared" si="0"/>
        <v>624904065</v>
      </c>
      <c r="J74" s="17">
        <f t="shared" si="0"/>
        <v>62490406.500000022</v>
      </c>
      <c r="K74" s="17">
        <f t="shared" si="0"/>
        <v>11128081.784999993</v>
      </c>
      <c r="L74" s="17">
        <f t="shared" si="0"/>
        <v>636032131</v>
      </c>
    </row>
    <row r="75" spans="1:12" ht="15.75" customHeight="1" x14ac:dyDescent="0.25">
      <c r="A75" s="14"/>
      <c r="B75" s="14"/>
      <c r="C75" s="14"/>
      <c r="D75" s="14"/>
      <c r="E75" s="14"/>
      <c r="F75" s="14"/>
      <c r="G75" s="14"/>
      <c r="H75" s="14"/>
      <c r="I75" s="15"/>
      <c r="J75" s="15"/>
      <c r="K75" s="15"/>
      <c r="L75" s="15"/>
    </row>
    <row r="76" spans="1:12" ht="15.75" customHeight="1" x14ac:dyDescent="0.25">
      <c r="A76" s="5" t="s">
        <v>204</v>
      </c>
      <c r="B76" s="5" t="s">
        <v>176</v>
      </c>
      <c r="C76" s="11" t="s">
        <v>205</v>
      </c>
      <c r="D76" s="5" t="s">
        <v>19</v>
      </c>
      <c r="E76" s="7" t="s">
        <v>20</v>
      </c>
      <c r="F76" s="5"/>
      <c r="G76" s="8">
        <v>30</v>
      </c>
      <c r="H76" s="8">
        <v>2</v>
      </c>
      <c r="I76" s="9">
        <v>26143700</v>
      </c>
      <c r="J76" s="10">
        <v>2614370</v>
      </c>
      <c r="K76" s="9">
        <v>496730.3</v>
      </c>
      <c r="L76" s="9">
        <v>26640430</v>
      </c>
    </row>
    <row r="77" spans="1:12" ht="15.75" customHeight="1" x14ac:dyDescent="0.25">
      <c r="A77" s="274" t="s">
        <v>203</v>
      </c>
      <c r="B77" s="259"/>
      <c r="C77" s="259"/>
      <c r="D77" s="259"/>
      <c r="E77" s="259"/>
      <c r="F77" s="259"/>
      <c r="G77" s="260"/>
      <c r="H77" s="21">
        <f t="shared" ref="H77:L77" si="1">H76</f>
        <v>2</v>
      </c>
      <c r="I77" s="17">
        <f t="shared" si="1"/>
        <v>26143700</v>
      </c>
      <c r="J77" s="17">
        <f t="shared" si="1"/>
        <v>2614370</v>
      </c>
      <c r="K77" s="17">
        <f t="shared" si="1"/>
        <v>496730.3</v>
      </c>
      <c r="L77" s="17">
        <f t="shared" si="1"/>
        <v>26640430</v>
      </c>
    </row>
  </sheetData>
  <autoFilter ref="A1:L74" xr:uid="{00000000-0009-0000-0000-000005000000}"/>
  <mergeCells count="2">
    <mergeCell ref="A74:G74"/>
    <mergeCell ref="A77:G77"/>
  </mergeCells>
  <pageMargins left="0.31496062992125984" right="0.31496062992125984" top="0.35433070866141736" bottom="0.35433070866141736" header="0" footer="0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>
    <outlinePr summaryBelow="0" summaryRight="0"/>
  </sheetPr>
  <dimension ref="A1:A45"/>
  <sheetViews>
    <sheetView showGridLines="0" workbookViewId="0"/>
  </sheetViews>
  <sheetFormatPr baseColWidth="10" defaultColWidth="14.42578125" defaultRowHeight="15" customHeight="1" x14ac:dyDescent="0.25"/>
  <sheetData>
    <row r="1" spans="1:1" ht="15" customHeight="1" x14ac:dyDescent="0.25">
      <c r="A1" s="314" t="s">
        <v>2</v>
      </c>
    </row>
    <row r="2" spans="1:1" ht="15" customHeight="1" x14ac:dyDescent="0.25">
      <c r="A2" s="315" t="s">
        <v>17</v>
      </c>
    </row>
    <row r="3" spans="1:1" ht="15" customHeight="1" x14ac:dyDescent="0.25">
      <c r="A3" s="316" t="s">
        <v>69</v>
      </c>
    </row>
    <row r="4" spans="1:1" ht="15" customHeight="1" x14ac:dyDescent="0.25">
      <c r="A4" s="316" t="s">
        <v>71</v>
      </c>
    </row>
    <row r="5" spans="1:1" ht="15" customHeight="1" x14ac:dyDescent="0.25">
      <c r="A5" s="316" t="s">
        <v>76</v>
      </c>
    </row>
    <row r="6" spans="1:1" ht="15" customHeight="1" x14ac:dyDescent="0.25">
      <c r="A6" s="316" t="s">
        <v>147</v>
      </c>
    </row>
    <row r="7" spans="1:1" ht="15" customHeight="1" x14ac:dyDescent="0.25">
      <c r="A7" s="316" t="s">
        <v>78</v>
      </c>
    </row>
    <row r="8" spans="1:1" ht="15" customHeight="1" x14ac:dyDescent="0.25">
      <c r="A8" s="316" t="s">
        <v>81</v>
      </c>
    </row>
    <row r="9" spans="1:1" ht="15" customHeight="1" x14ac:dyDescent="0.25">
      <c r="A9" s="316" t="s">
        <v>155</v>
      </c>
    </row>
    <row r="10" spans="1:1" ht="15" customHeight="1" x14ac:dyDescent="0.25">
      <c r="A10" s="316" t="s">
        <v>159</v>
      </c>
    </row>
    <row r="11" spans="1:1" ht="15" customHeight="1" x14ac:dyDescent="0.25">
      <c r="A11" s="316" t="s">
        <v>84</v>
      </c>
    </row>
    <row r="12" spans="1:1" ht="15" customHeight="1" x14ac:dyDescent="0.25">
      <c r="A12" s="316" t="s">
        <v>88</v>
      </c>
    </row>
    <row r="13" spans="1:1" ht="15" customHeight="1" x14ac:dyDescent="0.25">
      <c r="A13" s="316" t="s">
        <v>90</v>
      </c>
    </row>
    <row r="14" spans="1:1" ht="15" customHeight="1" x14ac:dyDescent="0.25">
      <c r="A14" s="316" t="s">
        <v>94</v>
      </c>
    </row>
    <row r="15" spans="1:1" ht="15" customHeight="1" x14ac:dyDescent="0.25">
      <c r="A15" s="316" t="s">
        <v>201</v>
      </c>
    </row>
    <row r="16" spans="1:1" ht="15" customHeight="1" x14ac:dyDescent="0.25">
      <c r="A16" s="316" t="s">
        <v>98</v>
      </c>
    </row>
    <row r="17" spans="1:1" ht="15" customHeight="1" x14ac:dyDescent="0.25">
      <c r="A17" s="316" t="s">
        <v>102</v>
      </c>
    </row>
    <row r="18" spans="1:1" ht="15" customHeight="1" x14ac:dyDescent="0.25">
      <c r="A18" s="316" t="s">
        <v>162</v>
      </c>
    </row>
    <row r="19" spans="1:1" ht="15" customHeight="1" x14ac:dyDescent="0.25">
      <c r="A19" s="316" t="s">
        <v>105</v>
      </c>
    </row>
    <row r="20" spans="1:1" ht="15" customHeight="1" x14ac:dyDescent="0.25">
      <c r="A20" s="316" t="s">
        <v>107</v>
      </c>
    </row>
    <row r="21" spans="1:1" ht="15" customHeight="1" x14ac:dyDescent="0.25">
      <c r="A21" s="316" t="s">
        <v>164</v>
      </c>
    </row>
    <row r="22" spans="1:1" ht="15" customHeight="1" x14ac:dyDescent="0.25">
      <c r="A22" s="316" t="s">
        <v>141</v>
      </c>
    </row>
    <row r="23" spans="1:1" ht="15" customHeight="1" x14ac:dyDescent="0.25">
      <c r="A23" s="316" t="s">
        <v>109</v>
      </c>
    </row>
    <row r="24" spans="1:1" ht="15" customHeight="1" x14ac:dyDescent="0.25">
      <c r="A24" s="316" t="s">
        <v>166</v>
      </c>
    </row>
    <row r="25" spans="1:1" ht="15" customHeight="1" x14ac:dyDescent="0.25">
      <c r="A25" s="316" t="s">
        <v>184</v>
      </c>
    </row>
    <row r="26" spans="1:1" ht="15" customHeight="1" x14ac:dyDescent="0.25">
      <c r="A26" s="316" t="s">
        <v>113</v>
      </c>
    </row>
    <row r="27" spans="1:1" ht="15" customHeight="1" x14ac:dyDescent="0.25">
      <c r="A27" s="316" t="s">
        <v>168</v>
      </c>
    </row>
    <row r="28" spans="1:1" x14ac:dyDescent="0.25">
      <c r="A28" s="316" t="s">
        <v>116</v>
      </c>
    </row>
    <row r="29" spans="1:1" x14ac:dyDescent="0.25">
      <c r="A29" s="316" t="s">
        <v>170</v>
      </c>
    </row>
    <row r="30" spans="1:1" x14ac:dyDescent="0.25">
      <c r="A30" s="316" t="s">
        <v>172</v>
      </c>
    </row>
    <row r="31" spans="1:1" x14ac:dyDescent="0.25">
      <c r="A31" s="316" t="s">
        <v>174</v>
      </c>
    </row>
    <row r="32" spans="1:1" x14ac:dyDescent="0.25">
      <c r="A32" s="316" t="s">
        <v>176</v>
      </c>
    </row>
    <row r="33" spans="1:1" x14ac:dyDescent="0.25">
      <c r="A33" s="316" t="s">
        <v>179</v>
      </c>
    </row>
    <row r="34" spans="1:1" x14ac:dyDescent="0.25">
      <c r="A34" s="316" t="s">
        <v>119</v>
      </c>
    </row>
    <row r="35" spans="1:1" x14ac:dyDescent="0.25">
      <c r="A35" s="316" t="s">
        <v>122</v>
      </c>
    </row>
    <row r="36" spans="1:1" x14ac:dyDescent="0.25">
      <c r="A36" s="316" t="s">
        <v>124</v>
      </c>
    </row>
    <row r="37" spans="1:1" x14ac:dyDescent="0.25">
      <c r="A37" s="316" t="s">
        <v>181</v>
      </c>
    </row>
    <row r="38" spans="1:1" x14ac:dyDescent="0.25">
      <c r="A38" s="316" t="s">
        <v>186</v>
      </c>
    </row>
    <row r="39" spans="1:1" x14ac:dyDescent="0.25">
      <c r="A39" s="316" t="s">
        <v>136</v>
      </c>
    </row>
    <row r="40" spans="1:1" x14ac:dyDescent="0.25">
      <c r="A40" s="316" t="s">
        <v>152</v>
      </c>
    </row>
    <row r="41" spans="1:1" x14ac:dyDescent="0.25">
      <c r="A41" s="316" t="s">
        <v>128</v>
      </c>
    </row>
    <row r="42" spans="1:1" x14ac:dyDescent="0.25">
      <c r="A42" s="316" t="s">
        <v>199</v>
      </c>
    </row>
    <row r="43" spans="1:1" x14ac:dyDescent="0.25">
      <c r="A43" s="316" t="s">
        <v>130</v>
      </c>
    </row>
    <row r="44" spans="1:1" x14ac:dyDescent="0.25">
      <c r="A44" s="316" t="s">
        <v>132</v>
      </c>
    </row>
    <row r="45" spans="1:1" x14ac:dyDescent="0.25">
      <c r="A45" s="317" t="s">
        <v>423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>
    <outlinePr summaryBelow="0" summaryRight="0"/>
  </sheetPr>
  <dimension ref="A1:F45"/>
  <sheetViews>
    <sheetView workbookViewId="0"/>
  </sheetViews>
  <sheetFormatPr baseColWidth="10" defaultColWidth="14.42578125" defaultRowHeight="15" customHeight="1" x14ac:dyDescent="0.25"/>
  <cols>
    <col min="1" max="1" width="17.42578125" customWidth="1"/>
    <col min="2" max="2" width="29.42578125" hidden="1" customWidth="1"/>
    <col min="3" max="3" width="13" customWidth="1"/>
    <col min="4" max="5" width="11.85546875" customWidth="1"/>
    <col min="6" max="6" width="13" customWidth="1"/>
    <col min="7" max="7" width="45.140625" customWidth="1"/>
  </cols>
  <sheetData>
    <row r="1" spans="1:6" ht="20.25" customHeight="1" x14ac:dyDescent="0.25">
      <c r="A1" s="22"/>
      <c r="B1" s="23" t="s">
        <v>2</v>
      </c>
      <c r="C1" s="24" t="s">
        <v>207</v>
      </c>
      <c r="D1" s="24" t="s">
        <v>208</v>
      </c>
      <c r="E1" s="24" t="s">
        <v>61</v>
      </c>
      <c r="F1" s="24" t="s">
        <v>209</v>
      </c>
    </row>
    <row r="2" spans="1:6" x14ac:dyDescent="0.25">
      <c r="A2" s="25" t="s">
        <v>210</v>
      </c>
      <c r="B2" s="26" t="s">
        <v>17</v>
      </c>
      <c r="C2" s="27">
        <v>50709540</v>
      </c>
      <c r="D2" s="27">
        <v>5070954</v>
      </c>
      <c r="E2" s="27">
        <v>963481.26</v>
      </c>
      <c r="F2" s="27">
        <v>51673021</v>
      </c>
    </row>
    <row r="3" spans="1:6" x14ac:dyDescent="0.25">
      <c r="A3" s="25" t="s">
        <v>211</v>
      </c>
      <c r="B3" s="26" t="s">
        <v>69</v>
      </c>
      <c r="C3" s="27">
        <v>3831330</v>
      </c>
      <c r="D3" s="27">
        <v>383133</v>
      </c>
      <c r="E3" s="27">
        <v>72795.27</v>
      </c>
      <c r="F3" s="27">
        <v>3904125</v>
      </c>
    </row>
    <row r="4" spans="1:6" x14ac:dyDescent="0.25">
      <c r="A4" s="25" t="s">
        <v>212</v>
      </c>
      <c r="B4" s="26" t="s">
        <v>71</v>
      </c>
      <c r="C4" s="27">
        <v>39215550</v>
      </c>
      <c r="D4" s="27">
        <v>3921555</v>
      </c>
      <c r="E4" s="27">
        <v>745095.45</v>
      </c>
      <c r="F4" s="27">
        <v>39960645</v>
      </c>
    </row>
    <row r="5" spans="1:6" x14ac:dyDescent="0.25">
      <c r="A5" s="25" t="s">
        <v>213</v>
      </c>
      <c r="B5" s="26" t="s">
        <v>76</v>
      </c>
      <c r="C5" s="27">
        <v>13071850</v>
      </c>
      <c r="D5" s="27">
        <v>1307185</v>
      </c>
      <c r="E5" s="27">
        <v>248365.15</v>
      </c>
      <c r="F5" s="27">
        <v>13320215</v>
      </c>
    </row>
    <row r="6" spans="1:6" x14ac:dyDescent="0.25">
      <c r="A6" s="25" t="s">
        <v>214</v>
      </c>
      <c r="B6" s="26" t="s">
        <v>147</v>
      </c>
      <c r="C6" s="27">
        <v>16974131</v>
      </c>
      <c r="D6" s="27">
        <v>1697413.1</v>
      </c>
      <c r="E6" s="27">
        <v>322508.489</v>
      </c>
      <c r="F6" s="27">
        <v>17296639</v>
      </c>
    </row>
    <row r="7" spans="1:6" x14ac:dyDescent="0.25">
      <c r="A7" s="25" t="s">
        <v>215</v>
      </c>
      <c r="B7" s="26" t="s">
        <v>78</v>
      </c>
      <c r="C7" s="27">
        <v>3831330</v>
      </c>
      <c r="D7" s="27">
        <v>383133</v>
      </c>
      <c r="E7" s="27">
        <v>72795.27</v>
      </c>
      <c r="F7" s="27">
        <v>3904125</v>
      </c>
    </row>
    <row r="8" spans="1:6" x14ac:dyDescent="0.25">
      <c r="A8" s="25" t="s">
        <v>216</v>
      </c>
      <c r="B8" s="26" t="s">
        <v>81</v>
      </c>
      <c r="C8" s="27">
        <v>13071850</v>
      </c>
      <c r="D8" s="27">
        <v>1307185</v>
      </c>
      <c r="E8" s="27">
        <v>248365.15</v>
      </c>
      <c r="F8" s="27">
        <v>13320215</v>
      </c>
    </row>
    <row r="9" spans="1:6" x14ac:dyDescent="0.25">
      <c r="A9" s="25" t="s">
        <v>217</v>
      </c>
      <c r="B9" s="26" t="s">
        <v>155</v>
      </c>
      <c r="C9" s="27">
        <v>20734510</v>
      </c>
      <c r="D9" s="27">
        <v>2073451</v>
      </c>
      <c r="E9" s="27">
        <v>393955.69</v>
      </c>
      <c r="F9" s="27">
        <v>21128465</v>
      </c>
    </row>
    <row r="10" spans="1:6" x14ac:dyDescent="0.25">
      <c r="A10" s="25" t="s">
        <v>218</v>
      </c>
      <c r="B10" s="26" t="s">
        <v>159</v>
      </c>
      <c r="C10" s="27">
        <v>3902281</v>
      </c>
      <c r="D10" s="27">
        <v>390228.10000000003</v>
      </c>
      <c r="E10" s="27">
        <v>74143.339000000007</v>
      </c>
      <c r="F10" s="27">
        <v>3976424</v>
      </c>
    </row>
    <row r="11" spans="1:6" x14ac:dyDescent="0.25">
      <c r="A11" s="25" t="s">
        <v>219</v>
      </c>
      <c r="B11" s="26" t="s">
        <v>84</v>
      </c>
      <c r="C11" s="27">
        <v>26143700</v>
      </c>
      <c r="D11" s="27">
        <v>2614370</v>
      </c>
      <c r="E11" s="27">
        <v>496730.3</v>
      </c>
      <c r="F11" s="27">
        <v>26640430</v>
      </c>
    </row>
    <row r="12" spans="1:6" x14ac:dyDescent="0.25">
      <c r="A12" s="25" t="s">
        <v>220</v>
      </c>
      <c r="B12" s="26" t="s">
        <v>88</v>
      </c>
      <c r="C12" s="27">
        <v>13071850</v>
      </c>
      <c r="D12" s="27">
        <v>1307185</v>
      </c>
      <c r="E12" s="27">
        <v>248365.15</v>
      </c>
      <c r="F12" s="27">
        <v>13320215</v>
      </c>
    </row>
    <row r="13" spans="1:6" x14ac:dyDescent="0.25">
      <c r="A13" s="25" t="s">
        <v>221</v>
      </c>
      <c r="B13" s="26" t="s">
        <v>90</v>
      </c>
      <c r="C13" s="27">
        <v>16974131</v>
      </c>
      <c r="D13" s="27">
        <v>1697413.1</v>
      </c>
      <c r="E13" s="27">
        <v>322508.489</v>
      </c>
      <c r="F13" s="27">
        <v>17296639</v>
      </c>
    </row>
    <row r="14" spans="1:6" x14ac:dyDescent="0.25">
      <c r="A14" s="25" t="s">
        <v>222</v>
      </c>
      <c r="B14" s="26" t="s">
        <v>94</v>
      </c>
      <c r="C14" s="27">
        <v>29975030</v>
      </c>
      <c r="D14" s="27">
        <v>2997503</v>
      </c>
      <c r="E14" s="27">
        <v>569525.56999999995</v>
      </c>
      <c r="F14" s="27">
        <v>30544555</v>
      </c>
    </row>
    <row r="15" spans="1:6" x14ac:dyDescent="0.25">
      <c r="A15" s="25" t="s">
        <v>223</v>
      </c>
      <c r="B15" s="26" t="s">
        <v>201</v>
      </c>
      <c r="C15" s="27">
        <v>0</v>
      </c>
      <c r="D15" s="27">
        <v>0</v>
      </c>
      <c r="E15" s="27">
        <v>0</v>
      </c>
      <c r="F15" s="27">
        <v>0</v>
      </c>
    </row>
    <row r="16" spans="1:6" x14ac:dyDescent="0.25">
      <c r="A16" s="25" t="s">
        <v>224</v>
      </c>
      <c r="B16" s="26" t="s">
        <v>98</v>
      </c>
      <c r="C16" s="27">
        <v>29975030</v>
      </c>
      <c r="D16" s="27">
        <v>2997503</v>
      </c>
      <c r="E16" s="27">
        <v>569525.56999999995</v>
      </c>
      <c r="F16" s="27">
        <v>30544555</v>
      </c>
    </row>
    <row r="17" spans="1:6" x14ac:dyDescent="0.25">
      <c r="A17" s="25" t="s">
        <v>225</v>
      </c>
      <c r="B17" s="26" t="s">
        <v>102</v>
      </c>
      <c r="C17" s="27">
        <v>13071850</v>
      </c>
      <c r="D17" s="27">
        <v>1307185</v>
      </c>
      <c r="E17" s="27">
        <v>248365.15</v>
      </c>
      <c r="F17" s="27">
        <v>13320215</v>
      </c>
    </row>
    <row r="18" spans="1:6" x14ac:dyDescent="0.25">
      <c r="A18" s="25" t="s">
        <v>226</v>
      </c>
      <c r="B18" s="26" t="s">
        <v>162</v>
      </c>
      <c r="C18" s="27">
        <v>3831330</v>
      </c>
      <c r="D18" s="27">
        <v>383133</v>
      </c>
      <c r="E18" s="27">
        <v>72795.27</v>
      </c>
      <c r="F18" s="27">
        <v>3904125</v>
      </c>
    </row>
    <row r="19" spans="1:6" x14ac:dyDescent="0.25">
      <c r="A19" s="25" t="s">
        <v>227</v>
      </c>
      <c r="B19" s="26" t="s">
        <v>105</v>
      </c>
      <c r="C19" s="27">
        <v>13071850</v>
      </c>
      <c r="D19" s="27">
        <v>1307185</v>
      </c>
      <c r="E19" s="27">
        <v>248365.15</v>
      </c>
      <c r="F19" s="27">
        <v>13320215</v>
      </c>
    </row>
    <row r="20" spans="1:6" x14ac:dyDescent="0.25">
      <c r="A20" s="25" t="s">
        <v>228</v>
      </c>
      <c r="B20" s="26" t="s">
        <v>107</v>
      </c>
      <c r="C20" s="27">
        <v>3831330</v>
      </c>
      <c r="D20" s="27">
        <v>383133</v>
      </c>
      <c r="E20" s="27">
        <v>72795.27</v>
      </c>
      <c r="F20" s="27">
        <v>3904125</v>
      </c>
    </row>
    <row r="21" spans="1:6" x14ac:dyDescent="0.25">
      <c r="A21" s="25" t="s">
        <v>229</v>
      </c>
      <c r="B21" s="26" t="s">
        <v>164</v>
      </c>
      <c r="C21" s="27">
        <v>3902281</v>
      </c>
      <c r="D21" s="27">
        <v>390228.10000000003</v>
      </c>
      <c r="E21" s="27">
        <v>74143.339000000007</v>
      </c>
      <c r="F21" s="27">
        <v>3976424</v>
      </c>
    </row>
    <row r="22" spans="1:6" x14ac:dyDescent="0.25">
      <c r="A22" s="25" t="s">
        <v>230</v>
      </c>
      <c r="B22" s="26" t="s">
        <v>141</v>
      </c>
      <c r="C22" s="27">
        <v>39215550</v>
      </c>
      <c r="D22" s="27">
        <v>3921555</v>
      </c>
      <c r="E22" s="27">
        <v>0</v>
      </c>
      <c r="F22" s="27">
        <v>39215550</v>
      </c>
    </row>
    <row r="23" spans="1:6" x14ac:dyDescent="0.25">
      <c r="A23" s="25" t="s">
        <v>231</v>
      </c>
      <c r="B23" s="26" t="s">
        <v>109</v>
      </c>
      <c r="C23" s="27">
        <v>16974131</v>
      </c>
      <c r="D23" s="27">
        <v>1697413.1</v>
      </c>
      <c r="E23" s="27">
        <v>322508.489</v>
      </c>
      <c r="F23" s="27">
        <v>17296639</v>
      </c>
    </row>
    <row r="24" spans="1:6" x14ac:dyDescent="0.25">
      <c r="A24" s="25" t="s">
        <v>232</v>
      </c>
      <c r="B24" s="26" t="s">
        <v>166</v>
      </c>
      <c r="C24" s="27">
        <v>3902281</v>
      </c>
      <c r="D24" s="27">
        <v>390228.10000000003</v>
      </c>
      <c r="E24" s="27">
        <v>74143.339000000007</v>
      </c>
      <c r="F24" s="27">
        <v>3976424</v>
      </c>
    </row>
    <row r="25" spans="1:6" x14ac:dyDescent="0.25">
      <c r="A25" s="25" t="s">
        <v>233</v>
      </c>
      <c r="B25" s="26" t="s">
        <v>184</v>
      </c>
      <c r="C25" s="27">
        <v>3831330</v>
      </c>
      <c r="D25" s="27">
        <v>383133</v>
      </c>
      <c r="E25" s="27">
        <v>72795.27</v>
      </c>
      <c r="F25" s="27">
        <v>3904125</v>
      </c>
    </row>
    <row r="26" spans="1:6" x14ac:dyDescent="0.25">
      <c r="A26" s="25" t="s">
        <v>234</v>
      </c>
      <c r="B26" s="26" t="s">
        <v>113</v>
      </c>
      <c r="C26" s="27">
        <v>3902281</v>
      </c>
      <c r="D26" s="27">
        <v>390228.10000000003</v>
      </c>
      <c r="E26" s="27">
        <v>74143.339000000007</v>
      </c>
      <c r="F26" s="27">
        <v>3976424</v>
      </c>
    </row>
    <row r="27" spans="1:6" x14ac:dyDescent="0.25">
      <c r="A27" s="25" t="s">
        <v>235</v>
      </c>
      <c r="B27" s="26" t="s">
        <v>168</v>
      </c>
      <c r="C27" s="27">
        <v>3902281</v>
      </c>
      <c r="D27" s="27">
        <v>390228.10000000003</v>
      </c>
      <c r="E27" s="27">
        <v>74143.339000000007</v>
      </c>
      <c r="F27" s="27">
        <v>3976424</v>
      </c>
    </row>
    <row r="28" spans="1:6" x14ac:dyDescent="0.25">
      <c r="A28" s="25" t="s">
        <v>236</v>
      </c>
      <c r="B28" s="26" t="s">
        <v>116</v>
      </c>
      <c r="C28" s="27">
        <v>13071850</v>
      </c>
      <c r="D28" s="27">
        <v>1307185</v>
      </c>
      <c r="E28" s="27">
        <v>248365.15</v>
      </c>
      <c r="F28" s="27">
        <v>13320215</v>
      </c>
    </row>
    <row r="29" spans="1:6" x14ac:dyDescent="0.25">
      <c r="A29" s="25" t="s">
        <v>237</v>
      </c>
      <c r="B29" s="26" t="s">
        <v>170</v>
      </c>
      <c r="C29" s="27">
        <v>3902281</v>
      </c>
      <c r="D29" s="27">
        <v>390228.10000000003</v>
      </c>
      <c r="E29" s="27">
        <v>74143.339000000007</v>
      </c>
      <c r="F29" s="27">
        <v>3976424</v>
      </c>
    </row>
    <row r="30" spans="1:6" x14ac:dyDescent="0.25">
      <c r="A30" s="25" t="s">
        <v>238</v>
      </c>
      <c r="B30" s="26" t="s">
        <v>172</v>
      </c>
      <c r="C30" s="27">
        <v>3902281</v>
      </c>
      <c r="D30" s="27">
        <v>390228.10000000003</v>
      </c>
      <c r="E30" s="27">
        <v>74143.339000000007</v>
      </c>
      <c r="F30" s="27">
        <v>3976424</v>
      </c>
    </row>
    <row r="31" spans="1:6" x14ac:dyDescent="0.25">
      <c r="A31" s="25" t="s">
        <v>239</v>
      </c>
      <c r="B31" s="26" t="s">
        <v>174</v>
      </c>
      <c r="C31" s="27">
        <v>3831330</v>
      </c>
      <c r="D31" s="27">
        <v>383133</v>
      </c>
      <c r="E31" s="27">
        <v>72795.27</v>
      </c>
      <c r="F31" s="27">
        <v>3904125</v>
      </c>
    </row>
    <row r="32" spans="1:6" x14ac:dyDescent="0.25">
      <c r="A32" s="25" t="s">
        <v>240</v>
      </c>
      <c r="B32" s="26" t="s">
        <v>176</v>
      </c>
      <c r="C32" s="27">
        <v>3902281</v>
      </c>
      <c r="D32" s="27">
        <v>390228.10000000003</v>
      </c>
      <c r="E32" s="27">
        <v>74143.339000000007</v>
      </c>
      <c r="F32" s="27">
        <v>3976424</v>
      </c>
    </row>
    <row r="33" spans="1:6" x14ac:dyDescent="0.25">
      <c r="A33" s="25" t="s">
        <v>241</v>
      </c>
      <c r="B33" s="26" t="s">
        <v>179</v>
      </c>
      <c r="C33" s="27">
        <v>3902281</v>
      </c>
      <c r="D33" s="27">
        <v>390228.10000000003</v>
      </c>
      <c r="E33" s="27">
        <v>74143.339000000007</v>
      </c>
      <c r="F33" s="27">
        <v>3976424</v>
      </c>
    </row>
    <row r="34" spans="1:6" x14ac:dyDescent="0.25">
      <c r="A34" s="25" t="s">
        <v>242</v>
      </c>
      <c r="B34" s="26" t="s">
        <v>119</v>
      </c>
      <c r="C34" s="27">
        <v>3831330</v>
      </c>
      <c r="D34" s="27">
        <v>383133</v>
      </c>
      <c r="E34" s="27">
        <v>72795.27</v>
      </c>
      <c r="F34" s="27">
        <v>3904125</v>
      </c>
    </row>
    <row r="35" spans="1:6" x14ac:dyDescent="0.25">
      <c r="A35" s="25" t="s">
        <v>243</v>
      </c>
      <c r="B35" s="26" t="s">
        <v>122</v>
      </c>
      <c r="C35" s="27">
        <v>3831330</v>
      </c>
      <c r="D35" s="27">
        <v>383133</v>
      </c>
      <c r="E35" s="27">
        <v>72795.27</v>
      </c>
      <c r="F35" s="27">
        <v>3904125</v>
      </c>
    </row>
    <row r="36" spans="1:6" x14ac:dyDescent="0.25">
      <c r="A36" s="25" t="s">
        <v>244</v>
      </c>
      <c r="B36" s="26" t="s">
        <v>124</v>
      </c>
      <c r="C36" s="27">
        <v>46949161</v>
      </c>
      <c r="D36" s="27">
        <v>4694916.0999999996</v>
      </c>
      <c r="E36" s="27">
        <v>892034.05900000001</v>
      </c>
      <c r="F36" s="27">
        <v>47841194</v>
      </c>
    </row>
    <row r="37" spans="1:6" x14ac:dyDescent="0.25">
      <c r="A37" s="25" t="s">
        <v>245</v>
      </c>
      <c r="B37" s="26" t="s">
        <v>181</v>
      </c>
      <c r="C37" s="27">
        <v>3831330</v>
      </c>
      <c r="D37" s="27">
        <v>383133</v>
      </c>
      <c r="E37" s="27">
        <v>72795.27</v>
      </c>
      <c r="F37" s="27">
        <v>3904125</v>
      </c>
    </row>
    <row r="38" spans="1:6" x14ac:dyDescent="0.25">
      <c r="A38" s="25" t="s">
        <v>246</v>
      </c>
      <c r="B38" s="26" t="s">
        <v>186</v>
      </c>
      <c r="C38" s="27">
        <v>20734510</v>
      </c>
      <c r="D38" s="27">
        <v>2073451</v>
      </c>
      <c r="E38" s="27">
        <v>393955.69</v>
      </c>
      <c r="F38" s="27">
        <v>21128465</v>
      </c>
    </row>
    <row r="39" spans="1:6" x14ac:dyDescent="0.25">
      <c r="A39" s="25" t="s">
        <v>247</v>
      </c>
      <c r="B39" s="26" t="s">
        <v>136</v>
      </c>
      <c r="C39" s="27">
        <v>0</v>
      </c>
      <c r="D39" s="27">
        <v>0</v>
      </c>
      <c r="E39" s="27">
        <v>0</v>
      </c>
      <c r="F39" s="27">
        <v>0</v>
      </c>
    </row>
    <row r="40" spans="1:6" x14ac:dyDescent="0.25">
      <c r="A40" s="25" t="s">
        <v>248</v>
      </c>
      <c r="B40" s="26" t="s">
        <v>152</v>
      </c>
      <c r="C40" s="27">
        <v>66176762</v>
      </c>
      <c r="D40" s="27">
        <v>6617676.1999999993</v>
      </c>
      <c r="E40" s="27">
        <v>1257358.4780000001</v>
      </c>
      <c r="F40" s="27">
        <v>67434118</v>
      </c>
    </row>
    <row r="41" spans="1:6" x14ac:dyDescent="0.25">
      <c r="A41" s="25" t="s">
        <v>249</v>
      </c>
      <c r="B41" s="26" t="s">
        <v>128</v>
      </c>
      <c r="C41" s="27">
        <v>13071850</v>
      </c>
      <c r="D41" s="27">
        <v>1307185</v>
      </c>
      <c r="E41" s="27">
        <v>248365.15</v>
      </c>
      <c r="F41" s="27">
        <v>13320215</v>
      </c>
    </row>
    <row r="42" spans="1:6" x14ac:dyDescent="0.25">
      <c r="A42" s="25" t="s">
        <v>250</v>
      </c>
      <c r="B42" s="26" t="s">
        <v>199</v>
      </c>
      <c r="C42" s="27">
        <v>3831330</v>
      </c>
      <c r="D42" s="27">
        <v>383133</v>
      </c>
      <c r="E42" s="27">
        <v>72795.27</v>
      </c>
      <c r="F42" s="27">
        <v>3904125</v>
      </c>
    </row>
    <row r="43" spans="1:6" x14ac:dyDescent="0.25">
      <c r="A43" s="25" t="s">
        <v>251</v>
      </c>
      <c r="B43" s="26" t="s">
        <v>130</v>
      </c>
      <c r="C43" s="27">
        <v>13071850</v>
      </c>
      <c r="D43" s="27">
        <v>1307185</v>
      </c>
      <c r="E43" s="27">
        <v>248365.15</v>
      </c>
      <c r="F43" s="27">
        <v>13320215</v>
      </c>
    </row>
    <row r="44" spans="1:6" x14ac:dyDescent="0.25">
      <c r="A44" s="25" t="s">
        <v>252</v>
      </c>
      <c r="B44" s="26" t="s">
        <v>132</v>
      </c>
      <c r="C44" s="27">
        <v>26143700</v>
      </c>
      <c r="D44" s="27">
        <v>2614370</v>
      </c>
      <c r="E44" s="27">
        <v>496730.3</v>
      </c>
      <c r="F44" s="27">
        <v>26640430</v>
      </c>
    </row>
    <row r="45" spans="1:6" x14ac:dyDescent="0.25">
      <c r="A45" s="25" t="s">
        <v>253</v>
      </c>
      <c r="B45" s="28" t="s">
        <v>206</v>
      </c>
      <c r="C45" s="29">
        <v>624904065</v>
      </c>
      <c r="D45" s="29">
        <v>62490406.500000022</v>
      </c>
      <c r="E45" s="29">
        <v>11128081.784999993</v>
      </c>
      <c r="F45" s="29">
        <v>636032131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6"/>
  <dimension ref="A2:AP94"/>
  <sheetViews>
    <sheetView showGridLines="0" topLeftCell="I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39.42578125" hidden="1" customWidth="1"/>
    <col min="8" max="8" width="32.7109375" hidden="1" customWidth="1"/>
    <col min="9" max="9" width="22.28515625" customWidth="1"/>
    <col min="10" max="10" width="0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6.42578125" customWidth="1"/>
    <col min="17" max="17" width="22.42578125" hidden="1" customWidth="1"/>
    <col min="18" max="18" width="23.85546875" hidden="1" customWidth="1"/>
    <col min="19" max="19" width="26" hidden="1" customWidth="1"/>
    <col min="20" max="20" width="26" customWidth="1"/>
    <col min="21" max="23" width="25.42578125" hidden="1" customWidth="1"/>
    <col min="24" max="24" width="7.42578125" hidden="1" customWidth="1"/>
    <col min="25" max="25" width="32.7109375" hidden="1" customWidth="1"/>
    <col min="26" max="26" width="2.7109375" hidden="1" customWidth="1"/>
    <col min="27" max="27" width="15.140625" hidden="1" customWidth="1"/>
    <col min="28" max="28" width="28.42578125" hidden="1" customWidth="1"/>
    <col min="29" max="29" width="17.42578125" hidden="1" customWidth="1"/>
    <col min="30" max="30" width="29.28515625" hidden="1" customWidth="1"/>
    <col min="31" max="31" width="32.7109375" hidden="1" customWidth="1"/>
    <col min="32" max="32" width="19.140625" hidden="1" customWidth="1"/>
    <col min="33" max="33" width="27.28515625" hidden="1" customWidth="1"/>
    <col min="34" max="34" width="24.85546875" hidden="1" customWidth="1"/>
    <col min="35" max="35" width="16.85546875" hidden="1" customWidth="1"/>
    <col min="36" max="36" width="17.42578125" hidden="1" customWidth="1"/>
    <col min="37" max="37" width="14.42578125" hidden="1"/>
    <col min="38" max="38" width="34.7109375" hidden="1" customWidth="1"/>
    <col min="39" max="39" width="20.85546875" hidden="1" customWidth="1"/>
    <col min="40" max="40" width="15.140625" hidden="1" customWidth="1"/>
    <col min="41" max="41" width="16.85546875" hidden="1" customWidth="1"/>
    <col min="42" max="42" width="11.42578125" hidden="1" customWidth="1"/>
  </cols>
  <sheetData>
    <row r="2" spans="2:39" ht="29.25" hidden="1" customHeight="1" x14ac:dyDescent="0.25">
      <c r="B2" s="282"/>
      <c r="C2" s="283"/>
      <c r="D2" s="283"/>
      <c r="E2" s="283"/>
      <c r="F2" s="284"/>
      <c r="G2" s="290" t="s">
        <v>254</v>
      </c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60"/>
      <c r="V2" s="32"/>
      <c r="W2" s="32"/>
      <c r="X2" s="32"/>
      <c r="Y2" s="32"/>
      <c r="Z2" s="33"/>
      <c r="AA2" s="33"/>
      <c r="AB2" s="34"/>
      <c r="AC2" s="35"/>
      <c r="AD2" s="35"/>
      <c r="AE2" s="35"/>
      <c r="AF2" s="35"/>
      <c r="AG2" s="35"/>
      <c r="AH2" s="35"/>
      <c r="AI2" s="31"/>
      <c r="AJ2" s="30"/>
      <c r="AK2" s="30"/>
      <c r="AL2" s="30"/>
      <c r="AM2" s="30"/>
    </row>
    <row r="3" spans="2:39" ht="29.25" hidden="1" customHeight="1" x14ac:dyDescent="0.25">
      <c r="B3" s="285"/>
      <c r="C3" s="270"/>
      <c r="D3" s="270"/>
      <c r="E3" s="270"/>
      <c r="F3" s="286"/>
      <c r="G3" s="290" t="s">
        <v>255</v>
      </c>
      <c r="H3" s="259"/>
      <c r="I3" s="259"/>
      <c r="J3" s="259"/>
      <c r="K3" s="259"/>
      <c r="L3" s="259"/>
      <c r="M3" s="259"/>
      <c r="N3" s="259"/>
      <c r="O3" s="259"/>
      <c r="P3" s="259"/>
      <c r="Q3" s="260"/>
      <c r="R3" s="291" t="s">
        <v>256</v>
      </c>
      <c r="S3" s="284"/>
      <c r="T3" s="36"/>
      <c r="U3" s="37"/>
      <c r="V3" s="32"/>
      <c r="W3" s="32"/>
      <c r="X3" s="32"/>
      <c r="Y3" s="32"/>
      <c r="Z3" s="33"/>
      <c r="AA3" s="33"/>
      <c r="AB3" s="34"/>
      <c r="AC3" s="35"/>
      <c r="AD3" s="35"/>
      <c r="AE3" s="35"/>
      <c r="AF3" s="35"/>
      <c r="AG3" s="35"/>
      <c r="AH3" s="35"/>
      <c r="AI3" s="31"/>
      <c r="AJ3" s="30"/>
      <c r="AK3" s="30"/>
      <c r="AL3" s="30"/>
      <c r="AM3" s="30"/>
    </row>
    <row r="4" spans="2:39" ht="15" hidden="1" customHeight="1" x14ac:dyDescent="0.25">
      <c r="B4" s="285"/>
      <c r="C4" s="270"/>
      <c r="D4" s="270"/>
      <c r="E4" s="270"/>
      <c r="F4" s="286"/>
      <c r="G4" s="292" t="s">
        <v>257</v>
      </c>
      <c r="H4" s="283"/>
      <c r="I4" s="283"/>
      <c r="J4" s="283"/>
      <c r="K4" s="283"/>
      <c r="L4" s="283"/>
      <c r="M4" s="284"/>
      <c r="N4" s="293" t="s">
        <v>258</v>
      </c>
      <c r="O4" s="283"/>
      <c r="P4" s="283"/>
      <c r="Q4" s="284"/>
      <c r="R4" s="285"/>
      <c r="S4" s="286"/>
      <c r="T4" s="36"/>
      <c r="U4" s="37"/>
      <c r="V4" s="37"/>
      <c r="W4" s="37"/>
      <c r="X4" s="37"/>
      <c r="Y4" s="37"/>
      <c r="Z4" s="33"/>
      <c r="AA4" s="33"/>
      <c r="AB4" s="34"/>
      <c r="AC4" s="35"/>
      <c r="AD4" s="35"/>
      <c r="AE4" s="35"/>
      <c r="AF4" s="35"/>
      <c r="AG4" s="35"/>
      <c r="AH4" s="35"/>
      <c r="AI4" s="31"/>
      <c r="AJ4" s="30"/>
      <c r="AK4" s="30"/>
      <c r="AL4" s="30"/>
      <c r="AM4" s="30"/>
    </row>
    <row r="5" spans="2:39" ht="15" hidden="1" customHeight="1" x14ac:dyDescent="0.25">
      <c r="B5" s="285"/>
      <c r="C5" s="270"/>
      <c r="D5" s="270"/>
      <c r="E5" s="270"/>
      <c r="F5" s="286"/>
      <c r="G5" s="285"/>
      <c r="H5" s="270"/>
      <c r="I5" s="270"/>
      <c r="J5" s="270"/>
      <c r="K5" s="270"/>
      <c r="L5" s="270"/>
      <c r="M5" s="286"/>
      <c r="N5" s="285"/>
      <c r="O5" s="270"/>
      <c r="P5" s="270"/>
      <c r="Q5" s="286"/>
      <c r="R5" s="285"/>
      <c r="S5" s="286"/>
      <c r="T5" s="36"/>
      <c r="U5" s="37"/>
      <c r="V5" s="37"/>
      <c r="W5" s="37"/>
      <c r="X5" s="37"/>
      <c r="Y5" s="37"/>
      <c r="Z5" s="33"/>
      <c r="AA5" s="33"/>
      <c r="AB5" s="34"/>
      <c r="AC5" s="35"/>
      <c r="AD5" s="35"/>
      <c r="AE5" s="35"/>
      <c r="AF5" s="35"/>
      <c r="AG5" s="35"/>
      <c r="AH5" s="35"/>
      <c r="AI5" s="31"/>
      <c r="AJ5" s="30"/>
      <c r="AK5" s="30"/>
      <c r="AL5" s="30"/>
      <c r="AM5" s="30"/>
    </row>
    <row r="6" spans="2:39" ht="15" hidden="1" customHeight="1" x14ac:dyDescent="0.25">
      <c r="B6" s="285"/>
      <c r="C6" s="270"/>
      <c r="D6" s="270"/>
      <c r="E6" s="270"/>
      <c r="F6" s="286"/>
      <c r="G6" s="287"/>
      <c r="H6" s="288"/>
      <c r="I6" s="288"/>
      <c r="J6" s="288"/>
      <c r="K6" s="288"/>
      <c r="L6" s="288"/>
      <c r="M6" s="289"/>
      <c r="N6" s="287"/>
      <c r="O6" s="288"/>
      <c r="P6" s="288"/>
      <c r="Q6" s="289"/>
      <c r="R6" s="287"/>
      <c r="S6" s="289"/>
      <c r="T6" s="36"/>
      <c r="U6" s="37"/>
      <c r="V6" s="37"/>
      <c r="W6" s="37"/>
      <c r="X6" s="37"/>
      <c r="Y6" s="37"/>
      <c r="Z6" s="33"/>
      <c r="AA6" s="33"/>
      <c r="AB6" s="34"/>
      <c r="AC6" s="35"/>
      <c r="AD6" s="35"/>
      <c r="AE6" s="35"/>
      <c r="AF6" s="35"/>
      <c r="AG6" s="35"/>
      <c r="AH6" s="35"/>
      <c r="AI6" s="31"/>
      <c r="AJ6" s="30"/>
      <c r="AK6" s="30"/>
      <c r="AL6" s="30"/>
      <c r="AM6" s="30"/>
    </row>
    <row r="7" spans="2:39" ht="34.5" hidden="1" customHeight="1" x14ac:dyDescent="0.25">
      <c r="B7" s="287"/>
      <c r="C7" s="288"/>
      <c r="D7" s="288"/>
      <c r="E7" s="288"/>
      <c r="F7" s="289"/>
      <c r="G7" s="294" t="s">
        <v>259</v>
      </c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38"/>
      <c r="U7" s="39"/>
      <c r="V7" s="39"/>
      <c r="W7" s="39"/>
      <c r="X7" s="39"/>
      <c r="Y7" s="40"/>
      <c r="Z7" s="33"/>
      <c r="AA7" s="33"/>
      <c r="AB7" s="34"/>
      <c r="AC7" s="35"/>
      <c r="AD7" s="35"/>
      <c r="AE7" s="35"/>
      <c r="AF7" s="35"/>
      <c r="AG7" s="35"/>
      <c r="AH7" s="35"/>
      <c r="AI7" s="31"/>
      <c r="AJ7" s="30"/>
      <c r="AK7" s="30"/>
      <c r="AL7" s="30"/>
      <c r="AM7" s="30"/>
    </row>
    <row r="8" spans="2:39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 t="s">
        <v>5</v>
      </c>
      <c r="I8" s="2"/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/>
      <c r="Q8" s="2" t="s">
        <v>13</v>
      </c>
      <c r="R8" s="2" t="s">
        <v>14</v>
      </c>
      <c r="S8" s="2" t="s">
        <v>263</v>
      </c>
      <c r="T8" s="2"/>
      <c r="U8" s="2"/>
      <c r="V8" s="33"/>
      <c r="W8" s="33"/>
      <c r="X8" s="35"/>
      <c r="Y8" s="35"/>
      <c r="Z8" s="35"/>
      <c r="AA8" s="35"/>
      <c r="AB8" s="34"/>
      <c r="AC8" s="35"/>
      <c r="AD8" s="35"/>
      <c r="AE8" s="35"/>
      <c r="AF8" s="41"/>
      <c r="AG8" s="42"/>
      <c r="AH8" s="33"/>
      <c r="AI8" s="14"/>
      <c r="AJ8" s="30"/>
      <c r="AK8" s="30"/>
      <c r="AL8" s="30"/>
      <c r="AM8" s="30"/>
    </row>
    <row r="9" spans="2:39" ht="24" customHeight="1" x14ac:dyDescent="0.25">
      <c r="B9" s="295" t="s">
        <v>264</v>
      </c>
      <c r="C9" s="296" t="s">
        <v>265</v>
      </c>
      <c r="D9" s="44" t="s">
        <v>16</v>
      </c>
      <c r="E9" s="277" t="s">
        <v>266</v>
      </c>
      <c r="F9" s="277" t="s">
        <v>267</v>
      </c>
      <c r="G9" s="44" t="s">
        <v>268</v>
      </c>
      <c r="H9" s="45" t="s">
        <v>269</v>
      </c>
      <c r="I9" s="44" t="s">
        <v>21</v>
      </c>
      <c r="J9" s="46">
        <v>30</v>
      </c>
      <c r="K9" s="46">
        <v>5</v>
      </c>
      <c r="L9" s="47">
        <f>9.06*1160000*55.97%/15*12+2</f>
        <v>4705780.4959999993</v>
      </c>
      <c r="M9" s="47">
        <f>+X$9*55.97%/15*12</f>
        <v>145.51752240000002</v>
      </c>
      <c r="N9" s="47">
        <f>+(L9+M9)*8%</f>
        <v>376474.08108179196</v>
      </c>
      <c r="O9" s="47">
        <f t="shared" ref="O9:O93" si="0">(((ROUND(N9+M9+L9,0)*K9))/30)*J9</f>
        <v>25412000</v>
      </c>
      <c r="P9" s="47">
        <f t="shared" ref="P9:P85" si="1">+O9/K9</f>
        <v>5082400</v>
      </c>
      <c r="Q9" s="48">
        <f t="shared" ref="Q9:Q21" si="2">+O9*10%</f>
        <v>2541200</v>
      </c>
      <c r="R9" s="47">
        <f t="shared" ref="R9:R21" si="3">+Q9*19%</f>
        <v>482828</v>
      </c>
      <c r="S9" s="47">
        <f t="shared" ref="S9:S85" si="4">+ROUND(O9+R9,0)</f>
        <v>25894828</v>
      </c>
      <c r="T9" s="47">
        <f>S9</f>
        <v>25894828</v>
      </c>
      <c r="U9" s="49"/>
      <c r="V9" s="50"/>
      <c r="W9" s="50"/>
      <c r="X9" s="51">
        <f>108.33*3</f>
        <v>324.99</v>
      </c>
      <c r="Y9" s="52"/>
      <c r="Z9" s="53">
        <v>21688707.040683702</v>
      </c>
      <c r="AA9" s="54">
        <f t="shared" ref="AA9:AA81" si="5">+Z9-S9</f>
        <v>-4206120.9593162984</v>
      </c>
      <c r="AB9" s="55"/>
      <c r="AC9" s="52"/>
      <c r="AD9" s="52"/>
      <c r="AE9" s="52"/>
      <c r="AF9" s="56"/>
      <c r="AG9" s="57"/>
      <c r="AH9" s="50"/>
      <c r="AI9" s="58">
        <f>+S9</f>
        <v>25894828</v>
      </c>
      <c r="AJ9" s="59"/>
      <c r="AK9" s="59"/>
      <c r="AL9" s="59"/>
      <c r="AM9" s="59"/>
    </row>
    <row r="10" spans="2:39" ht="24" x14ac:dyDescent="0.25">
      <c r="B10" s="278"/>
      <c r="C10" s="278"/>
      <c r="D10" s="44" t="s">
        <v>16</v>
      </c>
      <c r="E10" s="278"/>
      <c r="F10" s="278"/>
      <c r="G10" s="44" t="s">
        <v>270</v>
      </c>
      <c r="H10" s="45" t="s">
        <v>271</v>
      </c>
      <c r="I10" s="44" t="s">
        <v>23</v>
      </c>
      <c r="J10" s="46">
        <v>30</v>
      </c>
      <c r="K10" s="46">
        <v>1</v>
      </c>
      <c r="L10" s="47">
        <f t="shared" ref="L10:L13" si="6">9.06*1160000+2</f>
        <v>10509602</v>
      </c>
      <c r="M10" s="47">
        <f t="shared" ref="M10:M13" si="7">+X$9</f>
        <v>324.99</v>
      </c>
      <c r="N10" s="47">
        <f>+(L10+M10)*10%</f>
        <v>1050992.699</v>
      </c>
      <c r="O10" s="47">
        <f t="shared" si="0"/>
        <v>11560920</v>
      </c>
      <c r="P10" s="47">
        <f t="shared" si="1"/>
        <v>11560920</v>
      </c>
      <c r="Q10" s="48">
        <f t="shared" si="2"/>
        <v>1156092</v>
      </c>
      <c r="R10" s="47">
        <f t="shared" si="3"/>
        <v>219657.48</v>
      </c>
      <c r="S10" s="47">
        <f t="shared" si="4"/>
        <v>11780577</v>
      </c>
      <c r="T10" s="47">
        <f t="shared" ref="T10:T93" si="8">T9+S10</f>
        <v>37675405</v>
      </c>
      <c r="U10" s="49"/>
      <c r="V10" s="50"/>
      <c r="W10" s="50"/>
      <c r="X10" s="52"/>
      <c r="Y10" s="52"/>
      <c r="Z10" s="53">
        <v>48440488.413540453</v>
      </c>
      <c r="AA10" s="54">
        <f t="shared" si="5"/>
        <v>36659911.413540453</v>
      </c>
      <c r="AB10" s="55"/>
      <c r="AC10" s="52"/>
      <c r="AD10" s="52"/>
      <c r="AE10" s="52"/>
      <c r="AF10" s="56"/>
      <c r="AG10" s="57"/>
      <c r="AH10" s="50"/>
      <c r="AI10" s="58">
        <f>+AI9+S10</f>
        <v>37675405</v>
      </c>
      <c r="AJ10" s="59"/>
      <c r="AK10" s="59"/>
      <c r="AL10" s="59"/>
      <c r="AM10" s="59"/>
    </row>
    <row r="11" spans="2:39" ht="24" x14ac:dyDescent="0.25">
      <c r="B11" s="278"/>
      <c r="C11" s="278"/>
      <c r="D11" s="44" t="s">
        <v>16</v>
      </c>
      <c r="E11" s="278"/>
      <c r="F11" s="278"/>
      <c r="G11" s="44" t="s">
        <v>272</v>
      </c>
      <c r="H11" s="45" t="s">
        <v>269</v>
      </c>
      <c r="I11" s="44" t="s">
        <v>74</v>
      </c>
      <c r="J11" s="46">
        <v>30</v>
      </c>
      <c r="K11" s="46">
        <v>6</v>
      </c>
      <c r="L11" s="47">
        <f t="shared" si="6"/>
        <v>10509602</v>
      </c>
      <c r="M11" s="47">
        <f t="shared" si="7"/>
        <v>324.99</v>
      </c>
      <c r="N11" s="47">
        <f t="shared" ref="N11:N12" si="9">+(L11+M11)*8%</f>
        <v>840794.15919999999</v>
      </c>
      <c r="O11" s="47">
        <f t="shared" si="0"/>
        <v>68104326</v>
      </c>
      <c r="P11" s="47">
        <f t="shared" si="1"/>
        <v>11350721</v>
      </c>
      <c r="Q11" s="48">
        <f t="shared" si="2"/>
        <v>6810432.6000000006</v>
      </c>
      <c r="R11" s="47">
        <f t="shared" si="3"/>
        <v>1293982.1940000001</v>
      </c>
      <c r="S11" s="47">
        <f t="shared" si="4"/>
        <v>69398308</v>
      </c>
      <c r="T11" s="47">
        <f t="shared" si="8"/>
        <v>107073713</v>
      </c>
      <c r="U11" s="49"/>
      <c r="V11" s="50"/>
      <c r="W11" s="50"/>
      <c r="X11" s="52"/>
      <c r="Y11" s="52"/>
      <c r="Z11" s="53">
        <v>9867506.8990545366</v>
      </c>
      <c r="AA11" s="54">
        <f t="shared" si="5"/>
        <v>-59530801.100945465</v>
      </c>
      <c r="AB11" s="55"/>
      <c r="AC11" s="52"/>
      <c r="AD11" s="52"/>
      <c r="AE11" s="52"/>
      <c r="AF11" s="56"/>
      <c r="AG11" s="57"/>
      <c r="AH11" s="50"/>
      <c r="AI11" s="58">
        <f t="shared" ref="AI11:AI61" si="10">++S11++AI10</f>
        <v>107073713</v>
      </c>
      <c r="AJ11" s="59"/>
      <c r="AK11" s="59"/>
      <c r="AL11" s="59"/>
      <c r="AM11" s="59"/>
    </row>
    <row r="12" spans="2:39" ht="36" x14ac:dyDescent="0.25">
      <c r="B12" s="278"/>
      <c r="C12" s="278"/>
      <c r="D12" s="44" t="s">
        <v>16</v>
      </c>
      <c r="E12" s="276"/>
      <c r="F12" s="276"/>
      <c r="G12" s="44" t="s">
        <v>273</v>
      </c>
      <c r="H12" s="45" t="s">
        <v>269</v>
      </c>
      <c r="I12" s="44" t="s">
        <v>274</v>
      </c>
      <c r="J12" s="46">
        <v>30</v>
      </c>
      <c r="K12" s="46">
        <v>9</v>
      </c>
      <c r="L12" s="47">
        <f t="shared" si="6"/>
        <v>10509602</v>
      </c>
      <c r="M12" s="47">
        <f t="shared" si="7"/>
        <v>324.99</v>
      </c>
      <c r="N12" s="47">
        <f t="shared" si="9"/>
        <v>840794.15919999999</v>
      </c>
      <c r="O12" s="47">
        <f t="shared" si="0"/>
        <v>102156489</v>
      </c>
      <c r="P12" s="47">
        <f t="shared" si="1"/>
        <v>11350721</v>
      </c>
      <c r="Q12" s="48">
        <f t="shared" si="2"/>
        <v>10215648.9</v>
      </c>
      <c r="R12" s="47">
        <f t="shared" si="3"/>
        <v>1940973.2910000002</v>
      </c>
      <c r="S12" s="47">
        <f t="shared" si="4"/>
        <v>104097462</v>
      </c>
      <c r="T12" s="47">
        <f t="shared" si="8"/>
        <v>211171175</v>
      </c>
      <c r="U12" s="49"/>
      <c r="V12" s="50"/>
      <c r="W12" s="50"/>
      <c r="X12" s="52"/>
      <c r="Y12" s="52"/>
      <c r="Z12" s="53">
        <v>9688097.682708092</v>
      </c>
      <c r="AA12" s="54">
        <f t="shared" si="5"/>
        <v>-94409364.317291915</v>
      </c>
      <c r="AB12" s="55"/>
      <c r="AC12" s="52"/>
      <c r="AD12" s="52"/>
      <c r="AE12" s="52"/>
      <c r="AF12" s="56"/>
      <c r="AG12" s="57"/>
      <c r="AH12" s="50"/>
      <c r="AI12" s="60">
        <f t="shared" si="10"/>
        <v>211171175</v>
      </c>
      <c r="AJ12" s="60" t="e">
        <f>S9+S10+S11+S12+S43+S44+S45+S46+S47+S48+S49+S50+S51+S52+S53+S55+S56+S57+S58+S59+S60+S61+#REF!+S84+S63+S64+S65+S66+S67</f>
        <v>#REF!</v>
      </c>
      <c r="AK12" s="61"/>
      <c r="AL12" s="62"/>
      <c r="AM12" s="59"/>
    </row>
    <row r="13" spans="2:39" ht="24" x14ac:dyDescent="0.25">
      <c r="B13" s="278"/>
      <c r="C13" s="278"/>
      <c r="D13" s="277" t="s">
        <v>16</v>
      </c>
      <c r="E13" s="277" t="s">
        <v>275</v>
      </c>
      <c r="F13" s="277" t="s">
        <v>275</v>
      </c>
      <c r="G13" s="44" t="s">
        <v>272</v>
      </c>
      <c r="H13" s="45" t="s">
        <v>271</v>
      </c>
      <c r="I13" s="44" t="s">
        <v>276</v>
      </c>
      <c r="J13" s="46">
        <v>30</v>
      </c>
      <c r="K13" s="46">
        <v>3</v>
      </c>
      <c r="L13" s="47">
        <f t="shared" si="6"/>
        <v>10509602</v>
      </c>
      <c r="M13" s="47">
        <f t="shared" si="7"/>
        <v>324.99</v>
      </c>
      <c r="N13" s="47">
        <f>+(L13+M13)*10%</f>
        <v>1050992.699</v>
      </c>
      <c r="O13" s="47">
        <f t="shared" si="0"/>
        <v>34682760</v>
      </c>
      <c r="P13" s="47">
        <f t="shared" si="1"/>
        <v>11560920</v>
      </c>
      <c r="Q13" s="48">
        <f t="shared" si="2"/>
        <v>3468276</v>
      </c>
      <c r="R13" s="47">
        <f t="shared" si="3"/>
        <v>658972.44000000006</v>
      </c>
      <c r="S13" s="63">
        <f t="shared" si="4"/>
        <v>35341732</v>
      </c>
      <c r="T13" s="47">
        <f t="shared" si="8"/>
        <v>246512907</v>
      </c>
      <c r="U13" s="64"/>
      <c r="V13" s="65"/>
      <c r="W13" s="65"/>
      <c r="X13" s="66"/>
      <c r="Y13" s="66"/>
      <c r="Z13" s="67">
        <v>38752390.730832368</v>
      </c>
      <c r="AA13" s="68">
        <f t="shared" si="5"/>
        <v>3410658.7308323681</v>
      </c>
      <c r="AB13" s="69"/>
      <c r="AC13" s="66"/>
      <c r="AD13" s="66"/>
      <c r="AE13" s="66"/>
      <c r="AF13" s="70"/>
      <c r="AG13" s="71"/>
      <c r="AH13" s="65"/>
      <c r="AI13" s="58">
        <f t="shared" si="10"/>
        <v>246512907</v>
      </c>
      <c r="AJ13" s="59"/>
      <c r="AK13" s="59"/>
      <c r="AL13" s="59"/>
      <c r="AM13" s="59"/>
    </row>
    <row r="14" spans="2:39" ht="24" x14ac:dyDescent="0.25">
      <c r="B14" s="278"/>
      <c r="C14" s="278"/>
      <c r="D14" s="276"/>
      <c r="E14" s="276"/>
      <c r="F14" s="276"/>
      <c r="G14" s="44" t="s">
        <v>268</v>
      </c>
      <c r="H14" s="45" t="s">
        <v>277</v>
      </c>
      <c r="I14" s="44" t="s">
        <v>80</v>
      </c>
      <c r="J14" s="46">
        <v>30</v>
      </c>
      <c r="K14" s="46">
        <v>1</v>
      </c>
      <c r="L14" s="47">
        <f t="shared" ref="L14:L15" si="11">9.06*1160000*55.97%/15*12+2</f>
        <v>4705780.4959999993</v>
      </c>
      <c r="M14" s="47">
        <f t="shared" ref="M14:M15" si="12">+X$9*55.97%/15*12</f>
        <v>145.51752240000002</v>
      </c>
      <c r="N14" s="47">
        <f>+(L14+M14)*11%</f>
        <v>517651.86148746393</v>
      </c>
      <c r="O14" s="47">
        <f t="shared" si="0"/>
        <v>5223578</v>
      </c>
      <c r="P14" s="47">
        <f t="shared" si="1"/>
        <v>5223578</v>
      </c>
      <c r="Q14" s="48">
        <f t="shared" si="2"/>
        <v>522357.80000000005</v>
      </c>
      <c r="R14" s="47">
        <f t="shared" si="3"/>
        <v>99247.982000000004</v>
      </c>
      <c r="S14" s="47">
        <f t="shared" si="4"/>
        <v>5322826</v>
      </c>
      <c r="T14" s="47">
        <f t="shared" si="8"/>
        <v>251835733</v>
      </c>
      <c r="U14" s="49"/>
      <c r="V14" s="50"/>
      <c r="W14" s="50"/>
      <c r="X14" s="52"/>
      <c r="Y14" s="52"/>
      <c r="Z14" s="53">
        <v>48440488.413540453</v>
      </c>
      <c r="AA14" s="54">
        <f t="shared" si="5"/>
        <v>43117662.413540453</v>
      </c>
      <c r="AB14" s="55"/>
      <c r="AC14" s="52"/>
      <c r="AD14" s="52"/>
      <c r="AE14" s="52"/>
      <c r="AF14" s="56"/>
      <c r="AG14" s="57"/>
      <c r="AH14" s="50"/>
      <c r="AI14" s="58">
        <f t="shared" si="10"/>
        <v>251835733</v>
      </c>
      <c r="AJ14" s="59"/>
      <c r="AK14" s="58">
        <f>S13+S14+S80</f>
        <v>45843524</v>
      </c>
      <c r="AL14" s="62"/>
      <c r="AM14" s="62"/>
    </row>
    <row r="15" spans="2:39" ht="24" x14ac:dyDescent="0.25">
      <c r="B15" s="278"/>
      <c r="C15" s="278"/>
      <c r="D15" s="44" t="s">
        <v>278</v>
      </c>
      <c r="E15" s="277" t="s">
        <v>88</v>
      </c>
      <c r="F15" s="277" t="s">
        <v>88</v>
      </c>
      <c r="G15" s="44" t="s">
        <v>268</v>
      </c>
      <c r="H15" s="45" t="s">
        <v>269</v>
      </c>
      <c r="I15" s="44" t="s">
        <v>83</v>
      </c>
      <c r="J15" s="46">
        <v>30</v>
      </c>
      <c r="K15" s="46">
        <v>1</v>
      </c>
      <c r="L15" s="47">
        <f t="shared" si="11"/>
        <v>4705780.4959999993</v>
      </c>
      <c r="M15" s="47">
        <f t="shared" si="12"/>
        <v>145.51752240000002</v>
      </c>
      <c r="N15" s="47">
        <f>+(L15+M15)*8%</f>
        <v>376474.08108179196</v>
      </c>
      <c r="O15" s="47">
        <f t="shared" si="0"/>
        <v>5082400</v>
      </c>
      <c r="P15" s="47">
        <f t="shared" si="1"/>
        <v>5082400</v>
      </c>
      <c r="Q15" s="48">
        <f t="shared" si="2"/>
        <v>508240</v>
      </c>
      <c r="R15" s="47">
        <f t="shared" si="3"/>
        <v>96565.6</v>
      </c>
      <c r="S15" s="47">
        <f t="shared" si="4"/>
        <v>5178966</v>
      </c>
      <c r="T15" s="47">
        <f t="shared" si="8"/>
        <v>257014699</v>
      </c>
      <c r="U15" s="49"/>
      <c r="V15" s="50"/>
      <c r="W15" s="50"/>
      <c r="X15" s="52"/>
      <c r="Y15" s="52"/>
      <c r="Z15" s="53">
        <v>29602520.697163612</v>
      </c>
      <c r="AA15" s="54">
        <f t="shared" si="5"/>
        <v>24423554.697163612</v>
      </c>
      <c r="AB15" s="55"/>
      <c r="AC15" s="52"/>
      <c r="AD15" s="52"/>
      <c r="AE15" s="52"/>
      <c r="AF15" s="56"/>
      <c r="AG15" s="57"/>
      <c r="AH15" s="50"/>
      <c r="AI15" s="58">
        <f t="shared" si="10"/>
        <v>257014699</v>
      </c>
      <c r="AJ15" s="59"/>
      <c r="AK15" s="59"/>
      <c r="AL15" s="59"/>
      <c r="AM15" s="59"/>
    </row>
    <row r="16" spans="2:39" ht="24" x14ac:dyDescent="0.25">
      <c r="B16" s="278"/>
      <c r="C16" s="278"/>
      <c r="D16" s="44" t="s">
        <v>278</v>
      </c>
      <c r="E16" s="276"/>
      <c r="F16" s="276"/>
      <c r="G16" s="44" t="s">
        <v>272</v>
      </c>
      <c r="H16" s="45" t="s">
        <v>271</v>
      </c>
      <c r="I16" s="44" t="s">
        <v>86</v>
      </c>
      <c r="J16" s="46">
        <v>30</v>
      </c>
      <c r="K16" s="46">
        <v>3</v>
      </c>
      <c r="L16" s="47">
        <f t="shared" ref="L16:L17" si="13">9.06*1160000+2</f>
        <v>10509602</v>
      </c>
      <c r="M16" s="47">
        <f t="shared" ref="M16:M17" si="14">+X$9</f>
        <v>324.99</v>
      </c>
      <c r="N16" s="47">
        <f t="shared" ref="N16:N17" si="15">+(L16+M16)*10%</f>
        <v>1050992.699</v>
      </c>
      <c r="O16" s="47">
        <f t="shared" si="0"/>
        <v>34682760</v>
      </c>
      <c r="P16" s="47">
        <f t="shared" si="1"/>
        <v>11560920</v>
      </c>
      <c r="Q16" s="48">
        <f t="shared" si="2"/>
        <v>3468276</v>
      </c>
      <c r="R16" s="47">
        <f t="shared" si="3"/>
        <v>658972.44000000006</v>
      </c>
      <c r="S16" s="47">
        <f t="shared" si="4"/>
        <v>35341732</v>
      </c>
      <c r="T16" s="47">
        <f t="shared" si="8"/>
        <v>292356431</v>
      </c>
      <c r="U16" s="49"/>
      <c r="V16" s="50"/>
      <c r="W16" s="50"/>
      <c r="X16" s="52"/>
      <c r="Y16" s="52"/>
      <c r="Z16" s="53">
        <v>4540767.9355263505</v>
      </c>
      <c r="AA16" s="54">
        <f t="shared" si="5"/>
        <v>-30800964.064473651</v>
      </c>
      <c r="AB16" s="55"/>
      <c r="AC16" s="52"/>
      <c r="AD16" s="52"/>
      <c r="AE16" s="52"/>
      <c r="AF16" s="56"/>
      <c r="AG16" s="57"/>
      <c r="AH16" s="50"/>
      <c r="AI16" s="58">
        <f t="shared" si="10"/>
        <v>292356431</v>
      </c>
      <c r="AJ16" s="59"/>
      <c r="AK16" s="59"/>
      <c r="AL16" s="59"/>
      <c r="AM16" s="59"/>
    </row>
    <row r="17" spans="2:41" ht="24" x14ac:dyDescent="0.25">
      <c r="B17" s="278"/>
      <c r="C17" s="278"/>
      <c r="D17" s="44" t="s">
        <v>279</v>
      </c>
      <c r="E17" s="277" t="s">
        <v>280</v>
      </c>
      <c r="F17" s="277" t="s">
        <v>281</v>
      </c>
      <c r="G17" s="44" t="s">
        <v>272</v>
      </c>
      <c r="H17" s="45" t="s">
        <v>271</v>
      </c>
      <c r="I17" s="44" t="s">
        <v>282</v>
      </c>
      <c r="J17" s="46">
        <v>30</v>
      </c>
      <c r="K17" s="46">
        <v>9</v>
      </c>
      <c r="L17" s="47">
        <f t="shared" si="13"/>
        <v>10509602</v>
      </c>
      <c r="M17" s="47">
        <f t="shared" si="14"/>
        <v>324.99</v>
      </c>
      <c r="N17" s="47">
        <f t="shared" si="15"/>
        <v>1050992.699</v>
      </c>
      <c r="O17" s="47">
        <f t="shared" si="0"/>
        <v>104048280</v>
      </c>
      <c r="P17" s="47">
        <f t="shared" si="1"/>
        <v>11560920</v>
      </c>
      <c r="Q17" s="48">
        <f t="shared" si="2"/>
        <v>10404828</v>
      </c>
      <c r="R17" s="47">
        <f t="shared" si="3"/>
        <v>1976917.32</v>
      </c>
      <c r="S17" s="47">
        <f t="shared" si="4"/>
        <v>106025197</v>
      </c>
      <c r="T17" s="47">
        <f t="shared" si="8"/>
        <v>398381628</v>
      </c>
      <c r="U17" s="49"/>
      <c r="V17" s="50"/>
      <c r="W17" s="50"/>
      <c r="X17" s="52"/>
      <c r="Y17" s="52"/>
      <c r="Z17" s="53">
        <v>4337741.4081367375</v>
      </c>
      <c r="AA17" s="54">
        <f t="shared" si="5"/>
        <v>-101687455.59186326</v>
      </c>
      <c r="AB17" s="55"/>
      <c r="AC17" s="52"/>
      <c r="AD17" s="52"/>
      <c r="AE17" s="52"/>
      <c r="AF17" s="56"/>
      <c r="AG17" s="57"/>
      <c r="AH17" s="50"/>
      <c r="AI17" s="58">
        <f t="shared" si="10"/>
        <v>398381628</v>
      </c>
      <c r="AJ17" s="59"/>
      <c r="AK17" s="59"/>
      <c r="AL17" s="59"/>
      <c r="AM17" s="59"/>
      <c r="AN17" s="59"/>
      <c r="AO17" s="59"/>
    </row>
    <row r="18" spans="2:41" ht="24" x14ac:dyDescent="0.25">
      <c r="B18" s="278"/>
      <c r="C18" s="278"/>
      <c r="D18" s="44" t="s">
        <v>279</v>
      </c>
      <c r="E18" s="278"/>
      <c r="F18" s="278"/>
      <c r="G18" s="44" t="s">
        <v>283</v>
      </c>
      <c r="H18" s="45" t="s">
        <v>269</v>
      </c>
      <c r="I18" s="44" t="s">
        <v>284</v>
      </c>
      <c r="J18" s="46">
        <v>30</v>
      </c>
      <c r="K18" s="46">
        <v>5</v>
      </c>
      <c r="L18" s="47">
        <f>(9.06*1160000*55.97%)+(9.06*1160000*44.03%/9*1)+2</f>
        <v>6396378.1066666665</v>
      </c>
      <c r="M18" s="47">
        <f>+(X$9*55.97%)+(X9*44.03%/9*1)</f>
        <v>197.79613600000002</v>
      </c>
      <c r="N18" s="47">
        <f>+(L18+M18)*8%</f>
        <v>511726.07222421333</v>
      </c>
      <c r="O18" s="47">
        <f t="shared" si="0"/>
        <v>34541510</v>
      </c>
      <c r="P18" s="47">
        <f t="shared" si="1"/>
        <v>6908302</v>
      </c>
      <c r="Q18" s="48">
        <f t="shared" si="2"/>
        <v>3454151</v>
      </c>
      <c r="R18" s="47">
        <f t="shared" si="3"/>
        <v>656288.69000000006</v>
      </c>
      <c r="S18" s="47">
        <f t="shared" si="4"/>
        <v>35197799</v>
      </c>
      <c r="T18" s="47">
        <f t="shared" si="8"/>
        <v>433579427</v>
      </c>
      <c r="U18" s="49"/>
      <c r="V18" s="50"/>
      <c r="W18" s="50"/>
      <c r="X18" s="52"/>
      <c r="Y18" s="52"/>
      <c r="Z18" s="53">
        <v>29602520.697163612</v>
      </c>
      <c r="AA18" s="54">
        <f t="shared" si="5"/>
        <v>-5595278.3028363883</v>
      </c>
      <c r="AB18" s="55"/>
      <c r="AC18" s="52"/>
      <c r="AD18" s="52"/>
      <c r="AE18" s="52"/>
      <c r="AF18" s="56"/>
      <c r="AG18" s="57"/>
      <c r="AH18" s="50"/>
      <c r="AI18" s="58">
        <f t="shared" si="10"/>
        <v>433579427</v>
      </c>
      <c r="AJ18" s="59"/>
      <c r="AK18" s="59"/>
      <c r="AL18" s="59"/>
      <c r="AM18" s="59"/>
      <c r="AN18" s="59"/>
      <c r="AO18" s="59"/>
    </row>
    <row r="19" spans="2:41" ht="24" x14ac:dyDescent="0.25">
      <c r="B19" s="278"/>
      <c r="C19" s="278"/>
      <c r="D19" s="44" t="s">
        <v>279</v>
      </c>
      <c r="E19" s="276"/>
      <c r="F19" s="276"/>
      <c r="G19" s="44" t="s">
        <v>285</v>
      </c>
      <c r="H19" s="45" t="s">
        <v>277</v>
      </c>
      <c r="I19" s="44" t="s">
        <v>92</v>
      </c>
      <c r="J19" s="46">
        <v>30</v>
      </c>
      <c r="K19" s="46">
        <v>1</v>
      </c>
      <c r="L19" s="47">
        <f>9.06*1160000*55.97%/15*12+2</f>
        <v>4705780.4959999993</v>
      </c>
      <c r="M19" s="47">
        <f>+X$9*55.97%/15*12</f>
        <v>145.51752240000002</v>
      </c>
      <c r="N19" s="47">
        <f>+(L19+M19)*11%</f>
        <v>517651.86148746393</v>
      </c>
      <c r="O19" s="47">
        <f t="shared" si="0"/>
        <v>5223578</v>
      </c>
      <c r="P19" s="47">
        <f t="shared" si="1"/>
        <v>5223578</v>
      </c>
      <c r="Q19" s="48">
        <f t="shared" si="2"/>
        <v>522357.80000000005</v>
      </c>
      <c r="R19" s="47">
        <f t="shared" si="3"/>
        <v>99247.982000000004</v>
      </c>
      <c r="S19" s="47">
        <f t="shared" si="4"/>
        <v>5322826</v>
      </c>
      <c r="T19" s="47">
        <f t="shared" si="8"/>
        <v>438902253</v>
      </c>
      <c r="U19" s="49"/>
      <c r="V19" s="50"/>
      <c r="W19" s="50"/>
      <c r="X19" s="52"/>
      <c r="Y19" s="52"/>
      <c r="Z19" s="53">
        <v>88807562.09149085</v>
      </c>
      <c r="AA19" s="54">
        <f t="shared" si="5"/>
        <v>83484736.09149085</v>
      </c>
      <c r="AB19" s="55"/>
      <c r="AC19" s="52"/>
      <c r="AD19" s="52"/>
      <c r="AE19" s="52"/>
      <c r="AF19" s="56"/>
      <c r="AG19" s="57"/>
      <c r="AH19" s="50"/>
      <c r="AI19" s="58">
        <f t="shared" si="10"/>
        <v>438902253</v>
      </c>
      <c r="AJ19" s="59"/>
      <c r="AK19" s="59"/>
      <c r="AL19" s="59"/>
      <c r="AM19" s="59"/>
      <c r="AN19" s="59"/>
      <c r="AO19" s="62" t="e">
        <f>AJ12+AK14+AL21+AM24</f>
        <v>#REF!</v>
      </c>
    </row>
    <row r="20" spans="2:41" ht="24" x14ac:dyDescent="0.25">
      <c r="B20" s="278"/>
      <c r="C20" s="278"/>
      <c r="D20" s="44" t="s">
        <v>278</v>
      </c>
      <c r="E20" s="277" t="s">
        <v>286</v>
      </c>
      <c r="F20" s="277" t="s">
        <v>287</v>
      </c>
      <c r="G20" s="44" t="s">
        <v>272</v>
      </c>
      <c r="H20" s="45" t="s">
        <v>271</v>
      </c>
      <c r="I20" s="44" t="s">
        <v>93</v>
      </c>
      <c r="J20" s="46">
        <v>30</v>
      </c>
      <c r="K20" s="46">
        <v>11</v>
      </c>
      <c r="L20" s="47">
        <f>9.06*1160000+2</f>
        <v>10509602</v>
      </c>
      <c r="M20" s="47">
        <f>+X$9</f>
        <v>324.99</v>
      </c>
      <c r="N20" s="47">
        <f>+(L20+M20)*10%</f>
        <v>1050992.699</v>
      </c>
      <c r="O20" s="47">
        <f t="shared" si="0"/>
        <v>127170120</v>
      </c>
      <c r="P20" s="47">
        <f t="shared" si="1"/>
        <v>11560920</v>
      </c>
      <c r="Q20" s="48">
        <f t="shared" si="2"/>
        <v>12717012</v>
      </c>
      <c r="R20" s="47">
        <f t="shared" si="3"/>
        <v>2416232.2800000003</v>
      </c>
      <c r="S20" s="47">
        <f t="shared" si="4"/>
        <v>129586352</v>
      </c>
      <c r="T20" s="47">
        <f t="shared" si="8"/>
        <v>568488605</v>
      </c>
      <c r="U20" s="49"/>
      <c r="V20" s="50"/>
      <c r="W20" s="50"/>
      <c r="X20" s="52"/>
      <c r="Y20" s="52"/>
      <c r="Z20" s="53">
        <v>29483347.424130812</v>
      </c>
      <c r="AA20" s="54">
        <f t="shared" si="5"/>
        <v>-100103004.57586919</v>
      </c>
      <c r="AB20" s="55"/>
      <c r="AC20" s="52"/>
      <c r="AD20" s="52"/>
      <c r="AE20" s="52"/>
      <c r="AF20" s="56"/>
      <c r="AG20" s="57"/>
      <c r="AH20" s="50"/>
      <c r="AI20" s="58">
        <f t="shared" si="10"/>
        <v>568488605</v>
      </c>
      <c r="AJ20" s="59"/>
      <c r="AK20" s="59"/>
      <c r="AL20" s="59"/>
      <c r="AM20" s="59"/>
      <c r="AN20" s="59"/>
      <c r="AO20" s="59"/>
    </row>
    <row r="21" spans="2:41" ht="15.75" customHeight="1" x14ac:dyDescent="0.25">
      <c r="B21" s="278"/>
      <c r="C21" s="278"/>
      <c r="D21" s="44" t="s">
        <v>278</v>
      </c>
      <c r="E21" s="276"/>
      <c r="F21" s="276"/>
      <c r="G21" s="44" t="s">
        <v>283</v>
      </c>
      <c r="H21" s="45" t="s">
        <v>269</v>
      </c>
      <c r="I21" s="44" t="s">
        <v>288</v>
      </c>
      <c r="J21" s="46">
        <v>30</v>
      </c>
      <c r="K21" s="46">
        <v>5</v>
      </c>
      <c r="L21" s="47">
        <f>(9.06*1160000*55.97%)+(9.06*1160000*44.03%/9*1)+2</f>
        <v>6396378.1066666665</v>
      </c>
      <c r="M21" s="47">
        <f>+(X$9*55.97%)+(X9*44.03%/9*1)</f>
        <v>197.79613600000002</v>
      </c>
      <c r="N21" s="47">
        <f>+(L21+M21)*8%</f>
        <v>511726.07222421333</v>
      </c>
      <c r="O21" s="47">
        <f t="shared" si="0"/>
        <v>34541510</v>
      </c>
      <c r="P21" s="47">
        <f t="shared" si="1"/>
        <v>6908302</v>
      </c>
      <c r="Q21" s="48">
        <f t="shared" si="2"/>
        <v>3454151</v>
      </c>
      <c r="R21" s="47">
        <f t="shared" si="3"/>
        <v>656288.69000000006</v>
      </c>
      <c r="S21" s="47">
        <f t="shared" si="4"/>
        <v>35197799</v>
      </c>
      <c r="T21" s="47">
        <f t="shared" si="8"/>
        <v>603686404</v>
      </c>
      <c r="U21" s="49"/>
      <c r="V21" s="50"/>
      <c r="W21" s="50"/>
      <c r="X21" s="52"/>
      <c r="Y21" s="52"/>
      <c r="Z21" s="53">
        <v>4458234.2250294229</v>
      </c>
      <c r="AA21" s="54">
        <f t="shared" si="5"/>
        <v>-30739564.774970576</v>
      </c>
      <c r="AB21" s="55"/>
      <c r="AC21" s="52"/>
      <c r="AD21" s="52"/>
      <c r="AE21" s="52"/>
      <c r="AF21" s="56"/>
      <c r="AG21" s="57"/>
      <c r="AH21" s="50"/>
      <c r="AI21" s="58">
        <f t="shared" si="10"/>
        <v>603686404</v>
      </c>
      <c r="AJ21" s="62"/>
      <c r="AK21" s="59"/>
      <c r="AL21" s="58">
        <f>S15+S16+S17+S18+S19+S20+S21+S26+S27+S28+S29+S30+S31+S32+S33+S34+S35+S36+S37+S38+S39+S40+S41+S42+S62+S68+S69+S70+S71+S74+S75+S76+S77+S78+S79+S81+S83</f>
        <v>1033549672</v>
      </c>
      <c r="AM21" s="62"/>
      <c r="AN21" s="59"/>
      <c r="AO21" s="59"/>
    </row>
    <row r="22" spans="2:41" ht="15.75" customHeight="1" x14ac:dyDescent="0.25">
      <c r="B22" s="278"/>
      <c r="C22" s="278"/>
      <c r="D22" s="73" t="s">
        <v>140</v>
      </c>
      <c r="E22" s="281" t="s">
        <v>141</v>
      </c>
      <c r="F22" s="281" t="s">
        <v>289</v>
      </c>
      <c r="G22" s="73" t="s">
        <v>272</v>
      </c>
      <c r="H22" s="74" t="s">
        <v>271</v>
      </c>
      <c r="I22" s="73" t="s">
        <v>97</v>
      </c>
      <c r="J22" s="75">
        <v>30</v>
      </c>
      <c r="K22" s="75">
        <v>14</v>
      </c>
      <c r="L22" s="76">
        <f>9.06*1160000+2</f>
        <v>10509602</v>
      </c>
      <c r="M22" s="76">
        <f>+X$9</f>
        <v>324.99</v>
      </c>
      <c r="N22" s="76">
        <f>+(L22+M22)*10%</f>
        <v>1050992.699</v>
      </c>
      <c r="O22" s="76">
        <f t="shared" si="0"/>
        <v>161852880</v>
      </c>
      <c r="P22" s="76">
        <f t="shared" si="1"/>
        <v>11560920</v>
      </c>
      <c r="Q22" s="77">
        <v>0</v>
      </c>
      <c r="R22" s="76">
        <v>0</v>
      </c>
      <c r="S22" s="76">
        <f t="shared" si="4"/>
        <v>161852880</v>
      </c>
      <c r="T22" s="76">
        <f t="shared" si="8"/>
        <v>765539284</v>
      </c>
      <c r="U22" s="78"/>
      <c r="V22" s="79"/>
      <c r="W22" s="79"/>
      <c r="X22" s="80"/>
      <c r="Y22" s="80"/>
      <c r="Z22" s="81">
        <v>108542575.88959992</v>
      </c>
      <c r="AA22" s="82">
        <f t="shared" si="5"/>
        <v>-53310304.110400081</v>
      </c>
      <c r="AB22" s="83"/>
      <c r="AC22" s="80"/>
      <c r="AD22" s="80"/>
      <c r="AE22" s="80"/>
      <c r="AF22" s="84"/>
      <c r="AG22" s="85"/>
      <c r="AH22" s="79"/>
      <c r="AI22" s="86">
        <f t="shared" si="10"/>
        <v>765539284</v>
      </c>
      <c r="AJ22" s="87"/>
      <c r="AK22" s="87"/>
      <c r="AL22" s="87"/>
      <c r="AM22" s="87"/>
      <c r="AN22" s="87"/>
      <c r="AO22" s="87"/>
    </row>
    <row r="23" spans="2:41" ht="15.75" customHeight="1" x14ac:dyDescent="0.25">
      <c r="B23" s="278"/>
      <c r="C23" s="278"/>
      <c r="D23" s="73" t="s">
        <v>140</v>
      </c>
      <c r="E23" s="278"/>
      <c r="F23" s="278"/>
      <c r="G23" s="73" t="s">
        <v>268</v>
      </c>
      <c r="H23" s="74" t="s">
        <v>269</v>
      </c>
      <c r="I23" s="73" t="s">
        <v>290</v>
      </c>
      <c r="J23" s="75">
        <v>30</v>
      </c>
      <c r="K23" s="75">
        <v>5</v>
      </c>
      <c r="L23" s="76">
        <f t="shared" ref="L23:L24" si="16">9.06*1160000*55.97%/15*12+2</f>
        <v>4705780.4959999993</v>
      </c>
      <c r="M23" s="76">
        <f t="shared" ref="M23:M24" si="17">+X$9*55.97%/15*12</f>
        <v>145.51752240000002</v>
      </c>
      <c r="N23" s="76">
        <f>+(L23+M23)*8%</f>
        <v>376474.08108179196</v>
      </c>
      <c r="O23" s="76">
        <f t="shared" si="0"/>
        <v>25412000</v>
      </c>
      <c r="P23" s="76">
        <f t="shared" si="1"/>
        <v>5082400</v>
      </c>
      <c r="Q23" s="77">
        <v>0</v>
      </c>
      <c r="R23" s="76">
        <v>0</v>
      </c>
      <c r="S23" s="76">
        <f t="shared" si="4"/>
        <v>25412000</v>
      </c>
      <c r="T23" s="76">
        <f t="shared" si="8"/>
        <v>790951284</v>
      </c>
      <c r="U23" s="78"/>
      <c r="V23" s="79"/>
      <c r="W23" s="79"/>
      <c r="X23" s="80"/>
      <c r="Y23" s="80"/>
      <c r="Z23" s="81">
        <v>29483347.424130812</v>
      </c>
      <c r="AA23" s="82">
        <f t="shared" si="5"/>
        <v>4071347.4241308123</v>
      </c>
      <c r="AB23" s="83"/>
      <c r="AC23" s="80"/>
      <c r="AD23" s="80"/>
      <c r="AE23" s="80"/>
      <c r="AF23" s="84"/>
      <c r="AG23" s="85"/>
      <c r="AH23" s="79"/>
      <c r="AI23" s="86">
        <f t="shared" si="10"/>
        <v>790951284</v>
      </c>
      <c r="AJ23" s="87"/>
      <c r="AK23" s="87"/>
      <c r="AL23" s="87"/>
      <c r="AM23" s="87"/>
      <c r="AN23" s="87"/>
      <c r="AO23" s="87"/>
    </row>
    <row r="24" spans="2:41" ht="15.75" customHeight="1" x14ac:dyDescent="0.25">
      <c r="B24" s="278"/>
      <c r="C24" s="278"/>
      <c r="D24" s="73" t="s">
        <v>140</v>
      </c>
      <c r="E24" s="278"/>
      <c r="F24" s="278"/>
      <c r="G24" s="73" t="s">
        <v>268</v>
      </c>
      <c r="H24" s="74" t="s">
        <v>277</v>
      </c>
      <c r="I24" s="73" t="s">
        <v>291</v>
      </c>
      <c r="J24" s="75">
        <v>30</v>
      </c>
      <c r="K24" s="75">
        <v>1</v>
      </c>
      <c r="L24" s="76">
        <f t="shared" si="16"/>
        <v>4705780.4959999993</v>
      </c>
      <c r="M24" s="76">
        <f t="shared" si="17"/>
        <v>145.51752240000002</v>
      </c>
      <c r="N24" s="76">
        <f>+(L24+M24)*11%</f>
        <v>517651.86148746393</v>
      </c>
      <c r="O24" s="76">
        <f t="shared" si="0"/>
        <v>5223578</v>
      </c>
      <c r="P24" s="76">
        <f t="shared" si="1"/>
        <v>5223578</v>
      </c>
      <c r="Q24" s="77">
        <v>0</v>
      </c>
      <c r="R24" s="76">
        <v>0</v>
      </c>
      <c r="S24" s="76">
        <f t="shared" si="4"/>
        <v>5223578</v>
      </c>
      <c r="T24" s="76">
        <f t="shared" si="8"/>
        <v>796174862</v>
      </c>
      <c r="U24" s="78"/>
      <c r="V24" s="79"/>
      <c r="W24" s="79"/>
      <c r="X24" s="80"/>
      <c r="Y24" s="80"/>
      <c r="Z24" s="81">
        <v>144603946.95463517</v>
      </c>
      <c r="AA24" s="82">
        <f t="shared" si="5"/>
        <v>139380368.95463517</v>
      </c>
      <c r="AB24" s="83"/>
      <c r="AC24" s="80"/>
      <c r="AD24" s="80"/>
      <c r="AE24" s="80"/>
      <c r="AF24" s="84"/>
      <c r="AG24" s="85"/>
      <c r="AH24" s="79"/>
      <c r="AI24" s="86">
        <f t="shared" si="10"/>
        <v>796174862</v>
      </c>
      <c r="AJ24" s="87"/>
      <c r="AK24" s="87"/>
      <c r="AL24" s="87"/>
      <c r="AM24" s="86">
        <f>S22+S23+S24+S25+S72+S73</f>
        <v>250700063</v>
      </c>
      <c r="AN24" s="87"/>
      <c r="AO24" s="87"/>
    </row>
    <row r="25" spans="2:41" ht="15.75" customHeight="1" x14ac:dyDescent="0.25">
      <c r="B25" s="278"/>
      <c r="C25" s="278"/>
      <c r="D25" s="73" t="s">
        <v>140</v>
      </c>
      <c r="E25" s="276"/>
      <c r="F25" s="276"/>
      <c r="G25" s="73" t="s">
        <v>272</v>
      </c>
      <c r="H25" s="74" t="s">
        <v>269</v>
      </c>
      <c r="I25" s="73" t="s">
        <v>101</v>
      </c>
      <c r="J25" s="75">
        <v>30</v>
      </c>
      <c r="K25" s="75">
        <v>2</v>
      </c>
      <c r="L25" s="76">
        <f t="shared" ref="L25:L26" si="18">9.06*1160000+2</f>
        <v>10509602</v>
      </c>
      <c r="M25" s="76">
        <f t="shared" ref="M25:M26" si="19">+X$9</f>
        <v>324.99</v>
      </c>
      <c r="N25" s="76">
        <f>+(L25+M25)*8%</f>
        <v>840794.15919999999</v>
      </c>
      <c r="O25" s="76">
        <f t="shared" si="0"/>
        <v>22701442</v>
      </c>
      <c r="P25" s="76">
        <f t="shared" si="1"/>
        <v>11350721</v>
      </c>
      <c r="Q25" s="77">
        <v>0</v>
      </c>
      <c r="R25" s="76">
        <v>0</v>
      </c>
      <c r="S25" s="76">
        <f t="shared" si="4"/>
        <v>22701442</v>
      </c>
      <c r="T25" s="76">
        <f t="shared" si="8"/>
        <v>818876304</v>
      </c>
      <c r="U25" s="78"/>
      <c r="V25" s="79"/>
      <c r="W25" s="79"/>
      <c r="X25" s="80"/>
      <c r="Y25" s="80"/>
      <c r="Z25" s="81">
        <v>21284305.241102733</v>
      </c>
      <c r="AA25" s="82">
        <f t="shared" si="5"/>
        <v>-1417136.7588972673</v>
      </c>
      <c r="AB25" s="83"/>
      <c r="AC25" s="80"/>
      <c r="AD25" s="80"/>
      <c r="AE25" s="80"/>
      <c r="AF25" s="84"/>
      <c r="AG25" s="85"/>
      <c r="AH25" s="79"/>
      <c r="AI25" s="86">
        <f t="shared" si="10"/>
        <v>818876304</v>
      </c>
      <c r="AJ25" s="87"/>
      <c r="AK25" s="87"/>
      <c r="AL25" s="87"/>
      <c r="AM25" s="87"/>
      <c r="AN25" s="88"/>
      <c r="AO25" s="87"/>
    </row>
    <row r="26" spans="2:41" ht="15.75" customHeight="1" x14ac:dyDescent="0.25">
      <c r="B26" s="278"/>
      <c r="C26" s="278"/>
      <c r="D26" s="44" t="s">
        <v>292</v>
      </c>
      <c r="E26" s="277" t="s">
        <v>293</v>
      </c>
      <c r="F26" s="277" t="s">
        <v>294</v>
      </c>
      <c r="G26" s="44" t="s">
        <v>272</v>
      </c>
      <c r="H26" s="45" t="s">
        <v>271</v>
      </c>
      <c r="I26" s="44" t="s">
        <v>104</v>
      </c>
      <c r="J26" s="46">
        <v>30</v>
      </c>
      <c r="K26" s="46">
        <v>13</v>
      </c>
      <c r="L26" s="47">
        <f t="shared" si="18"/>
        <v>10509602</v>
      </c>
      <c r="M26" s="47">
        <f t="shared" si="19"/>
        <v>324.99</v>
      </c>
      <c r="N26" s="47">
        <f>+(L26+M26)*10%</f>
        <v>1050992.699</v>
      </c>
      <c r="O26" s="47">
        <f t="shared" si="0"/>
        <v>150291960</v>
      </c>
      <c r="P26" s="47">
        <f t="shared" si="1"/>
        <v>11560920</v>
      </c>
      <c r="Q26" s="48">
        <f t="shared" ref="Q26:Q71" si="20">+O26*10%</f>
        <v>15029196</v>
      </c>
      <c r="R26" s="47">
        <f t="shared" ref="R26:R71" si="21">+Q26*19%</f>
        <v>2855547.24</v>
      </c>
      <c r="S26" s="47">
        <f t="shared" si="4"/>
        <v>153147507</v>
      </c>
      <c r="T26" s="47">
        <f t="shared" si="8"/>
        <v>972023811</v>
      </c>
      <c r="U26" s="49"/>
      <c r="V26" s="50"/>
      <c r="W26" s="50"/>
      <c r="X26" s="52"/>
      <c r="Y26" s="52"/>
      <c r="Z26" s="53">
        <v>4375107.1884488938</v>
      </c>
      <c r="AA26" s="54">
        <f t="shared" si="5"/>
        <v>-148772399.81155109</v>
      </c>
      <c r="AB26" s="55"/>
      <c r="AC26" s="52"/>
      <c r="AD26" s="52"/>
      <c r="AE26" s="52"/>
      <c r="AF26" s="56"/>
      <c r="AG26" s="57"/>
      <c r="AH26" s="50"/>
      <c r="AI26" s="58">
        <f t="shared" si="10"/>
        <v>972023811</v>
      </c>
      <c r="AJ26" s="59"/>
      <c r="AK26" s="59"/>
      <c r="AL26" s="59"/>
      <c r="AM26" s="59"/>
      <c r="AN26" s="59"/>
      <c r="AO26" s="59"/>
    </row>
    <row r="27" spans="2:41" ht="15.75" customHeight="1" x14ac:dyDescent="0.25">
      <c r="B27" s="278"/>
      <c r="C27" s="278"/>
      <c r="D27" s="44" t="s">
        <v>292</v>
      </c>
      <c r="E27" s="278"/>
      <c r="F27" s="278"/>
      <c r="G27" s="44" t="s">
        <v>283</v>
      </c>
      <c r="H27" s="45" t="s">
        <v>269</v>
      </c>
      <c r="I27" s="44" t="s">
        <v>295</v>
      </c>
      <c r="J27" s="46">
        <v>30</v>
      </c>
      <c r="K27" s="46">
        <v>7</v>
      </c>
      <c r="L27" s="47">
        <f>(9.06*1160000*55.97%)+(9.06*1160000*44.03%/9*1)+2</f>
        <v>6396378.1066666665</v>
      </c>
      <c r="M27" s="47">
        <f>+(X$9*55.97%)+(X9*44.03%/9)</f>
        <v>197.79613600000002</v>
      </c>
      <c r="N27" s="47">
        <f>+(L27+M27)*8%</f>
        <v>511726.07222421333</v>
      </c>
      <c r="O27" s="47">
        <f t="shared" si="0"/>
        <v>48358114</v>
      </c>
      <c r="P27" s="47">
        <f t="shared" si="1"/>
        <v>6908302</v>
      </c>
      <c r="Q27" s="48">
        <f t="shared" si="20"/>
        <v>4835811.4000000004</v>
      </c>
      <c r="R27" s="47">
        <f t="shared" si="21"/>
        <v>918804.16600000008</v>
      </c>
      <c r="S27" s="47">
        <f t="shared" si="4"/>
        <v>49276918</v>
      </c>
      <c r="T27" s="47">
        <f t="shared" si="8"/>
        <v>1021300729</v>
      </c>
      <c r="U27" s="49"/>
      <c r="V27" s="50"/>
      <c r="W27" s="50"/>
      <c r="X27" s="52"/>
      <c r="Y27" s="52"/>
      <c r="Z27" s="53">
        <v>19367040.037398506</v>
      </c>
      <c r="AA27" s="54">
        <f t="shared" si="5"/>
        <v>-29909877.962601494</v>
      </c>
      <c r="AB27" s="55"/>
      <c r="AC27" s="52"/>
      <c r="AD27" s="52"/>
      <c r="AE27" s="52"/>
      <c r="AF27" s="56"/>
      <c r="AG27" s="57"/>
      <c r="AH27" s="50"/>
      <c r="AI27" s="58">
        <f t="shared" si="10"/>
        <v>1021300729</v>
      </c>
      <c r="AJ27" s="59"/>
      <c r="AK27" s="59"/>
      <c r="AL27" s="59"/>
      <c r="AM27" s="59"/>
      <c r="AN27" s="59"/>
      <c r="AO27" s="59"/>
    </row>
    <row r="28" spans="2:41" ht="15.75" customHeight="1" x14ac:dyDescent="0.25">
      <c r="B28" s="278"/>
      <c r="C28" s="278"/>
      <c r="D28" s="44" t="s">
        <v>292</v>
      </c>
      <c r="E28" s="276"/>
      <c r="F28" s="276"/>
      <c r="G28" s="44" t="s">
        <v>268</v>
      </c>
      <c r="H28" s="45" t="s">
        <v>277</v>
      </c>
      <c r="I28" s="44" t="s">
        <v>25</v>
      </c>
      <c r="J28" s="46">
        <v>30</v>
      </c>
      <c r="K28" s="46">
        <v>1</v>
      </c>
      <c r="L28" s="47">
        <f>9.06*1160000*55.97%/15*12+2</f>
        <v>4705780.4959999993</v>
      </c>
      <c r="M28" s="47">
        <f>+X$9*55.97%/15*12</f>
        <v>145.51752240000002</v>
      </c>
      <c r="N28" s="47">
        <f>+(L28+M28)*11%</f>
        <v>517651.86148746393</v>
      </c>
      <c r="O28" s="47">
        <f t="shared" si="0"/>
        <v>5223578</v>
      </c>
      <c r="P28" s="47">
        <f t="shared" si="1"/>
        <v>5223578</v>
      </c>
      <c r="Q28" s="48">
        <f t="shared" si="20"/>
        <v>522357.80000000005</v>
      </c>
      <c r="R28" s="47">
        <f t="shared" si="21"/>
        <v>99247.982000000004</v>
      </c>
      <c r="S28" s="47">
        <f t="shared" si="4"/>
        <v>5322826</v>
      </c>
      <c r="T28" s="47">
        <f t="shared" si="8"/>
        <v>1026623555</v>
      </c>
      <c r="U28" s="49"/>
      <c r="V28" s="50"/>
      <c r="W28" s="50"/>
      <c r="X28" s="52"/>
      <c r="Y28" s="52"/>
      <c r="Z28" s="53">
        <v>128277589.68770899</v>
      </c>
      <c r="AA28" s="54">
        <f t="shared" si="5"/>
        <v>122954763.68770899</v>
      </c>
      <c r="AB28" s="55"/>
      <c r="AC28" s="52"/>
      <c r="AD28" s="52"/>
      <c r="AE28" s="52"/>
      <c r="AF28" s="56"/>
      <c r="AG28" s="57"/>
      <c r="AH28" s="50"/>
      <c r="AI28" s="58">
        <f t="shared" si="10"/>
        <v>1026623555</v>
      </c>
      <c r="AJ28" s="59"/>
      <c r="AK28" s="59"/>
      <c r="AL28" s="59"/>
      <c r="AM28" s="59"/>
      <c r="AN28" s="59"/>
      <c r="AO28" s="59"/>
    </row>
    <row r="29" spans="2:41" ht="15.75" customHeight="1" x14ac:dyDescent="0.25">
      <c r="B29" s="278"/>
      <c r="C29" s="278"/>
      <c r="D29" s="44" t="s">
        <v>292</v>
      </c>
      <c r="E29" s="277" t="s">
        <v>296</v>
      </c>
      <c r="F29" s="277" t="s">
        <v>297</v>
      </c>
      <c r="G29" s="44" t="s">
        <v>272</v>
      </c>
      <c r="H29" s="45" t="s">
        <v>271</v>
      </c>
      <c r="I29" s="44" t="s">
        <v>111</v>
      </c>
      <c r="J29" s="46">
        <v>30</v>
      </c>
      <c r="K29" s="46">
        <v>3</v>
      </c>
      <c r="L29" s="47">
        <f>9.06*1160000+2</f>
        <v>10509602</v>
      </c>
      <c r="M29" s="47">
        <f>+X$9</f>
        <v>324.99</v>
      </c>
      <c r="N29" s="47">
        <f>+(L29+M29)*10%</f>
        <v>1050992.699</v>
      </c>
      <c r="O29" s="47">
        <f t="shared" si="0"/>
        <v>34682760</v>
      </c>
      <c r="P29" s="47">
        <f t="shared" si="1"/>
        <v>11560920</v>
      </c>
      <c r="Q29" s="48">
        <f t="shared" si="20"/>
        <v>3468276</v>
      </c>
      <c r="R29" s="47">
        <f t="shared" si="21"/>
        <v>658972.44000000006</v>
      </c>
      <c r="S29" s="47">
        <f t="shared" si="4"/>
        <v>35341732</v>
      </c>
      <c r="T29" s="47">
        <f t="shared" si="8"/>
        <v>1061965287</v>
      </c>
      <c r="U29" s="49"/>
      <c r="V29" s="50"/>
      <c r="W29" s="50"/>
      <c r="X29" s="52"/>
      <c r="Y29" s="52"/>
      <c r="Z29" s="53">
        <v>41276686.393783145</v>
      </c>
      <c r="AA29" s="54">
        <f t="shared" si="5"/>
        <v>5934954.3937831447</v>
      </c>
      <c r="AB29" s="55"/>
      <c r="AC29" s="52"/>
      <c r="AD29" s="52"/>
      <c r="AE29" s="52"/>
      <c r="AF29" s="56"/>
      <c r="AG29" s="57"/>
      <c r="AH29" s="50"/>
      <c r="AI29" s="58">
        <f t="shared" si="10"/>
        <v>1061965287</v>
      </c>
      <c r="AJ29" s="59"/>
      <c r="AK29" s="59"/>
      <c r="AL29" s="59"/>
      <c r="AM29" s="59"/>
      <c r="AN29" s="59"/>
      <c r="AO29" s="59"/>
    </row>
    <row r="30" spans="2:41" ht="15.75" customHeight="1" x14ac:dyDescent="0.25">
      <c r="B30" s="278"/>
      <c r="C30" s="278"/>
      <c r="D30" s="44" t="s">
        <v>292</v>
      </c>
      <c r="E30" s="276"/>
      <c r="F30" s="276"/>
      <c r="G30" s="44" t="s">
        <v>268</v>
      </c>
      <c r="H30" s="45" t="s">
        <v>269</v>
      </c>
      <c r="I30" s="44" t="s">
        <v>112</v>
      </c>
      <c r="J30" s="46">
        <v>30</v>
      </c>
      <c r="K30" s="46">
        <v>5</v>
      </c>
      <c r="L30" s="47">
        <f>9.06*1160000*55.97%/15*12+2</f>
        <v>4705780.4959999993</v>
      </c>
      <c r="M30" s="47">
        <f>+(X$9*55.97%/15*12)</f>
        <v>145.51752240000002</v>
      </c>
      <c r="N30" s="47">
        <f t="shared" ref="N30:N37" si="22">+(L30+M30)*8%</f>
        <v>376474.08108179196</v>
      </c>
      <c r="O30" s="47">
        <f t="shared" si="0"/>
        <v>25412000</v>
      </c>
      <c r="P30" s="47">
        <f t="shared" si="1"/>
        <v>5082400</v>
      </c>
      <c r="Q30" s="48">
        <f t="shared" si="20"/>
        <v>2541200</v>
      </c>
      <c r="R30" s="47">
        <f t="shared" si="21"/>
        <v>482828</v>
      </c>
      <c r="S30" s="47">
        <f t="shared" si="4"/>
        <v>25894828</v>
      </c>
      <c r="T30" s="47">
        <f t="shared" si="8"/>
        <v>1087860115</v>
      </c>
      <c r="U30" s="49"/>
      <c r="V30" s="50"/>
      <c r="W30" s="50"/>
      <c r="X30" s="52"/>
      <c r="Y30" s="52"/>
      <c r="Z30" s="53">
        <v>4458234.2250294229</v>
      </c>
      <c r="AA30" s="54">
        <f t="shared" si="5"/>
        <v>-21436593.774970576</v>
      </c>
      <c r="AB30" s="55"/>
      <c r="AC30" s="52"/>
      <c r="AD30" s="52"/>
      <c r="AE30" s="52"/>
      <c r="AF30" s="56"/>
      <c r="AG30" s="57"/>
      <c r="AH30" s="50"/>
      <c r="AI30" s="58">
        <f t="shared" si="10"/>
        <v>1087860115</v>
      </c>
      <c r="AJ30" s="59"/>
      <c r="AK30" s="59"/>
      <c r="AL30" s="59"/>
      <c r="AM30" s="59"/>
      <c r="AN30" s="59"/>
      <c r="AO30" s="59"/>
    </row>
    <row r="31" spans="2:41" ht="15.75" customHeight="1" x14ac:dyDescent="0.25">
      <c r="B31" s="278"/>
      <c r="C31" s="278"/>
      <c r="D31" s="44" t="s">
        <v>278</v>
      </c>
      <c r="E31" s="44" t="s">
        <v>298</v>
      </c>
      <c r="F31" s="44" t="s">
        <v>299</v>
      </c>
      <c r="G31" s="44" t="s">
        <v>272</v>
      </c>
      <c r="H31" s="45" t="s">
        <v>269</v>
      </c>
      <c r="I31" s="44" t="s">
        <v>115</v>
      </c>
      <c r="J31" s="46">
        <v>30</v>
      </c>
      <c r="K31" s="46">
        <v>3</v>
      </c>
      <c r="L31" s="47">
        <f>9.06*1160000+2</f>
        <v>10509602</v>
      </c>
      <c r="M31" s="47">
        <f>+X$9</f>
        <v>324.99</v>
      </c>
      <c r="N31" s="47">
        <f t="shared" si="22"/>
        <v>840794.15919999999</v>
      </c>
      <c r="O31" s="47">
        <f t="shared" si="0"/>
        <v>34052163</v>
      </c>
      <c r="P31" s="47">
        <f t="shared" si="1"/>
        <v>11350721</v>
      </c>
      <c r="Q31" s="48">
        <f t="shared" si="20"/>
        <v>3405216.3000000003</v>
      </c>
      <c r="R31" s="47">
        <f t="shared" si="21"/>
        <v>646991.09700000007</v>
      </c>
      <c r="S31" s="47">
        <f t="shared" si="4"/>
        <v>34699154</v>
      </c>
      <c r="T31" s="47">
        <f t="shared" si="8"/>
        <v>1122559269</v>
      </c>
      <c r="U31" s="49"/>
      <c r="V31" s="50"/>
      <c r="W31" s="50"/>
      <c r="X31" s="52"/>
      <c r="Y31" s="52"/>
      <c r="Z31" s="53">
        <v>29602520.697163612</v>
      </c>
      <c r="AA31" s="54">
        <f t="shared" si="5"/>
        <v>-5096633.3028363883</v>
      </c>
      <c r="AB31" s="55"/>
      <c r="AC31" s="52"/>
      <c r="AD31" s="52"/>
      <c r="AE31" s="52"/>
      <c r="AF31" s="56"/>
      <c r="AG31" s="57"/>
      <c r="AH31" s="50"/>
      <c r="AI31" s="58">
        <f t="shared" si="10"/>
        <v>1122559269</v>
      </c>
      <c r="AJ31" s="59"/>
      <c r="AK31" s="59"/>
      <c r="AL31" s="59"/>
      <c r="AM31" s="59"/>
      <c r="AN31" s="59"/>
      <c r="AO31" s="59"/>
    </row>
    <row r="32" spans="2:41" ht="15.75" customHeight="1" x14ac:dyDescent="0.25">
      <c r="B32" s="278"/>
      <c r="C32" s="278"/>
      <c r="D32" s="44" t="s">
        <v>300</v>
      </c>
      <c r="E32" s="277" t="s">
        <v>301</v>
      </c>
      <c r="F32" s="277" t="s">
        <v>302</v>
      </c>
      <c r="G32" s="44" t="s">
        <v>268</v>
      </c>
      <c r="H32" s="45" t="s">
        <v>269</v>
      </c>
      <c r="I32" s="44" t="s">
        <v>118</v>
      </c>
      <c r="J32" s="46">
        <v>30</v>
      </c>
      <c r="K32" s="46">
        <v>6</v>
      </c>
      <c r="L32" s="47">
        <f>9.06*1160000*55.97%/15*12+2</f>
        <v>4705780.4959999993</v>
      </c>
      <c r="M32" s="47">
        <f>+X$9*55.97%/15*12</f>
        <v>145.51752240000002</v>
      </c>
      <c r="N32" s="47">
        <f t="shared" si="22"/>
        <v>376474.08108179196</v>
      </c>
      <c r="O32" s="47">
        <f t="shared" si="0"/>
        <v>30494400</v>
      </c>
      <c r="P32" s="47">
        <f t="shared" si="1"/>
        <v>5082400</v>
      </c>
      <c r="Q32" s="48">
        <f t="shared" si="20"/>
        <v>3049440</v>
      </c>
      <c r="R32" s="47">
        <f t="shared" si="21"/>
        <v>579393.6</v>
      </c>
      <c r="S32" s="47">
        <f t="shared" si="4"/>
        <v>31073794</v>
      </c>
      <c r="T32" s="47">
        <f t="shared" si="8"/>
        <v>1153633063</v>
      </c>
      <c r="U32" s="49"/>
      <c r="V32" s="50"/>
      <c r="W32" s="50"/>
      <c r="X32" s="52"/>
      <c r="Y32" s="52"/>
      <c r="Z32" s="53">
        <v>17350965.63254695</v>
      </c>
      <c r="AA32" s="54">
        <f t="shared" si="5"/>
        <v>-13722828.36745305</v>
      </c>
      <c r="AB32" s="55"/>
      <c r="AC32" s="52"/>
      <c r="AD32" s="52"/>
      <c r="AE32" s="52"/>
      <c r="AF32" s="56"/>
      <c r="AG32" s="57"/>
      <c r="AH32" s="50"/>
      <c r="AI32" s="58">
        <f t="shared" si="10"/>
        <v>1153633063</v>
      </c>
      <c r="AJ32" s="59"/>
      <c r="AK32" s="59"/>
      <c r="AL32" s="59"/>
      <c r="AM32" s="59"/>
      <c r="AN32" s="59"/>
      <c r="AO32" s="59"/>
    </row>
    <row r="33" spans="2:39" ht="15.75" customHeight="1" x14ac:dyDescent="0.25">
      <c r="B33" s="278"/>
      <c r="C33" s="278"/>
      <c r="D33" s="44" t="s">
        <v>300</v>
      </c>
      <c r="E33" s="278"/>
      <c r="F33" s="278"/>
      <c r="G33" s="44" t="s">
        <v>272</v>
      </c>
      <c r="H33" s="45" t="s">
        <v>269</v>
      </c>
      <c r="I33" s="44" t="s">
        <v>121</v>
      </c>
      <c r="J33" s="46">
        <v>30</v>
      </c>
      <c r="K33" s="46">
        <f>8-1-1</f>
        <v>6</v>
      </c>
      <c r="L33" s="47">
        <f t="shared" ref="L33:L35" si="23">9.06*1160000+2</f>
        <v>10509602</v>
      </c>
      <c r="M33" s="47">
        <f t="shared" ref="M33:M35" si="24">+X$9</f>
        <v>324.99</v>
      </c>
      <c r="N33" s="47">
        <f t="shared" si="22"/>
        <v>840794.15919999999</v>
      </c>
      <c r="O33" s="47">
        <f t="shared" si="0"/>
        <v>68104326</v>
      </c>
      <c r="P33" s="47">
        <f t="shared" si="1"/>
        <v>11350721</v>
      </c>
      <c r="Q33" s="48">
        <f t="shared" si="20"/>
        <v>6810432.6000000006</v>
      </c>
      <c r="R33" s="47">
        <f t="shared" si="21"/>
        <v>1293982.1940000001</v>
      </c>
      <c r="S33" s="47">
        <f t="shared" si="4"/>
        <v>69398308</v>
      </c>
      <c r="T33" s="47">
        <f t="shared" si="8"/>
        <v>1223031371</v>
      </c>
      <c r="U33" s="49"/>
      <c r="V33" s="50"/>
      <c r="W33" s="50"/>
      <c r="X33" s="52"/>
      <c r="Y33" s="52"/>
      <c r="Z33" s="53">
        <v>4337741.4081367375</v>
      </c>
      <c r="AA33" s="54">
        <f t="shared" si="5"/>
        <v>-65060566.59186326</v>
      </c>
      <c r="AB33" s="55"/>
      <c r="AC33" s="52"/>
      <c r="AD33" s="52"/>
      <c r="AE33" s="52"/>
      <c r="AF33" s="56"/>
      <c r="AG33" s="57"/>
      <c r="AH33" s="50"/>
      <c r="AI33" s="58">
        <f t="shared" si="10"/>
        <v>1223031371</v>
      </c>
      <c r="AJ33" s="59"/>
      <c r="AK33" s="59"/>
      <c r="AL33" s="59"/>
      <c r="AM33" s="59"/>
    </row>
    <row r="34" spans="2:39" ht="15.75" customHeight="1" x14ac:dyDescent="0.25">
      <c r="B34" s="278"/>
      <c r="C34" s="278"/>
      <c r="D34" s="44" t="s">
        <v>300</v>
      </c>
      <c r="E34" s="276"/>
      <c r="F34" s="276"/>
      <c r="G34" s="44" t="s">
        <v>272</v>
      </c>
      <c r="H34" s="45" t="s">
        <v>269</v>
      </c>
      <c r="I34" s="44" t="s">
        <v>121</v>
      </c>
      <c r="J34" s="46">
        <v>30</v>
      </c>
      <c r="K34" s="46">
        <v>1</v>
      </c>
      <c r="L34" s="47">
        <f t="shared" si="23"/>
        <v>10509602</v>
      </c>
      <c r="M34" s="47">
        <f t="shared" si="24"/>
        <v>324.99</v>
      </c>
      <c r="N34" s="47">
        <f t="shared" si="22"/>
        <v>840794.15919999999</v>
      </c>
      <c r="O34" s="47">
        <f t="shared" si="0"/>
        <v>11350721</v>
      </c>
      <c r="P34" s="47">
        <f t="shared" si="1"/>
        <v>11350721</v>
      </c>
      <c r="Q34" s="48">
        <f t="shared" si="20"/>
        <v>1135072.1000000001</v>
      </c>
      <c r="R34" s="47">
        <f t="shared" si="21"/>
        <v>215663.69900000002</v>
      </c>
      <c r="S34" s="47">
        <f t="shared" si="4"/>
        <v>11566385</v>
      </c>
      <c r="T34" s="47">
        <f t="shared" si="8"/>
        <v>1234597756</v>
      </c>
      <c r="U34" s="49"/>
      <c r="V34" s="50"/>
      <c r="W34" s="50"/>
      <c r="X34" s="52"/>
      <c r="Y34" s="52"/>
      <c r="Z34" s="53">
        <v>29064293.048124272</v>
      </c>
      <c r="AA34" s="54">
        <f t="shared" si="5"/>
        <v>17497908.048124272</v>
      </c>
      <c r="AB34" s="55"/>
      <c r="AC34" s="52"/>
      <c r="AD34" s="52"/>
      <c r="AE34" s="52"/>
      <c r="AF34" s="56"/>
      <c r="AG34" s="57"/>
      <c r="AH34" s="50"/>
      <c r="AI34" s="58">
        <f t="shared" si="10"/>
        <v>1234597756</v>
      </c>
      <c r="AJ34" s="59"/>
      <c r="AK34" s="59"/>
      <c r="AL34" s="59"/>
      <c r="AM34" s="59"/>
    </row>
    <row r="35" spans="2:39" ht="24" customHeight="1" x14ac:dyDescent="0.25">
      <c r="B35" s="278"/>
      <c r="C35" s="278"/>
      <c r="D35" s="44" t="s">
        <v>279</v>
      </c>
      <c r="E35" s="277" t="s">
        <v>303</v>
      </c>
      <c r="F35" s="277" t="s">
        <v>304</v>
      </c>
      <c r="G35" s="44" t="s">
        <v>272</v>
      </c>
      <c r="H35" s="45" t="s">
        <v>269</v>
      </c>
      <c r="I35" s="44" t="s">
        <v>47</v>
      </c>
      <c r="J35" s="46">
        <v>30</v>
      </c>
      <c r="K35" s="46">
        <f>5-2</f>
        <v>3</v>
      </c>
      <c r="L35" s="47">
        <f t="shared" si="23"/>
        <v>10509602</v>
      </c>
      <c r="M35" s="47">
        <f t="shared" si="24"/>
        <v>324.99</v>
      </c>
      <c r="N35" s="47">
        <f t="shared" si="22"/>
        <v>840794.15919999999</v>
      </c>
      <c r="O35" s="47">
        <f t="shared" si="0"/>
        <v>34052163</v>
      </c>
      <c r="P35" s="47">
        <f t="shared" si="1"/>
        <v>11350721</v>
      </c>
      <c r="Q35" s="48">
        <f t="shared" si="20"/>
        <v>3405216.3000000003</v>
      </c>
      <c r="R35" s="47">
        <f t="shared" si="21"/>
        <v>646991.09700000007</v>
      </c>
      <c r="S35" s="47">
        <f t="shared" si="4"/>
        <v>34699154</v>
      </c>
      <c r="T35" s="47">
        <f t="shared" si="8"/>
        <v>1269296910</v>
      </c>
      <c r="U35" s="49"/>
      <c r="V35" s="50"/>
      <c r="W35" s="50"/>
      <c r="X35" s="52"/>
      <c r="Y35" s="52"/>
      <c r="Z35" s="53">
        <v>26026448.448820423</v>
      </c>
      <c r="AA35" s="54">
        <f t="shared" si="5"/>
        <v>-8672705.5511795767</v>
      </c>
      <c r="AB35" s="55"/>
      <c r="AC35" s="52"/>
      <c r="AD35" s="52"/>
      <c r="AE35" s="52"/>
      <c r="AF35" s="56"/>
      <c r="AG35" s="57"/>
      <c r="AH35" s="50"/>
      <c r="AI35" s="58">
        <f t="shared" si="10"/>
        <v>1269296910</v>
      </c>
      <c r="AJ35" s="59"/>
      <c r="AK35" s="59"/>
      <c r="AL35" s="59"/>
      <c r="AM35" s="59"/>
    </row>
    <row r="36" spans="2:39" ht="15.75" customHeight="1" x14ac:dyDescent="0.25">
      <c r="B36" s="278"/>
      <c r="C36" s="278"/>
      <c r="D36" s="44" t="s">
        <v>279</v>
      </c>
      <c r="E36" s="278"/>
      <c r="F36" s="278"/>
      <c r="G36" s="44" t="s">
        <v>268</v>
      </c>
      <c r="H36" s="45" t="s">
        <v>269</v>
      </c>
      <c r="I36" s="44" t="s">
        <v>127</v>
      </c>
      <c r="J36" s="46">
        <v>30</v>
      </c>
      <c r="K36" s="46">
        <v>1</v>
      </c>
      <c r="L36" s="47">
        <f t="shared" ref="L36:L37" si="25">9.06*1160000*55.97%/15*12+2</f>
        <v>4705780.4959999993</v>
      </c>
      <c r="M36" s="47">
        <f t="shared" ref="M36:M37" si="26">+X$9*55.97%/15*12</f>
        <v>145.51752240000002</v>
      </c>
      <c r="N36" s="47">
        <f t="shared" si="22"/>
        <v>376474.08108179196</v>
      </c>
      <c r="O36" s="47">
        <f t="shared" si="0"/>
        <v>5082400</v>
      </c>
      <c r="P36" s="47">
        <f t="shared" si="1"/>
        <v>5082400</v>
      </c>
      <c r="Q36" s="48">
        <f t="shared" si="20"/>
        <v>508240</v>
      </c>
      <c r="R36" s="47">
        <f t="shared" si="21"/>
        <v>96565.6</v>
      </c>
      <c r="S36" s="47">
        <f t="shared" si="4"/>
        <v>5178966</v>
      </c>
      <c r="T36" s="47">
        <f t="shared" si="8"/>
        <v>1274475876</v>
      </c>
      <c r="U36" s="49"/>
      <c r="V36" s="50"/>
      <c r="W36" s="50"/>
      <c r="X36" s="52"/>
      <c r="Y36" s="52"/>
      <c r="Z36" s="53">
        <v>58128586.096248545</v>
      </c>
      <c r="AA36" s="54">
        <f t="shared" si="5"/>
        <v>52949620.096248545</v>
      </c>
      <c r="AB36" s="55"/>
      <c r="AC36" s="52"/>
      <c r="AD36" s="52"/>
      <c r="AE36" s="52"/>
      <c r="AF36" s="56"/>
      <c r="AG36" s="57"/>
      <c r="AH36" s="50"/>
      <c r="AI36" s="58">
        <f t="shared" si="10"/>
        <v>1274475876</v>
      </c>
      <c r="AJ36" s="59"/>
      <c r="AK36" s="59"/>
      <c r="AL36" s="59"/>
      <c r="AM36" s="59"/>
    </row>
    <row r="37" spans="2:39" ht="15.75" customHeight="1" x14ac:dyDescent="0.25">
      <c r="B37" s="278"/>
      <c r="C37" s="278"/>
      <c r="D37" s="44" t="s">
        <v>279</v>
      </c>
      <c r="E37" s="276"/>
      <c r="F37" s="276"/>
      <c r="G37" s="44" t="s">
        <v>268</v>
      </c>
      <c r="H37" s="45" t="s">
        <v>269</v>
      </c>
      <c r="I37" s="44" t="s">
        <v>127</v>
      </c>
      <c r="J37" s="46">
        <v>30</v>
      </c>
      <c r="K37" s="46">
        <v>1</v>
      </c>
      <c r="L37" s="47">
        <f t="shared" si="25"/>
        <v>4705780.4959999993</v>
      </c>
      <c r="M37" s="47">
        <f t="shared" si="26"/>
        <v>145.51752240000002</v>
      </c>
      <c r="N37" s="47">
        <f t="shared" si="22"/>
        <v>376474.08108179196</v>
      </c>
      <c r="O37" s="47">
        <f t="shared" si="0"/>
        <v>5082400</v>
      </c>
      <c r="P37" s="47">
        <f t="shared" si="1"/>
        <v>5082400</v>
      </c>
      <c r="Q37" s="48">
        <f t="shared" si="20"/>
        <v>508240</v>
      </c>
      <c r="R37" s="47">
        <f t="shared" si="21"/>
        <v>96565.6</v>
      </c>
      <c r="S37" s="47">
        <f t="shared" si="4"/>
        <v>5178966</v>
      </c>
      <c r="T37" s="47">
        <f t="shared" si="8"/>
        <v>1279654842</v>
      </c>
      <c r="U37" s="49"/>
      <c r="V37" s="50"/>
      <c r="W37" s="50"/>
      <c r="X37" s="52"/>
      <c r="Y37" s="52"/>
      <c r="Z37" s="53">
        <v>9688097.682708092</v>
      </c>
      <c r="AA37" s="54">
        <f t="shared" si="5"/>
        <v>4509131.682708092</v>
      </c>
      <c r="AB37" s="55"/>
      <c r="AC37" s="52"/>
      <c r="AD37" s="52"/>
      <c r="AE37" s="52"/>
      <c r="AF37" s="56"/>
      <c r="AG37" s="57"/>
      <c r="AH37" s="50"/>
      <c r="AI37" s="58">
        <f t="shared" si="10"/>
        <v>1279654842</v>
      </c>
      <c r="AJ37" s="59"/>
      <c r="AK37" s="59"/>
      <c r="AL37" s="59"/>
      <c r="AM37" s="59"/>
    </row>
    <row r="38" spans="2:39" ht="15.75" customHeight="1" x14ac:dyDescent="0.25">
      <c r="B38" s="278"/>
      <c r="C38" s="278"/>
      <c r="D38" s="277" t="s">
        <v>146</v>
      </c>
      <c r="E38" s="277" t="s">
        <v>170</v>
      </c>
      <c r="F38" s="277" t="s">
        <v>305</v>
      </c>
      <c r="G38" s="44" t="s">
        <v>272</v>
      </c>
      <c r="H38" s="45" t="s">
        <v>271</v>
      </c>
      <c r="I38" s="44" t="s">
        <v>306</v>
      </c>
      <c r="J38" s="46">
        <v>30</v>
      </c>
      <c r="K38" s="46">
        <v>3</v>
      </c>
      <c r="L38" s="47">
        <f>9.06*1160000+2</f>
        <v>10509602</v>
      </c>
      <c r="M38" s="47">
        <f>+X$9</f>
        <v>324.99</v>
      </c>
      <c r="N38" s="47">
        <f>+(L38+M38)*10%</f>
        <v>1050992.699</v>
      </c>
      <c r="O38" s="47">
        <f t="shared" si="0"/>
        <v>34682760</v>
      </c>
      <c r="P38" s="47">
        <f t="shared" si="1"/>
        <v>11560920</v>
      </c>
      <c r="Q38" s="48">
        <f t="shared" si="20"/>
        <v>3468276</v>
      </c>
      <c r="R38" s="47">
        <f t="shared" si="21"/>
        <v>658972.44000000006</v>
      </c>
      <c r="S38" s="47">
        <f t="shared" si="4"/>
        <v>35341732</v>
      </c>
      <c r="T38" s="47">
        <f t="shared" si="8"/>
        <v>1314996574</v>
      </c>
      <c r="U38" s="49"/>
      <c r="V38" s="50"/>
      <c r="W38" s="50"/>
      <c r="X38" s="52"/>
      <c r="Y38" s="52"/>
      <c r="Z38" s="53">
        <v>29064293.048124272</v>
      </c>
      <c r="AA38" s="54">
        <f t="shared" si="5"/>
        <v>-6277438.9518757276</v>
      </c>
      <c r="AB38" s="55"/>
      <c r="AC38" s="52"/>
      <c r="AD38" s="52"/>
      <c r="AE38" s="52"/>
      <c r="AF38" s="56"/>
      <c r="AG38" s="57"/>
      <c r="AH38" s="50"/>
      <c r="AI38" s="58">
        <f t="shared" si="10"/>
        <v>1314996574</v>
      </c>
      <c r="AJ38" s="59"/>
      <c r="AK38" s="59"/>
      <c r="AL38" s="59"/>
      <c r="AM38" s="59"/>
    </row>
    <row r="39" spans="2:39" ht="15.75" customHeight="1" x14ac:dyDescent="0.25">
      <c r="B39" s="278"/>
      <c r="C39" s="278"/>
      <c r="D39" s="276"/>
      <c r="E39" s="276"/>
      <c r="F39" s="276"/>
      <c r="G39" s="44" t="s">
        <v>268</v>
      </c>
      <c r="H39" s="45" t="s">
        <v>269</v>
      </c>
      <c r="I39" s="44" t="s">
        <v>307</v>
      </c>
      <c r="J39" s="46">
        <v>30</v>
      </c>
      <c r="K39" s="46">
        <v>4</v>
      </c>
      <c r="L39" s="47">
        <f>9.06*1160000*55.97%/15*12/30*26+2</f>
        <v>4078343.3631999996</v>
      </c>
      <c r="M39" s="47">
        <f>+X$9*55.97%/15*12/30*26</f>
        <v>126.11518608000003</v>
      </c>
      <c r="N39" s="47">
        <f>+(L39+M39)*8%</f>
        <v>326277.55827088637</v>
      </c>
      <c r="O39" s="47">
        <f t="shared" si="0"/>
        <v>17618988</v>
      </c>
      <c r="P39" s="47">
        <f t="shared" si="1"/>
        <v>4404747</v>
      </c>
      <c r="Q39" s="48">
        <f t="shared" si="20"/>
        <v>1761898.8</v>
      </c>
      <c r="R39" s="47">
        <f t="shared" si="21"/>
        <v>334760.772</v>
      </c>
      <c r="S39" s="47">
        <f t="shared" si="4"/>
        <v>17953749</v>
      </c>
      <c r="T39" s="47">
        <f t="shared" si="8"/>
        <v>1332950323</v>
      </c>
      <c r="U39" s="49"/>
      <c r="V39" s="50"/>
      <c r="W39" s="50"/>
      <c r="X39" s="52"/>
      <c r="Y39" s="52"/>
      <c r="Z39" s="53">
        <v>4337741.4081367375</v>
      </c>
      <c r="AA39" s="54">
        <f t="shared" si="5"/>
        <v>-13616007.591863263</v>
      </c>
      <c r="AB39" s="55"/>
      <c r="AC39" s="52"/>
      <c r="AD39" s="52"/>
      <c r="AE39" s="52"/>
      <c r="AF39" s="56"/>
      <c r="AG39" s="57"/>
      <c r="AH39" s="50"/>
      <c r="AI39" s="58">
        <f t="shared" si="10"/>
        <v>1332950323</v>
      </c>
      <c r="AJ39" s="59"/>
      <c r="AK39" s="59"/>
      <c r="AL39" s="59"/>
      <c r="AM39" s="59"/>
    </row>
    <row r="40" spans="2:39" ht="15.75" customHeight="1" x14ac:dyDescent="0.25">
      <c r="B40" s="278"/>
      <c r="C40" s="278"/>
      <c r="D40" s="44" t="s">
        <v>300</v>
      </c>
      <c r="E40" s="277" t="s">
        <v>308</v>
      </c>
      <c r="F40" s="280" t="s">
        <v>308</v>
      </c>
      <c r="G40" s="44" t="s">
        <v>272</v>
      </c>
      <c r="H40" s="45" t="s">
        <v>271</v>
      </c>
      <c r="I40" s="44" t="s">
        <v>134</v>
      </c>
      <c r="J40" s="46">
        <v>30</v>
      </c>
      <c r="K40" s="46">
        <v>2</v>
      </c>
      <c r="L40" s="47">
        <f>9.06*1160000+2</f>
        <v>10509602</v>
      </c>
      <c r="M40" s="47">
        <f>+X$9</f>
        <v>324.99</v>
      </c>
      <c r="N40" s="47">
        <f>+(L40+M40)*10%</f>
        <v>1050992.699</v>
      </c>
      <c r="O40" s="47">
        <f t="shared" si="0"/>
        <v>23121840</v>
      </c>
      <c r="P40" s="47">
        <f t="shared" si="1"/>
        <v>11560920</v>
      </c>
      <c r="Q40" s="48">
        <f t="shared" si="20"/>
        <v>2312184</v>
      </c>
      <c r="R40" s="47">
        <f t="shared" si="21"/>
        <v>439314.96</v>
      </c>
      <c r="S40" s="47">
        <f t="shared" si="4"/>
        <v>23561155</v>
      </c>
      <c r="T40" s="47">
        <f t="shared" si="8"/>
        <v>1356511478</v>
      </c>
      <c r="U40" s="49"/>
      <c r="V40" s="50"/>
      <c r="W40" s="50"/>
      <c r="X40" s="52"/>
      <c r="Y40" s="52"/>
      <c r="Z40" s="53">
        <v>4337741.4081367375</v>
      </c>
      <c r="AA40" s="54">
        <f t="shared" si="5"/>
        <v>-19223413.591863263</v>
      </c>
      <c r="AB40" s="55"/>
      <c r="AC40" s="52"/>
      <c r="AD40" s="52"/>
      <c r="AE40" s="52"/>
      <c r="AF40" s="56"/>
      <c r="AG40" s="57"/>
      <c r="AH40" s="50"/>
      <c r="AI40" s="58">
        <f t="shared" si="10"/>
        <v>1356511478</v>
      </c>
      <c r="AJ40" s="59"/>
      <c r="AK40" s="59"/>
      <c r="AL40" s="59"/>
      <c r="AM40" s="59"/>
    </row>
    <row r="41" spans="2:39" ht="15.75" customHeight="1" x14ac:dyDescent="0.25">
      <c r="B41" s="278"/>
      <c r="C41" s="278"/>
      <c r="D41" s="44" t="s">
        <v>300</v>
      </c>
      <c r="E41" s="276"/>
      <c r="F41" s="276"/>
      <c r="G41" s="44" t="s">
        <v>268</v>
      </c>
      <c r="H41" s="45" t="s">
        <v>269</v>
      </c>
      <c r="I41" s="44" t="s">
        <v>309</v>
      </c>
      <c r="J41" s="46">
        <v>30</v>
      </c>
      <c r="K41" s="46">
        <v>3</v>
      </c>
      <c r="L41" s="47">
        <f>9.06*1160000*55.97%/15*12+2</f>
        <v>4705780.4959999993</v>
      </c>
      <c r="M41" s="47">
        <f>+X$9*55.97%/15*12</f>
        <v>145.51752240000002</v>
      </c>
      <c r="N41" s="47">
        <f>+(L41+M41)*8%</f>
        <v>376474.08108179196</v>
      </c>
      <c r="O41" s="47">
        <f t="shared" si="0"/>
        <v>15247200</v>
      </c>
      <c r="P41" s="47">
        <f t="shared" si="1"/>
        <v>5082400</v>
      </c>
      <c r="Q41" s="48">
        <f t="shared" si="20"/>
        <v>1524720</v>
      </c>
      <c r="R41" s="47">
        <f t="shared" si="21"/>
        <v>289696.8</v>
      </c>
      <c r="S41" s="47">
        <f t="shared" si="4"/>
        <v>15536897</v>
      </c>
      <c r="T41" s="47">
        <f t="shared" si="8"/>
        <v>1372048375</v>
      </c>
      <c r="U41" s="49"/>
      <c r="V41" s="50"/>
      <c r="W41" s="50"/>
      <c r="X41" s="52"/>
      <c r="Y41" s="52"/>
      <c r="Z41" s="53">
        <v>29602520.697163612</v>
      </c>
      <c r="AA41" s="54">
        <f t="shared" si="5"/>
        <v>14065623.697163612</v>
      </c>
      <c r="AB41" s="55"/>
      <c r="AC41" s="52"/>
      <c r="AD41" s="52"/>
      <c r="AE41" s="52"/>
      <c r="AF41" s="56"/>
      <c r="AG41" s="57"/>
      <c r="AH41" s="50"/>
      <c r="AI41" s="58">
        <f t="shared" si="10"/>
        <v>1372048375</v>
      </c>
      <c r="AJ41" s="59"/>
      <c r="AK41" s="59"/>
      <c r="AL41" s="59"/>
      <c r="AM41" s="59"/>
    </row>
    <row r="42" spans="2:39" ht="15.75" customHeight="1" x14ac:dyDescent="0.25">
      <c r="B42" s="278"/>
      <c r="C42" s="276"/>
      <c r="D42" s="44" t="s">
        <v>146</v>
      </c>
      <c r="E42" s="44" t="s">
        <v>152</v>
      </c>
      <c r="F42" s="44" t="s">
        <v>310</v>
      </c>
      <c r="G42" s="44" t="s">
        <v>272</v>
      </c>
      <c r="H42" s="45" t="s">
        <v>271</v>
      </c>
      <c r="I42" s="44" t="s">
        <v>311</v>
      </c>
      <c r="J42" s="46">
        <v>30</v>
      </c>
      <c r="K42" s="46">
        <v>2</v>
      </c>
      <c r="L42" s="47">
        <f t="shared" ref="L42:L49" si="27">9.06*1160000+2</f>
        <v>10509602</v>
      </c>
      <c r="M42" s="47">
        <f t="shared" ref="M42:M49" si="28">+X$9</f>
        <v>324.99</v>
      </c>
      <c r="N42" s="47">
        <f t="shared" ref="N42:N47" si="29">+(L42+M42)*10%</f>
        <v>1050992.699</v>
      </c>
      <c r="O42" s="47">
        <f t="shared" si="0"/>
        <v>23121840</v>
      </c>
      <c r="P42" s="47">
        <f t="shared" si="1"/>
        <v>11560920</v>
      </c>
      <c r="Q42" s="48">
        <f t="shared" si="20"/>
        <v>2312184</v>
      </c>
      <c r="R42" s="47">
        <f t="shared" si="21"/>
        <v>439314.96</v>
      </c>
      <c r="S42" s="47">
        <f t="shared" si="4"/>
        <v>23561155</v>
      </c>
      <c r="T42" s="47">
        <f t="shared" si="8"/>
        <v>1395609530</v>
      </c>
      <c r="U42" s="49"/>
      <c r="V42" s="50"/>
      <c r="W42" s="50"/>
      <c r="X42" s="52"/>
      <c r="Y42" s="52"/>
      <c r="Z42" s="53">
        <v>17350965.63254695</v>
      </c>
      <c r="AA42" s="54">
        <f t="shared" si="5"/>
        <v>-6210189.3674530499</v>
      </c>
      <c r="AB42" s="55"/>
      <c r="AC42" s="52"/>
      <c r="AD42" s="52"/>
      <c r="AE42" s="52"/>
      <c r="AF42" s="56"/>
      <c r="AG42" s="57"/>
      <c r="AH42" s="50"/>
      <c r="AI42" s="58">
        <f t="shared" si="10"/>
        <v>1395609530</v>
      </c>
      <c r="AJ42" s="59"/>
      <c r="AK42" s="59"/>
      <c r="AL42" s="59"/>
      <c r="AM42" s="62"/>
    </row>
    <row r="43" spans="2:39" ht="27.75" customHeight="1" x14ac:dyDescent="0.25">
      <c r="B43" s="278"/>
      <c r="C43" s="296" t="s">
        <v>312</v>
      </c>
      <c r="D43" s="46" t="s">
        <v>278</v>
      </c>
      <c r="E43" s="44" t="s">
        <v>88</v>
      </c>
      <c r="F43" s="44" t="s">
        <v>313</v>
      </c>
      <c r="G43" s="44" t="s">
        <v>270</v>
      </c>
      <c r="H43" s="45" t="s">
        <v>271</v>
      </c>
      <c r="I43" s="44" t="s">
        <v>143</v>
      </c>
      <c r="J43" s="46">
        <v>30</v>
      </c>
      <c r="K43" s="46">
        <v>1</v>
      </c>
      <c r="L43" s="47">
        <f t="shared" si="27"/>
        <v>10509602</v>
      </c>
      <c r="M43" s="47">
        <f t="shared" si="28"/>
        <v>324.99</v>
      </c>
      <c r="N43" s="47">
        <f t="shared" si="29"/>
        <v>1050992.699</v>
      </c>
      <c r="O43" s="47">
        <f t="shared" si="0"/>
        <v>11560920</v>
      </c>
      <c r="P43" s="47">
        <f t="shared" si="1"/>
        <v>11560920</v>
      </c>
      <c r="Q43" s="48">
        <f t="shared" si="20"/>
        <v>1156092</v>
      </c>
      <c r="R43" s="47">
        <f t="shared" si="21"/>
        <v>219657.48</v>
      </c>
      <c r="S43" s="47">
        <f t="shared" si="4"/>
        <v>11780577</v>
      </c>
      <c r="T43" s="47">
        <f t="shared" si="8"/>
        <v>1407390107</v>
      </c>
      <c r="U43" s="49"/>
      <c r="V43" s="50"/>
      <c r="W43" s="50"/>
      <c r="X43" s="52"/>
      <c r="Y43" s="52"/>
      <c r="Z43" s="53">
        <v>19735013.798109073</v>
      </c>
      <c r="AA43" s="54">
        <f t="shared" si="5"/>
        <v>7954436.7981090732</v>
      </c>
      <c r="AB43" s="55"/>
      <c r="AC43" s="52"/>
      <c r="AD43" s="52"/>
      <c r="AE43" s="52"/>
      <c r="AF43" s="56"/>
      <c r="AG43" s="57"/>
      <c r="AH43" s="50"/>
      <c r="AI43" s="58">
        <f t="shared" si="10"/>
        <v>1407390107</v>
      </c>
      <c r="AJ43" s="62" t="e">
        <f>S43+S44+S45+S46+S47+S48+S49+S50+S51+S52+S53+S54+S55+S56+S57+S58+S59+S60+S61+#REF!+S63+S64+S65+S66+S67+S84</f>
        <v>#REF!</v>
      </c>
      <c r="AK43" s="59"/>
      <c r="AL43" s="59"/>
      <c r="AM43" s="59"/>
    </row>
    <row r="44" spans="2:39" ht="27.75" customHeight="1" x14ac:dyDescent="0.25">
      <c r="B44" s="278"/>
      <c r="C44" s="278"/>
      <c r="D44" s="44" t="s">
        <v>278</v>
      </c>
      <c r="E44" s="44" t="s">
        <v>314</v>
      </c>
      <c r="F44" s="44" t="s">
        <v>315</v>
      </c>
      <c r="G44" s="44" t="s">
        <v>272</v>
      </c>
      <c r="H44" s="45" t="s">
        <v>271</v>
      </c>
      <c r="I44" s="44" t="s">
        <v>316</v>
      </c>
      <c r="J44" s="46">
        <v>30</v>
      </c>
      <c r="K44" s="46">
        <v>1</v>
      </c>
      <c r="L44" s="47">
        <f t="shared" si="27"/>
        <v>10509602</v>
      </c>
      <c r="M44" s="47">
        <f t="shared" si="28"/>
        <v>324.99</v>
      </c>
      <c r="N44" s="47">
        <f t="shared" si="29"/>
        <v>1050992.699</v>
      </c>
      <c r="O44" s="47">
        <f t="shared" si="0"/>
        <v>11560920</v>
      </c>
      <c r="P44" s="47">
        <f t="shared" si="1"/>
        <v>11560920</v>
      </c>
      <c r="Q44" s="48">
        <f t="shared" si="20"/>
        <v>1156092</v>
      </c>
      <c r="R44" s="47">
        <f t="shared" si="21"/>
        <v>219657.48</v>
      </c>
      <c r="S44" s="47">
        <f t="shared" si="4"/>
        <v>11780577</v>
      </c>
      <c r="T44" s="47">
        <f t="shared" si="8"/>
        <v>1419170684</v>
      </c>
      <c r="U44" s="49"/>
      <c r="V44" s="50"/>
      <c r="W44" s="50"/>
      <c r="X44" s="52"/>
      <c r="Y44" s="52"/>
      <c r="Z44" s="53">
        <v>13013224.224410212</v>
      </c>
      <c r="AA44" s="54">
        <f t="shared" si="5"/>
        <v>1232647.2244102117</v>
      </c>
      <c r="AB44" s="55"/>
      <c r="AC44" s="52"/>
      <c r="AD44" s="52"/>
      <c r="AE44" s="52"/>
      <c r="AF44" s="56"/>
      <c r="AG44" s="57"/>
      <c r="AH44" s="50"/>
      <c r="AI44" s="58">
        <f t="shared" si="10"/>
        <v>1419170684</v>
      </c>
      <c r="AJ44" s="59"/>
      <c r="AK44" s="59"/>
      <c r="AL44" s="59"/>
      <c r="AM44" s="59"/>
    </row>
    <row r="45" spans="2:39" ht="27.75" customHeight="1" x14ac:dyDescent="0.25">
      <c r="B45" s="278"/>
      <c r="C45" s="278"/>
      <c r="D45" s="44" t="s">
        <v>278</v>
      </c>
      <c r="E45" s="44" t="s">
        <v>286</v>
      </c>
      <c r="F45" s="44" t="s">
        <v>317</v>
      </c>
      <c r="G45" s="44" t="s">
        <v>272</v>
      </c>
      <c r="H45" s="45" t="s">
        <v>271</v>
      </c>
      <c r="I45" s="44" t="s">
        <v>318</v>
      </c>
      <c r="J45" s="46">
        <v>30</v>
      </c>
      <c r="K45" s="46">
        <v>1</v>
      </c>
      <c r="L45" s="47">
        <f t="shared" si="27"/>
        <v>10509602</v>
      </c>
      <c r="M45" s="47">
        <f t="shared" si="28"/>
        <v>324.99</v>
      </c>
      <c r="N45" s="47">
        <f t="shared" si="29"/>
        <v>1050992.699</v>
      </c>
      <c r="O45" s="47">
        <f t="shared" si="0"/>
        <v>11560920</v>
      </c>
      <c r="P45" s="47">
        <f t="shared" si="1"/>
        <v>11560920</v>
      </c>
      <c r="Q45" s="48">
        <f t="shared" si="20"/>
        <v>1156092</v>
      </c>
      <c r="R45" s="47">
        <f t="shared" si="21"/>
        <v>219657.48</v>
      </c>
      <c r="S45" s="47">
        <f t="shared" si="4"/>
        <v>11780577</v>
      </c>
      <c r="T45" s="47">
        <f t="shared" si="8"/>
        <v>1430951261</v>
      </c>
      <c r="U45" s="49"/>
      <c r="V45" s="50"/>
      <c r="W45" s="50"/>
      <c r="X45" s="52"/>
      <c r="Y45" s="52"/>
      <c r="Z45" s="53">
        <v>19735013.798109073</v>
      </c>
      <c r="AA45" s="54">
        <f t="shared" si="5"/>
        <v>7954436.7981090732</v>
      </c>
      <c r="AB45" s="55"/>
      <c r="AC45" s="52"/>
      <c r="AD45" s="52"/>
      <c r="AE45" s="52"/>
      <c r="AF45" s="56"/>
      <c r="AG45" s="57"/>
      <c r="AH45" s="50"/>
      <c r="AI45" s="58">
        <f t="shared" si="10"/>
        <v>1430951261</v>
      </c>
      <c r="AJ45" s="59"/>
      <c r="AK45" s="59"/>
      <c r="AL45" s="59"/>
      <c r="AM45" s="59"/>
    </row>
    <row r="46" spans="2:39" ht="31.5" customHeight="1" x14ac:dyDescent="0.25">
      <c r="B46" s="278"/>
      <c r="C46" s="278"/>
      <c r="D46" s="44" t="s">
        <v>292</v>
      </c>
      <c r="E46" s="44" t="s">
        <v>293</v>
      </c>
      <c r="F46" s="44" t="s">
        <v>319</v>
      </c>
      <c r="G46" s="44" t="s">
        <v>272</v>
      </c>
      <c r="H46" s="45" t="s">
        <v>271</v>
      </c>
      <c r="I46" s="44" t="s">
        <v>138</v>
      </c>
      <c r="J46" s="46">
        <v>30</v>
      </c>
      <c r="K46" s="46">
        <v>1</v>
      </c>
      <c r="L46" s="47">
        <f t="shared" si="27"/>
        <v>10509602</v>
      </c>
      <c r="M46" s="47">
        <f t="shared" si="28"/>
        <v>324.99</v>
      </c>
      <c r="N46" s="47">
        <f t="shared" si="29"/>
        <v>1050992.699</v>
      </c>
      <c r="O46" s="47">
        <f t="shared" si="0"/>
        <v>11560920</v>
      </c>
      <c r="P46" s="47">
        <f t="shared" si="1"/>
        <v>11560920</v>
      </c>
      <c r="Q46" s="48">
        <f t="shared" si="20"/>
        <v>1156092</v>
      </c>
      <c r="R46" s="47">
        <f t="shared" si="21"/>
        <v>219657.48</v>
      </c>
      <c r="S46" s="47">
        <f t="shared" si="4"/>
        <v>11780577</v>
      </c>
      <c r="T46" s="47">
        <f t="shared" si="8"/>
        <v>1442731838</v>
      </c>
      <c r="U46" s="49"/>
      <c r="V46" s="50"/>
      <c r="W46" s="50"/>
      <c r="X46" s="52"/>
      <c r="Y46" s="52"/>
      <c r="Z46" s="53">
        <v>9867506.8990545366</v>
      </c>
      <c r="AA46" s="54">
        <f t="shared" si="5"/>
        <v>-1913070.1009454634</v>
      </c>
      <c r="AB46" s="55"/>
      <c r="AC46" s="52"/>
      <c r="AD46" s="52"/>
      <c r="AE46" s="52"/>
      <c r="AF46" s="56"/>
      <c r="AG46" s="57"/>
      <c r="AH46" s="50"/>
      <c r="AI46" s="58">
        <f t="shared" si="10"/>
        <v>1442731838</v>
      </c>
      <c r="AJ46" s="59"/>
      <c r="AK46" s="59"/>
      <c r="AL46" s="59"/>
      <c r="AM46" s="59"/>
    </row>
    <row r="47" spans="2:39" ht="36" customHeight="1" x14ac:dyDescent="0.25">
      <c r="B47" s="278"/>
      <c r="C47" s="276"/>
      <c r="D47" s="44" t="s">
        <v>278</v>
      </c>
      <c r="E47" s="44" t="s">
        <v>298</v>
      </c>
      <c r="F47" s="44" t="s">
        <v>320</v>
      </c>
      <c r="G47" s="44" t="s">
        <v>272</v>
      </c>
      <c r="H47" s="45" t="s">
        <v>271</v>
      </c>
      <c r="I47" s="44" t="s">
        <v>321</v>
      </c>
      <c r="J47" s="46">
        <v>30</v>
      </c>
      <c r="K47" s="46">
        <v>1</v>
      </c>
      <c r="L47" s="47">
        <f t="shared" si="27"/>
        <v>10509602</v>
      </c>
      <c r="M47" s="47">
        <f t="shared" si="28"/>
        <v>324.99</v>
      </c>
      <c r="N47" s="47">
        <f t="shared" si="29"/>
        <v>1050992.699</v>
      </c>
      <c r="O47" s="47">
        <f t="shared" si="0"/>
        <v>11560920</v>
      </c>
      <c r="P47" s="47">
        <f t="shared" si="1"/>
        <v>11560920</v>
      </c>
      <c r="Q47" s="48">
        <f t="shared" si="20"/>
        <v>1156092</v>
      </c>
      <c r="R47" s="47">
        <f t="shared" si="21"/>
        <v>219657.48</v>
      </c>
      <c r="S47" s="47">
        <f t="shared" si="4"/>
        <v>11780577</v>
      </c>
      <c r="T47" s="47">
        <f t="shared" si="8"/>
        <v>1454512415</v>
      </c>
      <c r="U47" s="49"/>
      <c r="V47" s="50"/>
      <c r="W47" s="50"/>
      <c r="X47" s="52"/>
      <c r="Y47" s="52"/>
      <c r="Z47" s="53">
        <v>9867506.8990545366</v>
      </c>
      <c r="AA47" s="54">
        <f t="shared" si="5"/>
        <v>-1913070.1009454634</v>
      </c>
      <c r="AB47" s="55"/>
      <c r="AC47" s="52"/>
      <c r="AD47" s="52"/>
      <c r="AE47" s="52"/>
      <c r="AF47" s="56"/>
      <c r="AG47" s="57"/>
      <c r="AH47" s="50"/>
      <c r="AI47" s="58">
        <f t="shared" si="10"/>
        <v>1454512415</v>
      </c>
      <c r="AJ47" s="59"/>
      <c r="AK47" s="59"/>
      <c r="AL47" s="59"/>
      <c r="AM47" s="59"/>
    </row>
    <row r="48" spans="2:39" ht="15" customHeight="1" x14ac:dyDescent="0.25">
      <c r="B48" s="278"/>
      <c r="C48" s="296" t="s">
        <v>322</v>
      </c>
      <c r="D48" s="277" t="s">
        <v>16</v>
      </c>
      <c r="E48" s="277" t="s">
        <v>266</v>
      </c>
      <c r="F48" s="277" t="s">
        <v>267</v>
      </c>
      <c r="G48" s="44" t="s">
        <v>272</v>
      </c>
      <c r="H48" s="45" t="s">
        <v>269</v>
      </c>
      <c r="I48" s="44" t="s">
        <v>323</v>
      </c>
      <c r="J48" s="46">
        <v>30</v>
      </c>
      <c r="K48" s="46">
        <v>6</v>
      </c>
      <c r="L48" s="47">
        <f t="shared" si="27"/>
        <v>10509602</v>
      </c>
      <c r="M48" s="47">
        <f t="shared" si="28"/>
        <v>324.99</v>
      </c>
      <c r="N48" s="47">
        <f>+(L48+M48)*8%</f>
        <v>840794.15919999999</v>
      </c>
      <c r="O48" s="47">
        <f t="shared" si="0"/>
        <v>68104326</v>
      </c>
      <c r="P48" s="47">
        <f t="shared" si="1"/>
        <v>11350721</v>
      </c>
      <c r="Q48" s="48">
        <f t="shared" si="20"/>
        <v>6810432.6000000006</v>
      </c>
      <c r="R48" s="47">
        <f t="shared" si="21"/>
        <v>1293982.1940000001</v>
      </c>
      <c r="S48" s="47">
        <f t="shared" si="4"/>
        <v>69398308</v>
      </c>
      <c r="T48" s="47">
        <f t="shared" si="8"/>
        <v>1523910723</v>
      </c>
      <c r="U48" s="49"/>
      <c r="V48" s="50"/>
      <c r="W48" s="50"/>
      <c r="X48" s="52"/>
      <c r="Y48" s="52"/>
      <c r="Z48" s="53">
        <v>9867506.8990545366</v>
      </c>
      <c r="AA48" s="54">
        <f t="shared" si="5"/>
        <v>-59530801.100945465</v>
      </c>
      <c r="AB48" s="55"/>
      <c r="AC48" s="52"/>
      <c r="AD48" s="52"/>
      <c r="AE48" s="52"/>
      <c r="AF48" s="56"/>
      <c r="AG48" s="57"/>
      <c r="AH48" s="50"/>
      <c r="AI48" s="58">
        <f t="shared" si="10"/>
        <v>1523910723</v>
      </c>
      <c r="AJ48" s="59"/>
      <c r="AK48" s="59"/>
      <c r="AL48" s="59"/>
      <c r="AM48" s="59"/>
    </row>
    <row r="49" spans="2:39" ht="15" customHeight="1" x14ac:dyDescent="0.25">
      <c r="B49" s="278"/>
      <c r="C49" s="278"/>
      <c r="D49" s="278"/>
      <c r="E49" s="278"/>
      <c r="F49" s="278"/>
      <c r="G49" s="44" t="s">
        <v>272</v>
      </c>
      <c r="H49" s="45" t="s">
        <v>271</v>
      </c>
      <c r="I49" s="44" t="s">
        <v>324</v>
      </c>
      <c r="J49" s="46">
        <v>30</v>
      </c>
      <c r="K49" s="46">
        <v>5</v>
      </c>
      <c r="L49" s="47">
        <f t="shared" si="27"/>
        <v>10509602</v>
      </c>
      <c r="M49" s="47">
        <f t="shared" si="28"/>
        <v>324.99</v>
      </c>
      <c r="N49" s="47">
        <f>+(L49+M49)*10%</f>
        <v>1050992.699</v>
      </c>
      <c r="O49" s="47">
        <f t="shared" si="0"/>
        <v>57804600</v>
      </c>
      <c r="P49" s="47">
        <f t="shared" si="1"/>
        <v>11560920</v>
      </c>
      <c r="Q49" s="48">
        <f t="shared" si="20"/>
        <v>5780460</v>
      </c>
      <c r="R49" s="47">
        <f t="shared" si="21"/>
        <v>1098287.3999999999</v>
      </c>
      <c r="S49" s="47">
        <f t="shared" si="4"/>
        <v>58902887</v>
      </c>
      <c r="T49" s="47">
        <f t="shared" si="8"/>
        <v>1582813610</v>
      </c>
      <c r="U49" s="49"/>
      <c r="V49" s="50"/>
      <c r="W49" s="50"/>
      <c r="X49" s="52"/>
      <c r="Y49" s="52"/>
      <c r="Z49" s="53">
        <v>9867506.8990545366</v>
      </c>
      <c r="AA49" s="54">
        <f t="shared" si="5"/>
        <v>-49035380.100945465</v>
      </c>
      <c r="AB49" s="55"/>
      <c r="AC49" s="52"/>
      <c r="AD49" s="52"/>
      <c r="AE49" s="52"/>
      <c r="AF49" s="56"/>
      <c r="AG49" s="57"/>
      <c r="AH49" s="50"/>
      <c r="AI49" s="58">
        <f t="shared" si="10"/>
        <v>1582813610</v>
      </c>
      <c r="AJ49" s="43"/>
      <c r="AK49" s="43"/>
      <c r="AL49" s="43"/>
      <c r="AM49" s="43"/>
    </row>
    <row r="50" spans="2:39" ht="15.75" customHeight="1" x14ac:dyDescent="0.25">
      <c r="B50" s="278"/>
      <c r="C50" s="278"/>
      <c r="D50" s="278"/>
      <c r="E50" s="278"/>
      <c r="F50" s="278"/>
      <c r="G50" s="44" t="s">
        <v>268</v>
      </c>
      <c r="H50" s="45" t="s">
        <v>269</v>
      </c>
      <c r="I50" s="44" t="s">
        <v>325</v>
      </c>
      <c r="J50" s="46">
        <v>30</v>
      </c>
      <c r="K50" s="46">
        <v>2</v>
      </c>
      <c r="L50" s="47">
        <f t="shared" ref="L50:L51" si="30">9.06*1160000*55.97%/15*12+2</f>
        <v>4705780.4959999993</v>
      </c>
      <c r="M50" s="47">
        <f t="shared" ref="M50:M51" si="31">+X$9*55.97%/15*12</f>
        <v>145.51752240000002</v>
      </c>
      <c r="N50" s="47">
        <f>+(L50+M50)*8%</f>
        <v>376474.08108179196</v>
      </c>
      <c r="O50" s="47">
        <f t="shared" si="0"/>
        <v>10164800</v>
      </c>
      <c r="P50" s="47">
        <f t="shared" si="1"/>
        <v>5082400</v>
      </c>
      <c r="Q50" s="48">
        <f t="shared" si="20"/>
        <v>1016480</v>
      </c>
      <c r="R50" s="47">
        <f t="shared" si="21"/>
        <v>193131.2</v>
      </c>
      <c r="S50" s="47">
        <f t="shared" si="4"/>
        <v>10357931</v>
      </c>
      <c r="T50" s="47">
        <f t="shared" si="8"/>
        <v>1593171541</v>
      </c>
      <c r="U50" s="49"/>
      <c r="V50" s="50"/>
      <c r="W50" s="50"/>
      <c r="X50" s="52"/>
      <c r="Y50" s="52"/>
      <c r="Z50" s="53">
        <v>9867506.8990545366</v>
      </c>
      <c r="AA50" s="54">
        <f t="shared" si="5"/>
        <v>-490424.1009454634</v>
      </c>
      <c r="AB50" s="55"/>
      <c r="AC50" s="52"/>
      <c r="AD50" s="52"/>
      <c r="AE50" s="52"/>
      <c r="AF50" s="56"/>
      <c r="AG50" s="57"/>
      <c r="AH50" s="50"/>
      <c r="AI50" s="58">
        <f t="shared" si="10"/>
        <v>1593171541</v>
      </c>
      <c r="AJ50" s="43"/>
      <c r="AK50" s="43"/>
      <c r="AL50" s="43"/>
      <c r="AM50" s="43"/>
    </row>
    <row r="51" spans="2:39" ht="15.75" customHeight="1" x14ac:dyDescent="0.25">
      <c r="B51" s="278"/>
      <c r="C51" s="278"/>
      <c r="D51" s="278"/>
      <c r="E51" s="278"/>
      <c r="F51" s="278"/>
      <c r="G51" s="44" t="s">
        <v>326</v>
      </c>
      <c r="H51" s="45" t="s">
        <v>277</v>
      </c>
      <c r="I51" s="44" t="s">
        <v>149</v>
      </c>
      <c r="J51" s="46">
        <v>30</v>
      </c>
      <c r="K51" s="46">
        <v>2</v>
      </c>
      <c r="L51" s="47">
        <f t="shared" si="30"/>
        <v>4705780.4959999993</v>
      </c>
      <c r="M51" s="47">
        <f t="shared" si="31"/>
        <v>145.51752240000002</v>
      </c>
      <c r="N51" s="47">
        <f>+(L51+M51)*11%</f>
        <v>517651.86148746393</v>
      </c>
      <c r="O51" s="47">
        <f t="shared" si="0"/>
        <v>10447156</v>
      </c>
      <c r="P51" s="47">
        <f t="shared" si="1"/>
        <v>5223578</v>
      </c>
      <c r="Q51" s="48">
        <f t="shared" si="20"/>
        <v>1044715.6000000001</v>
      </c>
      <c r="R51" s="47">
        <f t="shared" si="21"/>
        <v>198495.96400000001</v>
      </c>
      <c r="S51" s="47">
        <f t="shared" si="4"/>
        <v>10645652</v>
      </c>
      <c r="T51" s="47">
        <f t="shared" si="8"/>
        <v>1603817193</v>
      </c>
      <c r="U51" s="49"/>
      <c r="V51" s="50"/>
      <c r="W51" s="50"/>
      <c r="X51" s="52"/>
      <c r="Y51" s="52"/>
      <c r="Z51" s="53">
        <v>58128586.096248545</v>
      </c>
      <c r="AA51" s="54">
        <f t="shared" si="5"/>
        <v>47482934.096248545</v>
      </c>
      <c r="AB51" s="55"/>
      <c r="AC51" s="52"/>
      <c r="AD51" s="52"/>
      <c r="AE51" s="52"/>
      <c r="AF51" s="56"/>
      <c r="AG51" s="57"/>
      <c r="AH51" s="50"/>
      <c r="AI51" s="58">
        <f t="shared" si="10"/>
        <v>1603817193</v>
      </c>
      <c r="AJ51" s="43"/>
      <c r="AK51" s="43"/>
      <c r="AL51" s="43"/>
      <c r="AM51" s="43"/>
    </row>
    <row r="52" spans="2:39" ht="15.75" customHeight="1" x14ac:dyDescent="0.25">
      <c r="B52" s="278"/>
      <c r="C52" s="278"/>
      <c r="D52" s="276"/>
      <c r="E52" s="276"/>
      <c r="F52" s="276"/>
      <c r="G52" s="44" t="s">
        <v>327</v>
      </c>
      <c r="H52" s="45" t="s">
        <v>269</v>
      </c>
      <c r="I52" s="44" t="s">
        <v>151</v>
      </c>
      <c r="J52" s="46">
        <v>20</v>
      </c>
      <c r="K52" s="46">
        <v>3</v>
      </c>
      <c r="L52" s="47">
        <f>9.06*1160000*55.97%/15*12/30*20+2</f>
        <v>3137187.6639999994</v>
      </c>
      <c r="M52" s="47">
        <f>+X9*55.97%/15*12/30*20</f>
        <v>97.011681600000017</v>
      </c>
      <c r="N52" s="47">
        <f t="shared" ref="N52:N53" si="32">+(L52+M52)*8%</f>
        <v>250982.77405452795</v>
      </c>
      <c r="O52" s="47">
        <f t="shared" si="0"/>
        <v>6776534</v>
      </c>
      <c r="P52" s="47">
        <f t="shared" si="1"/>
        <v>2258844.6666666665</v>
      </c>
      <c r="Q52" s="48">
        <f t="shared" si="20"/>
        <v>677653.4</v>
      </c>
      <c r="R52" s="47">
        <f t="shared" si="21"/>
        <v>128754.14600000001</v>
      </c>
      <c r="S52" s="47">
        <f t="shared" si="4"/>
        <v>6905288</v>
      </c>
      <c r="T52" s="47">
        <f t="shared" si="8"/>
        <v>1610722481</v>
      </c>
      <c r="U52" s="49"/>
      <c r="V52" s="50"/>
      <c r="W52" s="50"/>
      <c r="X52" s="52"/>
      <c r="Y52" s="52"/>
      <c r="Z52" s="53">
        <v>49337534.495272696</v>
      </c>
      <c r="AA52" s="54">
        <f t="shared" si="5"/>
        <v>42432246.495272696</v>
      </c>
      <c r="AB52" s="55"/>
      <c r="AC52" s="52"/>
      <c r="AD52" s="52"/>
      <c r="AE52" s="52"/>
      <c r="AF52" s="56"/>
      <c r="AG52" s="57"/>
      <c r="AH52" s="50"/>
      <c r="AI52" s="58">
        <f t="shared" si="10"/>
        <v>1610722481</v>
      </c>
      <c r="AJ52" s="43"/>
      <c r="AK52" s="43"/>
      <c r="AL52" s="43"/>
      <c r="AM52" s="43"/>
    </row>
    <row r="53" spans="2:39" ht="15.75" customHeight="1" x14ac:dyDescent="0.25">
      <c r="B53" s="278"/>
      <c r="C53" s="278"/>
      <c r="D53" s="277" t="s">
        <v>278</v>
      </c>
      <c r="E53" s="277" t="s">
        <v>88</v>
      </c>
      <c r="F53" s="277" t="s">
        <v>88</v>
      </c>
      <c r="G53" s="44" t="s">
        <v>272</v>
      </c>
      <c r="H53" s="45" t="s">
        <v>269</v>
      </c>
      <c r="I53" s="44" t="s">
        <v>154</v>
      </c>
      <c r="J53" s="46">
        <v>30</v>
      </c>
      <c r="K53" s="46">
        <v>1</v>
      </c>
      <c r="L53" s="47">
        <f t="shared" ref="L53:L61" si="33">9.06*1160000+2</f>
        <v>10509602</v>
      </c>
      <c r="M53" s="47">
        <f t="shared" ref="M53:M61" si="34">+X$9</f>
        <v>324.99</v>
      </c>
      <c r="N53" s="47">
        <f t="shared" si="32"/>
        <v>840794.15919999999</v>
      </c>
      <c r="O53" s="47">
        <f t="shared" si="0"/>
        <v>11350721</v>
      </c>
      <c r="P53" s="47">
        <f t="shared" si="1"/>
        <v>11350721</v>
      </c>
      <c r="Q53" s="48">
        <f t="shared" si="20"/>
        <v>1135072.1000000001</v>
      </c>
      <c r="R53" s="47">
        <f t="shared" si="21"/>
        <v>215663.69900000002</v>
      </c>
      <c r="S53" s="47">
        <f t="shared" si="4"/>
        <v>11566385</v>
      </c>
      <c r="T53" s="47">
        <f t="shared" si="8"/>
        <v>1622288866</v>
      </c>
      <c r="U53" s="49"/>
      <c r="V53" s="50"/>
      <c r="W53" s="50"/>
      <c r="X53" s="52"/>
      <c r="Y53" s="52"/>
      <c r="Z53" s="53">
        <v>8675482.8162734751</v>
      </c>
      <c r="AA53" s="54">
        <f t="shared" si="5"/>
        <v>-2890902.1837265249</v>
      </c>
      <c r="AB53" s="55"/>
      <c r="AC53" s="52"/>
      <c r="AD53" s="52"/>
      <c r="AE53" s="52"/>
      <c r="AF53" s="56"/>
      <c r="AG53" s="57"/>
      <c r="AH53" s="50"/>
      <c r="AI53" s="58">
        <f t="shared" si="10"/>
        <v>1622288866</v>
      </c>
      <c r="AJ53" s="43"/>
      <c r="AK53" s="43"/>
      <c r="AL53" s="43"/>
      <c r="AM53" s="43"/>
    </row>
    <row r="54" spans="2:39" ht="15.75" customHeight="1" x14ac:dyDescent="0.25">
      <c r="B54" s="278"/>
      <c r="C54" s="278"/>
      <c r="D54" s="276"/>
      <c r="E54" s="276"/>
      <c r="F54" s="276"/>
      <c r="G54" s="44" t="s">
        <v>272</v>
      </c>
      <c r="H54" s="45" t="s">
        <v>271</v>
      </c>
      <c r="I54" s="44" t="s">
        <v>157</v>
      </c>
      <c r="J54" s="46">
        <v>30</v>
      </c>
      <c r="K54" s="46">
        <v>1</v>
      </c>
      <c r="L54" s="47">
        <f t="shared" si="33"/>
        <v>10509602</v>
      </c>
      <c r="M54" s="47">
        <f t="shared" si="34"/>
        <v>324.99</v>
      </c>
      <c r="N54" s="47">
        <f t="shared" ref="N54:N55" si="35">+(L54+M54)*10%</f>
        <v>1050992.699</v>
      </c>
      <c r="O54" s="47">
        <f t="shared" si="0"/>
        <v>11560920</v>
      </c>
      <c r="P54" s="47">
        <f t="shared" si="1"/>
        <v>11560920</v>
      </c>
      <c r="Q54" s="48">
        <f t="shared" si="20"/>
        <v>1156092</v>
      </c>
      <c r="R54" s="47">
        <f t="shared" si="21"/>
        <v>219657.48</v>
      </c>
      <c r="S54" s="47">
        <f t="shared" si="4"/>
        <v>11780577</v>
      </c>
      <c r="T54" s="47">
        <f t="shared" si="8"/>
        <v>1634069443</v>
      </c>
      <c r="U54" s="49"/>
      <c r="V54" s="50"/>
      <c r="W54" s="50"/>
      <c r="X54" s="52"/>
      <c r="Y54" s="52"/>
      <c r="Z54" s="53">
        <v>8836088.9556188453</v>
      </c>
      <c r="AA54" s="54">
        <f t="shared" si="5"/>
        <v>-2944488.0443811547</v>
      </c>
      <c r="AB54" s="55"/>
      <c r="AC54" s="52"/>
      <c r="AD54" s="52"/>
      <c r="AE54" s="52"/>
      <c r="AF54" s="56"/>
      <c r="AG54" s="57"/>
      <c r="AH54" s="50"/>
      <c r="AI54" s="58">
        <f t="shared" si="10"/>
        <v>1634069443</v>
      </c>
      <c r="AJ54" s="43"/>
      <c r="AK54" s="43"/>
      <c r="AL54" s="43"/>
      <c r="AM54" s="43"/>
    </row>
    <row r="55" spans="2:39" ht="15.75" customHeight="1" x14ac:dyDescent="0.25">
      <c r="B55" s="278"/>
      <c r="C55" s="278"/>
      <c r="D55" s="277" t="s">
        <v>16</v>
      </c>
      <c r="E55" s="277" t="s">
        <v>275</v>
      </c>
      <c r="F55" s="277" t="s">
        <v>275</v>
      </c>
      <c r="G55" s="44" t="s">
        <v>272</v>
      </c>
      <c r="H55" s="45" t="s">
        <v>271</v>
      </c>
      <c r="I55" s="44" t="s">
        <v>157</v>
      </c>
      <c r="J55" s="46">
        <v>30</v>
      </c>
      <c r="K55" s="46">
        <v>3</v>
      </c>
      <c r="L55" s="47">
        <f t="shared" si="33"/>
        <v>10509602</v>
      </c>
      <c r="M55" s="47">
        <f t="shared" si="34"/>
        <v>324.99</v>
      </c>
      <c r="N55" s="47">
        <f t="shared" si="35"/>
        <v>1050992.699</v>
      </c>
      <c r="O55" s="47">
        <f t="shared" si="0"/>
        <v>34682760</v>
      </c>
      <c r="P55" s="47">
        <f t="shared" si="1"/>
        <v>11560920</v>
      </c>
      <c r="Q55" s="48">
        <f t="shared" si="20"/>
        <v>3468276</v>
      </c>
      <c r="R55" s="47">
        <f t="shared" si="21"/>
        <v>658972.44000000006</v>
      </c>
      <c r="S55" s="47">
        <f t="shared" si="4"/>
        <v>35341732</v>
      </c>
      <c r="T55" s="47">
        <f t="shared" si="8"/>
        <v>1669411175</v>
      </c>
      <c r="U55" s="49"/>
      <c r="V55" s="50"/>
      <c r="W55" s="50"/>
      <c r="X55" s="52"/>
      <c r="Y55" s="52"/>
      <c r="Z55" s="53">
        <v>8676693.7551134806</v>
      </c>
      <c r="AA55" s="54">
        <f t="shared" si="5"/>
        <v>-26665038.244886518</v>
      </c>
      <c r="AB55" s="55"/>
      <c r="AC55" s="52"/>
      <c r="AD55" s="52"/>
      <c r="AE55" s="52"/>
      <c r="AF55" s="56"/>
      <c r="AG55" s="57"/>
      <c r="AH55" s="50"/>
      <c r="AI55" s="58">
        <f t="shared" si="10"/>
        <v>1669411175</v>
      </c>
      <c r="AJ55" s="43"/>
      <c r="AK55" s="43"/>
      <c r="AL55" s="43"/>
      <c r="AM55" s="43"/>
    </row>
    <row r="56" spans="2:39" ht="15.75" customHeight="1" x14ac:dyDescent="0.25">
      <c r="B56" s="278"/>
      <c r="C56" s="278"/>
      <c r="D56" s="276"/>
      <c r="E56" s="276"/>
      <c r="F56" s="276"/>
      <c r="G56" s="44" t="s">
        <v>272</v>
      </c>
      <c r="H56" s="45" t="s">
        <v>269</v>
      </c>
      <c r="I56" s="44" t="s">
        <v>161</v>
      </c>
      <c r="J56" s="46">
        <v>30</v>
      </c>
      <c r="K56" s="46">
        <v>1</v>
      </c>
      <c r="L56" s="47">
        <f t="shared" si="33"/>
        <v>10509602</v>
      </c>
      <c r="M56" s="47">
        <f t="shared" si="34"/>
        <v>324.99</v>
      </c>
      <c r="N56" s="47">
        <f t="shared" ref="N56:N85" si="36">+(L56+M56)*8%</f>
        <v>840794.15919999999</v>
      </c>
      <c r="O56" s="47">
        <f t="shared" si="0"/>
        <v>11350721</v>
      </c>
      <c r="P56" s="47">
        <f t="shared" si="1"/>
        <v>11350721</v>
      </c>
      <c r="Q56" s="48">
        <f t="shared" si="20"/>
        <v>1135072.1000000001</v>
      </c>
      <c r="R56" s="47">
        <f t="shared" si="21"/>
        <v>215663.69900000002</v>
      </c>
      <c r="S56" s="47">
        <f t="shared" si="4"/>
        <v>11566385</v>
      </c>
      <c r="T56" s="47">
        <f t="shared" si="8"/>
        <v>1680977560</v>
      </c>
      <c r="U56" s="49"/>
      <c r="V56" s="50"/>
      <c r="W56" s="50"/>
      <c r="X56" s="52"/>
      <c r="Y56" s="52"/>
      <c r="Z56" s="53">
        <v>9867506.8990545366</v>
      </c>
      <c r="AA56" s="54">
        <f t="shared" si="5"/>
        <v>-1698878.1009454634</v>
      </c>
      <c r="AB56" s="55"/>
      <c r="AC56" s="52"/>
      <c r="AD56" s="52"/>
      <c r="AE56" s="52"/>
      <c r="AF56" s="56"/>
      <c r="AG56" s="57"/>
      <c r="AH56" s="50"/>
      <c r="AI56" s="58">
        <f t="shared" si="10"/>
        <v>1680977560</v>
      </c>
      <c r="AJ56" s="43"/>
      <c r="AK56" s="43"/>
      <c r="AL56" s="43"/>
      <c r="AM56" s="43"/>
    </row>
    <row r="57" spans="2:39" ht="15.75" customHeight="1" x14ac:dyDescent="0.25">
      <c r="B57" s="278"/>
      <c r="C57" s="278"/>
      <c r="D57" s="277" t="s">
        <v>278</v>
      </c>
      <c r="E57" s="44" t="s">
        <v>286</v>
      </c>
      <c r="F57" s="44" t="s">
        <v>287</v>
      </c>
      <c r="G57" s="44" t="s">
        <v>272</v>
      </c>
      <c r="H57" s="45" t="s">
        <v>269</v>
      </c>
      <c r="I57" s="44" t="s">
        <v>328</v>
      </c>
      <c r="J57" s="46">
        <v>30</v>
      </c>
      <c r="K57" s="46">
        <v>1</v>
      </c>
      <c r="L57" s="47">
        <f t="shared" si="33"/>
        <v>10509602</v>
      </c>
      <c r="M57" s="47">
        <f t="shared" si="34"/>
        <v>324.99</v>
      </c>
      <c r="N57" s="47">
        <f t="shared" si="36"/>
        <v>840794.15919999999</v>
      </c>
      <c r="O57" s="47">
        <f t="shared" si="0"/>
        <v>11350721</v>
      </c>
      <c r="P57" s="47">
        <f t="shared" si="1"/>
        <v>11350721</v>
      </c>
      <c r="Q57" s="48">
        <f t="shared" si="20"/>
        <v>1135072.1000000001</v>
      </c>
      <c r="R57" s="47">
        <f t="shared" si="21"/>
        <v>215663.69900000002</v>
      </c>
      <c r="S57" s="47">
        <f t="shared" si="4"/>
        <v>11566385</v>
      </c>
      <c r="T57" s="47">
        <f t="shared" si="8"/>
        <v>1692543945</v>
      </c>
      <c r="U57" s="49"/>
      <c r="V57" s="50"/>
      <c r="W57" s="50"/>
      <c r="X57" s="52"/>
      <c r="Y57" s="52"/>
      <c r="Z57" s="53">
        <v>9688097.682708092</v>
      </c>
      <c r="AA57" s="54">
        <f t="shared" si="5"/>
        <v>-1878287.317291908</v>
      </c>
      <c r="AB57" s="55"/>
      <c r="AC57" s="52"/>
      <c r="AD57" s="52"/>
      <c r="AE57" s="52"/>
      <c r="AF57" s="56"/>
      <c r="AG57" s="57"/>
      <c r="AH57" s="50"/>
      <c r="AI57" s="58">
        <f t="shared" si="10"/>
        <v>1692543945</v>
      </c>
      <c r="AJ57" s="43"/>
      <c r="AK57" s="43"/>
      <c r="AL57" s="43"/>
      <c r="AM57" s="43"/>
    </row>
    <row r="58" spans="2:39" ht="15.75" customHeight="1" x14ac:dyDescent="0.25">
      <c r="B58" s="278"/>
      <c r="C58" s="278"/>
      <c r="D58" s="276"/>
      <c r="E58" s="44" t="s">
        <v>298</v>
      </c>
      <c r="F58" s="44" t="s">
        <v>298</v>
      </c>
      <c r="G58" s="44" t="s">
        <v>272</v>
      </c>
      <c r="H58" s="45" t="s">
        <v>269</v>
      </c>
      <c r="I58" s="44" t="s">
        <v>329</v>
      </c>
      <c r="J58" s="46">
        <v>30</v>
      </c>
      <c r="K58" s="46">
        <v>2</v>
      </c>
      <c r="L58" s="47">
        <f t="shared" si="33"/>
        <v>10509602</v>
      </c>
      <c r="M58" s="47">
        <f t="shared" si="34"/>
        <v>324.99</v>
      </c>
      <c r="N58" s="47">
        <f t="shared" si="36"/>
        <v>840794.15919999999</v>
      </c>
      <c r="O58" s="47">
        <f t="shared" si="0"/>
        <v>22701442</v>
      </c>
      <c r="P58" s="47">
        <f t="shared" si="1"/>
        <v>11350721</v>
      </c>
      <c r="Q58" s="48">
        <f t="shared" si="20"/>
        <v>2270144.2000000002</v>
      </c>
      <c r="R58" s="47">
        <f t="shared" si="21"/>
        <v>431327.39800000004</v>
      </c>
      <c r="S58" s="47">
        <f t="shared" si="4"/>
        <v>23132769</v>
      </c>
      <c r="T58" s="47">
        <f t="shared" si="8"/>
        <v>1715676714</v>
      </c>
      <c r="U58" s="49"/>
      <c r="V58" s="50"/>
      <c r="W58" s="50"/>
      <c r="X58" s="52"/>
      <c r="Y58" s="52"/>
      <c r="Z58" s="53">
        <v>29602520.697163612</v>
      </c>
      <c r="AA58" s="54">
        <f t="shared" si="5"/>
        <v>6469751.6971636117</v>
      </c>
      <c r="AB58" s="55"/>
      <c r="AC58" s="52"/>
      <c r="AD58" s="52"/>
      <c r="AE58" s="52"/>
      <c r="AF58" s="56"/>
      <c r="AG58" s="57"/>
      <c r="AH58" s="50"/>
      <c r="AI58" s="58">
        <f t="shared" si="10"/>
        <v>1715676714</v>
      </c>
      <c r="AJ58" s="43"/>
      <c r="AK58" s="43"/>
      <c r="AL58" s="43"/>
      <c r="AM58" s="43"/>
    </row>
    <row r="59" spans="2:39" ht="15.75" customHeight="1" x14ac:dyDescent="0.25">
      <c r="B59" s="278"/>
      <c r="C59" s="278"/>
      <c r="D59" s="44" t="s">
        <v>146</v>
      </c>
      <c r="E59" s="44" t="s">
        <v>170</v>
      </c>
      <c r="F59" s="44" t="s">
        <v>170</v>
      </c>
      <c r="G59" s="44" t="s">
        <v>272</v>
      </c>
      <c r="H59" s="45" t="s">
        <v>269</v>
      </c>
      <c r="I59" s="44" t="s">
        <v>330</v>
      </c>
      <c r="J59" s="46">
        <v>30</v>
      </c>
      <c r="K59" s="46">
        <v>1</v>
      </c>
      <c r="L59" s="47">
        <f t="shared" si="33"/>
        <v>10509602</v>
      </c>
      <c r="M59" s="47">
        <f t="shared" si="34"/>
        <v>324.99</v>
      </c>
      <c r="N59" s="47">
        <f t="shared" si="36"/>
        <v>840794.15919999999</v>
      </c>
      <c r="O59" s="47">
        <f t="shared" si="0"/>
        <v>11350721</v>
      </c>
      <c r="P59" s="47">
        <f t="shared" si="1"/>
        <v>11350721</v>
      </c>
      <c r="Q59" s="48">
        <f t="shared" si="20"/>
        <v>1135072.1000000001</v>
      </c>
      <c r="R59" s="47">
        <f t="shared" si="21"/>
        <v>215663.69900000002</v>
      </c>
      <c r="S59" s="47">
        <f t="shared" si="4"/>
        <v>11566385</v>
      </c>
      <c r="T59" s="47">
        <f t="shared" si="8"/>
        <v>1727243099</v>
      </c>
      <c r="U59" s="49"/>
      <c r="V59" s="50"/>
      <c r="W59" s="50"/>
      <c r="X59" s="52"/>
      <c r="Y59" s="52"/>
      <c r="Z59" s="53">
        <v>9688097.682708092</v>
      </c>
      <c r="AA59" s="54">
        <f t="shared" si="5"/>
        <v>-1878287.317291908</v>
      </c>
      <c r="AB59" s="55"/>
      <c r="AC59" s="52"/>
      <c r="AD59" s="52"/>
      <c r="AE59" s="52"/>
      <c r="AF59" s="56"/>
      <c r="AG59" s="57"/>
      <c r="AH59" s="50"/>
      <c r="AI59" s="58">
        <f t="shared" si="10"/>
        <v>1727243099</v>
      </c>
      <c r="AJ59" s="43"/>
      <c r="AK59" s="43"/>
      <c r="AL59" s="43"/>
      <c r="AM59" s="43"/>
    </row>
    <row r="60" spans="2:39" ht="15.75" customHeight="1" x14ac:dyDescent="0.25">
      <c r="B60" s="278"/>
      <c r="C60" s="278"/>
      <c r="D60" s="44" t="s">
        <v>278</v>
      </c>
      <c r="E60" s="44" t="s">
        <v>331</v>
      </c>
      <c r="F60" s="44" t="s">
        <v>332</v>
      </c>
      <c r="G60" s="44" t="s">
        <v>272</v>
      </c>
      <c r="H60" s="45" t="s">
        <v>269</v>
      </c>
      <c r="I60" s="44" t="s">
        <v>333</v>
      </c>
      <c r="J60" s="46">
        <v>30</v>
      </c>
      <c r="K60" s="46">
        <v>1</v>
      </c>
      <c r="L60" s="47">
        <f t="shared" si="33"/>
        <v>10509602</v>
      </c>
      <c r="M60" s="47">
        <f t="shared" si="34"/>
        <v>324.99</v>
      </c>
      <c r="N60" s="47">
        <f t="shared" si="36"/>
        <v>840794.15919999999</v>
      </c>
      <c r="O60" s="47">
        <f t="shared" si="0"/>
        <v>11350721</v>
      </c>
      <c r="P60" s="47">
        <f t="shared" si="1"/>
        <v>11350721</v>
      </c>
      <c r="Q60" s="48">
        <f t="shared" si="20"/>
        <v>1135072.1000000001</v>
      </c>
      <c r="R60" s="47">
        <f t="shared" si="21"/>
        <v>215663.69900000002</v>
      </c>
      <c r="S60" s="47">
        <f t="shared" si="4"/>
        <v>11566385</v>
      </c>
      <c r="T60" s="47">
        <f t="shared" si="8"/>
        <v>1738809484</v>
      </c>
      <c r="U60" s="49"/>
      <c r="V60" s="50"/>
      <c r="W60" s="50"/>
      <c r="X60" s="52"/>
      <c r="Y60" s="52"/>
      <c r="Z60" s="53">
        <v>9688097.682708092</v>
      </c>
      <c r="AA60" s="54">
        <f t="shared" si="5"/>
        <v>-1878287.317291908</v>
      </c>
      <c r="AB60" s="55"/>
      <c r="AC60" s="52"/>
      <c r="AD60" s="52"/>
      <c r="AE60" s="52"/>
      <c r="AF60" s="56"/>
      <c r="AG60" s="52"/>
      <c r="AH60" s="52"/>
      <c r="AI60" s="58">
        <f t="shared" si="10"/>
        <v>1738809484</v>
      </c>
      <c r="AJ60" s="43"/>
      <c r="AK60" s="43"/>
      <c r="AL60" s="43"/>
      <c r="AM60" s="43"/>
    </row>
    <row r="61" spans="2:39" ht="15.75" customHeight="1" x14ac:dyDescent="0.25">
      <c r="B61" s="276"/>
      <c r="C61" s="276"/>
      <c r="D61" s="44" t="s">
        <v>279</v>
      </c>
      <c r="E61" s="44" t="s">
        <v>303</v>
      </c>
      <c r="F61" s="44" t="s">
        <v>304</v>
      </c>
      <c r="G61" s="44" t="s">
        <v>272</v>
      </c>
      <c r="H61" s="45" t="s">
        <v>269</v>
      </c>
      <c r="I61" s="44" t="s">
        <v>334</v>
      </c>
      <c r="J61" s="46">
        <v>30</v>
      </c>
      <c r="K61" s="46">
        <v>2</v>
      </c>
      <c r="L61" s="47">
        <f t="shared" si="33"/>
        <v>10509602</v>
      </c>
      <c r="M61" s="47">
        <f t="shared" si="34"/>
        <v>324.99</v>
      </c>
      <c r="N61" s="47">
        <f t="shared" si="36"/>
        <v>840794.15919999999</v>
      </c>
      <c r="O61" s="47">
        <f t="shared" si="0"/>
        <v>22701442</v>
      </c>
      <c r="P61" s="47">
        <f t="shared" si="1"/>
        <v>11350721</v>
      </c>
      <c r="Q61" s="48">
        <f t="shared" si="20"/>
        <v>2270144.2000000002</v>
      </c>
      <c r="R61" s="47">
        <f t="shared" si="21"/>
        <v>431327.39800000004</v>
      </c>
      <c r="S61" s="47">
        <f t="shared" si="4"/>
        <v>23132769</v>
      </c>
      <c r="T61" s="47">
        <f t="shared" si="8"/>
        <v>1761942253</v>
      </c>
      <c r="U61" s="49"/>
      <c r="V61" s="50"/>
      <c r="W61" s="50"/>
      <c r="X61" s="52"/>
      <c r="Y61" s="52"/>
      <c r="Z61" s="53">
        <v>19376195.365416184</v>
      </c>
      <c r="AA61" s="54">
        <f t="shared" si="5"/>
        <v>-3756573.6345838159</v>
      </c>
      <c r="AB61" s="55"/>
      <c r="AC61" s="52"/>
      <c r="AD61" s="52"/>
      <c r="AE61" s="52"/>
      <c r="AF61" s="56"/>
      <c r="AG61" s="52"/>
      <c r="AH61" s="52"/>
      <c r="AI61" s="58">
        <f t="shared" si="10"/>
        <v>1761942253</v>
      </c>
      <c r="AJ61" s="43"/>
      <c r="AK61" s="43"/>
      <c r="AL61" s="43"/>
      <c r="AM61" s="43"/>
    </row>
    <row r="62" spans="2:39" ht="24" customHeight="1" x14ac:dyDescent="0.25">
      <c r="B62" s="297" t="s">
        <v>335</v>
      </c>
      <c r="C62" s="296" t="s">
        <v>336</v>
      </c>
      <c r="D62" s="44" t="s">
        <v>300</v>
      </c>
      <c r="E62" s="44" t="s">
        <v>308</v>
      </c>
      <c r="F62" s="44" t="s">
        <v>308</v>
      </c>
      <c r="G62" s="45" t="s">
        <v>337</v>
      </c>
      <c r="H62" s="45" t="s">
        <v>338</v>
      </c>
      <c r="I62" s="45" t="s">
        <v>339</v>
      </c>
      <c r="J62" s="46">
        <v>30</v>
      </c>
      <c r="K62" s="46">
        <v>1</v>
      </c>
      <c r="L62" s="47">
        <f>9.06*1160000*55.97%/15*12+2</f>
        <v>4705780.4959999993</v>
      </c>
      <c r="M62" s="47">
        <f>+X$9*55.97%/15*12</f>
        <v>145.51752240000002</v>
      </c>
      <c r="N62" s="47">
        <f t="shared" si="36"/>
        <v>376474.08108179196</v>
      </c>
      <c r="O62" s="47">
        <f t="shared" si="0"/>
        <v>5082400</v>
      </c>
      <c r="P62" s="47">
        <f t="shared" si="1"/>
        <v>5082400</v>
      </c>
      <c r="Q62" s="48">
        <f t="shared" si="20"/>
        <v>508240</v>
      </c>
      <c r="R62" s="47">
        <f t="shared" si="21"/>
        <v>96565.6</v>
      </c>
      <c r="S62" s="47">
        <f t="shared" si="4"/>
        <v>5178966</v>
      </c>
      <c r="T62" s="47">
        <f t="shared" si="8"/>
        <v>1767121219</v>
      </c>
      <c r="U62" s="49"/>
      <c r="V62" s="50"/>
      <c r="W62" s="50"/>
      <c r="X62" s="52"/>
      <c r="Y62" s="52"/>
      <c r="Z62" s="53">
        <v>9688097.6827080995</v>
      </c>
      <c r="AA62" s="54">
        <f t="shared" si="5"/>
        <v>4509131.6827080995</v>
      </c>
      <c r="AB62" s="55"/>
      <c r="AC62" s="53">
        <f t="shared" ref="AC62:AC81" si="37">+S62</f>
        <v>5178966</v>
      </c>
      <c r="AD62" s="89">
        <v>4703841.6785409814</v>
      </c>
      <c r="AE62" s="89">
        <f t="shared" ref="AE62:AE81" si="38">+AD62-AC62</f>
        <v>-475124.32145901863</v>
      </c>
      <c r="AF62" s="56">
        <f t="shared" ref="AF62:AF81" si="39">+AD62*80%</f>
        <v>3763073.3428327851</v>
      </c>
      <c r="AG62" s="56">
        <f t="shared" ref="AG62:AG81" si="40">+AC62-AF62</f>
        <v>1415892.6571672149</v>
      </c>
      <c r="AH62" s="52"/>
      <c r="AI62" s="58" t="e">
        <f>++S62++#REF!</f>
        <v>#REF!</v>
      </c>
      <c r="AJ62" s="43"/>
      <c r="AK62" s="43"/>
      <c r="AL62" s="43"/>
      <c r="AM62" s="43"/>
    </row>
    <row r="63" spans="2:39" ht="15" customHeight="1" x14ac:dyDescent="0.25">
      <c r="B63" s="278"/>
      <c r="C63" s="278"/>
      <c r="D63" s="275" t="s">
        <v>16</v>
      </c>
      <c r="E63" s="275" t="s">
        <v>266</v>
      </c>
      <c r="F63" s="275" t="s">
        <v>267</v>
      </c>
      <c r="G63" s="45" t="s">
        <v>340</v>
      </c>
      <c r="H63" s="45" t="s">
        <v>338</v>
      </c>
      <c r="I63" s="45" t="s">
        <v>341</v>
      </c>
      <c r="J63" s="46">
        <v>30</v>
      </c>
      <c r="K63" s="90">
        <v>1</v>
      </c>
      <c r="L63" s="47">
        <f t="shared" ref="L63:L66" si="41">9.06*1160000+2+450000</f>
        <v>10959602</v>
      </c>
      <c r="M63" s="47">
        <f t="shared" ref="M63:M68" si="42">+X$9</f>
        <v>324.99</v>
      </c>
      <c r="N63" s="47">
        <f t="shared" si="36"/>
        <v>876794.15919999999</v>
      </c>
      <c r="O63" s="47">
        <f t="shared" si="0"/>
        <v>11836721</v>
      </c>
      <c r="P63" s="47">
        <f t="shared" si="1"/>
        <v>11836721</v>
      </c>
      <c r="Q63" s="48">
        <f t="shared" si="20"/>
        <v>1183672.1000000001</v>
      </c>
      <c r="R63" s="47">
        <f t="shared" si="21"/>
        <v>224897.69900000002</v>
      </c>
      <c r="S63" s="47">
        <f t="shared" si="4"/>
        <v>12061619</v>
      </c>
      <c r="T63" s="47">
        <f t="shared" si="8"/>
        <v>1779182838</v>
      </c>
      <c r="U63" s="49"/>
      <c r="V63" s="50"/>
      <c r="W63" s="50"/>
      <c r="X63" s="52"/>
      <c r="Y63" s="52"/>
      <c r="Z63" s="53">
        <v>19376195.365416184</v>
      </c>
      <c r="AA63" s="54">
        <f t="shared" si="5"/>
        <v>7314576.3654161841</v>
      </c>
      <c r="AB63" s="55"/>
      <c r="AC63" s="53">
        <f t="shared" si="37"/>
        <v>12061619</v>
      </c>
      <c r="AD63" s="89">
        <v>10636447.008159766</v>
      </c>
      <c r="AE63" s="89">
        <f t="shared" si="38"/>
        <v>-1425171.991840234</v>
      </c>
      <c r="AF63" s="56">
        <f t="shared" si="39"/>
        <v>8509157.6065278128</v>
      </c>
      <c r="AG63" s="56">
        <f t="shared" si="40"/>
        <v>3552461.3934721872</v>
      </c>
      <c r="AH63" s="52"/>
      <c r="AI63" s="58" t="e">
        <f t="shared" ref="AI63:AI81" si="43">++S63++AI62</f>
        <v>#REF!</v>
      </c>
      <c r="AJ63" s="43"/>
      <c r="AK63" s="43"/>
      <c r="AL63" s="43"/>
      <c r="AM63" s="43"/>
    </row>
    <row r="64" spans="2:39" ht="15.75" customHeight="1" x14ac:dyDescent="0.25">
      <c r="B64" s="278"/>
      <c r="C64" s="278"/>
      <c r="D64" s="278"/>
      <c r="E64" s="278"/>
      <c r="F64" s="276"/>
      <c r="G64" s="45" t="s">
        <v>342</v>
      </c>
      <c r="H64" s="45" t="s">
        <v>338</v>
      </c>
      <c r="I64" s="45" t="s">
        <v>343</v>
      </c>
      <c r="J64" s="46">
        <v>30</v>
      </c>
      <c r="K64" s="90">
        <v>1</v>
      </c>
      <c r="L64" s="47">
        <f t="shared" si="41"/>
        <v>10959602</v>
      </c>
      <c r="M64" s="47">
        <f t="shared" si="42"/>
        <v>324.99</v>
      </c>
      <c r="N64" s="47">
        <f t="shared" si="36"/>
        <v>876794.15919999999</v>
      </c>
      <c r="O64" s="47">
        <f t="shared" si="0"/>
        <v>11836721</v>
      </c>
      <c r="P64" s="47">
        <f t="shared" si="1"/>
        <v>11836721</v>
      </c>
      <c r="Q64" s="48">
        <f t="shared" si="20"/>
        <v>1183672.1000000001</v>
      </c>
      <c r="R64" s="47">
        <f t="shared" si="21"/>
        <v>224897.69900000002</v>
      </c>
      <c r="S64" s="47">
        <f t="shared" si="4"/>
        <v>12061619</v>
      </c>
      <c r="T64" s="47">
        <f t="shared" si="8"/>
        <v>1791244457</v>
      </c>
      <c r="U64" s="49"/>
      <c r="V64" s="50"/>
      <c r="W64" s="50"/>
      <c r="X64" s="52"/>
      <c r="Y64" s="52"/>
      <c r="Z64" s="53">
        <v>9507456.0183592662</v>
      </c>
      <c r="AA64" s="54">
        <f t="shared" si="5"/>
        <v>-2554162.9816407338</v>
      </c>
      <c r="AB64" s="55"/>
      <c r="AC64" s="53">
        <f t="shared" si="37"/>
        <v>12061619</v>
      </c>
      <c r="AD64" s="89">
        <v>10636447.008159766</v>
      </c>
      <c r="AE64" s="89">
        <f t="shared" si="38"/>
        <v>-1425171.991840234</v>
      </c>
      <c r="AF64" s="56">
        <f t="shared" si="39"/>
        <v>8509157.6065278128</v>
      </c>
      <c r="AG64" s="56">
        <f t="shared" si="40"/>
        <v>3552461.3934721872</v>
      </c>
      <c r="AH64" s="52"/>
      <c r="AI64" s="58" t="e">
        <f t="shared" si="43"/>
        <v>#REF!</v>
      </c>
      <c r="AJ64" s="43"/>
      <c r="AK64" s="43"/>
      <c r="AL64" s="43"/>
      <c r="AM64" s="43"/>
    </row>
    <row r="65" spans="2:39" ht="15.75" customHeight="1" x14ac:dyDescent="0.25">
      <c r="B65" s="278"/>
      <c r="C65" s="278"/>
      <c r="D65" s="278"/>
      <c r="E65" s="278"/>
      <c r="F65" s="45" t="s">
        <v>267</v>
      </c>
      <c r="G65" s="45" t="s">
        <v>344</v>
      </c>
      <c r="H65" s="45" t="s">
        <v>338</v>
      </c>
      <c r="I65" s="45" t="s">
        <v>345</v>
      </c>
      <c r="J65" s="46">
        <v>30</v>
      </c>
      <c r="K65" s="90">
        <v>2</v>
      </c>
      <c r="L65" s="47">
        <f t="shared" si="41"/>
        <v>10959602</v>
      </c>
      <c r="M65" s="47">
        <f t="shared" si="42"/>
        <v>324.99</v>
      </c>
      <c r="N65" s="47">
        <f t="shared" si="36"/>
        <v>876794.15919999999</v>
      </c>
      <c r="O65" s="47">
        <f t="shared" si="0"/>
        <v>23673442</v>
      </c>
      <c r="P65" s="47">
        <f t="shared" si="1"/>
        <v>11836721</v>
      </c>
      <c r="Q65" s="48">
        <f t="shared" si="20"/>
        <v>2367344.2000000002</v>
      </c>
      <c r="R65" s="47">
        <f t="shared" si="21"/>
        <v>449795.39800000004</v>
      </c>
      <c r="S65" s="47">
        <f t="shared" si="4"/>
        <v>24123237</v>
      </c>
      <c r="T65" s="47">
        <f t="shared" si="8"/>
        <v>1815367694</v>
      </c>
      <c r="U65" s="49"/>
      <c r="V65" s="50"/>
      <c r="W65" s="50"/>
      <c r="X65" s="52"/>
      <c r="Y65" s="52"/>
      <c r="Z65" s="53">
        <v>4703841.6785409814</v>
      </c>
      <c r="AA65" s="54">
        <f t="shared" si="5"/>
        <v>-19419395.321459018</v>
      </c>
      <c r="AB65" s="55"/>
      <c r="AC65" s="53">
        <f t="shared" si="37"/>
        <v>24123237</v>
      </c>
      <c r="AD65" s="89">
        <v>21272894.016319532</v>
      </c>
      <c r="AE65" s="89">
        <f t="shared" si="38"/>
        <v>-2850342.9836804681</v>
      </c>
      <c r="AF65" s="56">
        <f t="shared" si="39"/>
        <v>17018315.213055626</v>
      </c>
      <c r="AG65" s="56">
        <f t="shared" si="40"/>
        <v>7104921.7869443744</v>
      </c>
      <c r="AH65" s="52"/>
      <c r="AI65" s="58" t="e">
        <f t="shared" si="43"/>
        <v>#REF!</v>
      </c>
      <c r="AJ65" s="43"/>
      <c r="AK65" s="43"/>
      <c r="AL65" s="43"/>
      <c r="AM65" s="43"/>
    </row>
    <row r="66" spans="2:39" ht="15.75" customHeight="1" x14ac:dyDescent="0.25">
      <c r="B66" s="278"/>
      <c r="C66" s="278"/>
      <c r="D66" s="278"/>
      <c r="E66" s="278"/>
      <c r="F66" s="45" t="s">
        <v>267</v>
      </c>
      <c r="G66" s="45" t="s">
        <v>346</v>
      </c>
      <c r="H66" s="45" t="s">
        <v>338</v>
      </c>
      <c r="I66" s="45" t="s">
        <v>343</v>
      </c>
      <c r="J66" s="46">
        <v>30</v>
      </c>
      <c r="K66" s="90">
        <v>1</v>
      </c>
      <c r="L66" s="47">
        <f t="shared" si="41"/>
        <v>10959602</v>
      </c>
      <c r="M66" s="47">
        <f t="shared" si="42"/>
        <v>324.99</v>
      </c>
      <c r="N66" s="47">
        <f t="shared" si="36"/>
        <v>876794.15919999999</v>
      </c>
      <c r="O66" s="47">
        <f t="shared" si="0"/>
        <v>11836721</v>
      </c>
      <c r="P66" s="47">
        <f t="shared" si="1"/>
        <v>11836721</v>
      </c>
      <c r="Q66" s="48">
        <f t="shared" si="20"/>
        <v>1183672.1000000001</v>
      </c>
      <c r="R66" s="47">
        <f t="shared" si="21"/>
        <v>224897.69900000002</v>
      </c>
      <c r="S66" s="47">
        <f t="shared" si="4"/>
        <v>12061619</v>
      </c>
      <c r="T66" s="47">
        <f t="shared" si="8"/>
        <v>1827429313</v>
      </c>
      <c r="U66" s="49"/>
      <c r="V66" s="50"/>
      <c r="W66" s="50"/>
      <c r="X66" s="52"/>
      <c r="Y66" s="52"/>
      <c r="Z66" s="53">
        <v>10636447.008159766</v>
      </c>
      <c r="AA66" s="54">
        <f t="shared" si="5"/>
        <v>-1425171.991840234</v>
      </c>
      <c r="AB66" s="55"/>
      <c r="AC66" s="53">
        <f t="shared" si="37"/>
        <v>12061619</v>
      </c>
      <c r="AD66" s="89">
        <v>10636447.008159766</v>
      </c>
      <c r="AE66" s="89">
        <f t="shared" si="38"/>
        <v>-1425171.991840234</v>
      </c>
      <c r="AF66" s="56">
        <f t="shared" si="39"/>
        <v>8509157.6065278128</v>
      </c>
      <c r="AG66" s="56">
        <f t="shared" si="40"/>
        <v>3552461.3934721872</v>
      </c>
      <c r="AH66" s="52"/>
      <c r="AI66" s="58" t="e">
        <f t="shared" si="43"/>
        <v>#REF!</v>
      </c>
      <c r="AJ66" s="43"/>
      <c r="AK66" s="43"/>
      <c r="AL66" s="43"/>
      <c r="AM66" s="43"/>
    </row>
    <row r="67" spans="2:39" ht="14.25" customHeight="1" x14ac:dyDescent="0.25">
      <c r="B67" s="278"/>
      <c r="C67" s="278"/>
      <c r="D67" s="276"/>
      <c r="E67" s="276"/>
      <c r="F67" s="45" t="s">
        <v>347</v>
      </c>
      <c r="G67" s="45" t="s">
        <v>348</v>
      </c>
      <c r="H67" s="45" t="s">
        <v>338</v>
      </c>
      <c r="I67" s="45" t="s">
        <v>349</v>
      </c>
      <c r="J67" s="46">
        <v>30</v>
      </c>
      <c r="K67" s="90">
        <v>6</v>
      </c>
      <c r="L67" s="47">
        <f>9.06*1160000</f>
        <v>10509600</v>
      </c>
      <c r="M67" s="47">
        <f t="shared" si="42"/>
        <v>324.99</v>
      </c>
      <c r="N67" s="47">
        <f t="shared" si="36"/>
        <v>840793.99920000008</v>
      </c>
      <c r="O67" s="47">
        <f t="shared" si="0"/>
        <v>68104314</v>
      </c>
      <c r="P67" s="47">
        <f t="shared" si="1"/>
        <v>11350719</v>
      </c>
      <c r="Q67" s="48">
        <f t="shared" si="20"/>
        <v>6810431.4000000004</v>
      </c>
      <c r="R67" s="47">
        <f t="shared" si="21"/>
        <v>1293981.966</v>
      </c>
      <c r="S67" s="47">
        <f t="shared" si="4"/>
        <v>69398296</v>
      </c>
      <c r="T67" s="47">
        <f t="shared" si="8"/>
        <v>1896827609</v>
      </c>
      <c r="U67" s="49"/>
      <c r="V67" s="50"/>
      <c r="W67" s="50"/>
      <c r="X67" s="52"/>
      <c r="Y67" s="52"/>
      <c r="Z67" s="53">
        <v>10636447.008159766</v>
      </c>
      <c r="AA67" s="54">
        <f t="shared" si="5"/>
        <v>-58761848.991840236</v>
      </c>
      <c r="AB67" s="55"/>
      <c r="AC67" s="53">
        <f t="shared" si="37"/>
        <v>69398296</v>
      </c>
      <c r="AD67" s="89">
        <v>106364470.08159767</v>
      </c>
      <c r="AE67" s="89">
        <f t="shared" si="38"/>
        <v>36966174.081597671</v>
      </c>
      <c r="AF67" s="56">
        <f t="shared" si="39"/>
        <v>85091576.065278143</v>
      </c>
      <c r="AG67" s="56">
        <f t="shared" si="40"/>
        <v>-15693280.065278143</v>
      </c>
      <c r="AH67" s="52"/>
      <c r="AI67" s="58" t="e">
        <f t="shared" si="43"/>
        <v>#REF!</v>
      </c>
      <c r="AJ67" s="43"/>
      <c r="AK67" s="43"/>
      <c r="AL67" s="43"/>
      <c r="AM67" s="43"/>
    </row>
    <row r="68" spans="2:39" ht="15.75" customHeight="1" x14ac:dyDescent="0.25">
      <c r="B68" s="278"/>
      <c r="C68" s="278"/>
      <c r="D68" s="275" t="s">
        <v>279</v>
      </c>
      <c r="E68" s="275" t="s">
        <v>280</v>
      </c>
      <c r="F68" s="275" t="s">
        <v>281</v>
      </c>
      <c r="G68" s="45" t="s">
        <v>350</v>
      </c>
      <c r="H68" s="45" t="s">
        <v>338</v>
      </c>
      <c r="I68" s="45" t="s">
        <v>351</v>
      </c>
      <c r="J68" s="46">
        <v>30</v>
      </c>
      <c r="K68" s="90">
        <v>1</v>
      </c>
      <c r="L68" s="47">
        <f>9.06*1160000+2+450000</f>
        <v>10959602</v>
      </c>
      <c r="M68" s="47">
        <f t="shared" si="42"/>
        <v>324.99</v>
      </c>
      <c r="N68" s="47">
        <f t="shared" si="36"/>
        <v>876794.15919999999</v>
      </c>
      <c r="O68" s="47">
        <f t="shared" si="0"/>
        <v>11836721</v>
      </c>
      <c r="P68" s="47">
        <f t="shared" si="1"/>
        <v>11836721</v>
      </c>
      <c r="Q68" s="48">
        <f t="shared" si="20"/>
        <v>1183672.1000000001</v>
      </c>
      <c r="R68" s="47">
        <f t="shared" si="21"/>
        <v>224897.69900000002</v>
      </c>
      <c r="S68" s="47">
        <f t="shared" si="4"/>
        <v>12061619</v>
      </c>
      <c r="T68" s="47">
        <f t="shared" si="8"/>
        <v>1908889228</v>
      </c>
      <c r="U68" s="49"/>
      <c r="V68" s="50"/>
      <c r="W68" s="50"/>
      <c r="X68" s="52"/>
      <c r="Y68" s="52"/>
      <c r="Z68" s="53">
        <v>21272894.016319532</v>
      </c>
      <c r="AA68" s="54">
        <f t="shared" si="5"/>
        <v>9211275.0163195319</v>
      </c>
      <c r="AB68" s="55"/>
      <c r="AC68" s="53">
        <f t="shared" si="37"/>
        <v>12061619</v>
      </c>
      <c r="AD68" s="89">
        <v>10636447.008159766</v>
      </c>
      <c r="AE68" s="89">
        <f t="shared" si="38"/>
        <v>-1425171.991840234</v>
      </c>
      <c r="AF68" s="56">
        <f t="shared" si="39"/>
        <v>8509157.6065278128</v>
      </c>
      <c r="AG68" s="56">
        <f t="shared" si="40"/>
        <v>3552461.3934721872</v>
      </c>
      <c r="AH68" s="52"/>
      <c r="AI68" s="58" t="e">
        <f t="shared" si="43"/>
        <v>#REF!</v>
      </c>
      <c r="AJ68" s="43"/>
      <c r="AK68" s="43"/>
      <c r="AL68" s="43"/>
      <c r="AM68" s="43"/>
    </row>
    <row r="69" spans="2:39" ht="15.75" customHeight="1" x14ac:dyDescent="0.25">
      <c r="B69" s="278"/>
      <c r="C69" s="278"/>
      <c r="D69" s="276"/>
      <c r="E69" s="276"/>
      <c r="F69" s="276"/>
      <c r="G69" s="45" t="s">
        <v>352</v>
      </c>
      <c r="H69" s="45" t="s">
        <v>338</v>
      </c>
      <c r="I69" s="45" t="s">
        <v>353</v>
      </c>
      <c r="J69" s="46">
        <v>30</v>
      </c>
      <c r="K69" s="90">
        <v>1</v>
      </c>
      <c r="L69" s="47">
        <f>(9.06*1160000*55.97%)+(9.06*1160000*44.03%/9*1)</f>
        <v>6396376.1066666665</v>
      </c>
      <c r="M69" s="47">
        <f>+(X$9*55.97%)+(X9*44.03%/9*1)</f>
        <v>197.79613600000002</v>
      </c>
      <c r="N69" s="47">
        <f t="shared" si="36"/>
        <v>511725.91222421336</v>
      </c>
      <c r="O69" s="47">
        <f t="shared" si="0"/>
        <v>6908300</v>
      </c>
      <c r="P69" s="47">
        <f t="shared" si="1"/>
        <v>6908300</v>
      </c>
      <c r="Q69" s="48">
        <f t="shared" si="20"/>
        <v>690830</v>
      </c>
      <c r="R69" s="47">
        <f t="shared" si="21"/>
        <v>131257.70000000001</v>
      </c>
      <c r="S69" s="47">
        <f t="shared" si="4"/>
        <v>7039558</v>
      </c>
      <c r="T69" s="47">
        <f t="shared" si="8"/>
        <v>1915928786</v>
      </c>
      <c r="U69" s="49"/>
      <c r="V69" s="50"/>
      <c r="W69" s="50"/>
      <c r="X69" s="52"/>
      <c r="Y69" s="52"/>
      <c r="Z69" s="53">
        <v>10636447.008159766</v>
      </c>
      <c r="AA69" s="54">
        <f t="shared" si="5"/>
        <v>3596889.008159766</v>
      </c>
      <c r="AB69" s="55"/>
      <c r="AC69" s="53">
        <f t="shared" si="37"/>
        <v>7039558</v>
      </c>
      <c r="AD69" s="89">
        <v>7737445.0613655103</v>
      </c>
      <c r="AE69" s="89">
        <f t="shared" si="38"/>
        <v>697887.06136551034</v>
      </c>
      <c r="AF69" s="56">
        <f t="shared" si="39"/>
        <v>6189956.0490924083</v>
      </c>
      <c r="AG69" s="56">
        <f t="shared" si="40"/>
        <v>849601.95090759173</v>
      </c>
      <c r="AH69" s="52"/>
      <c r="AI69" s="58" t="e">
        <f t="shared" si="43"/>
        <v>#REF!</v>
      </c>
      <c r="AJ69" s="43"/>
      <c r="AK69" s="43"/>
      <c r="AL69" s="43"/>
      <c r="AM69" s="43"/>
    </row>
    <row r="70" spans="2:39" ht="15.75" customHeight="1" x14ac:dyDescent="0.25">
      <c r="B70" s="278"/>
      <c r="C70" s="278"/>
      <c r="D70" s="275" t="s">
        <v>278</v>
      </c>
      <c r="E70" s="275" t="s">
        <v>286</v>
      </c>
      <c r="F70" s="275" t="s">
        <v>287</v>
      </c>
      <c r="G70" s="45" t="s">
        <v>354</v>
      </c>
      <c r="H70" s="45" t="s">
        <v>338</v>
      </c>
      <c r="I70" s="45" t="s">
        <v>355</v>
      </c>
      <c r="J70" s="46">
        <v>30</v>
      </c>
      <c r="K70" s="90">
        <v>1</v>
      </c>
      <c r="L70" s="47">
        <f>(9.06*1160000*55.97%)+(9.06*1160000*44.03%/9*1)+2</f>
        <v>6396378.1066666665</v>
      </c>
      <c r="M70" s="47">
        <f>+(X$9*55.97%)+(X9*44.03%/9*1)</f>
        <v>197.79613600000002</v>
      </c>
      <c r="N70" s="47">
        <f t="shared" si="36"/>
        <v>511726.07222421333</v>
      </c>
      <c r="O70" s="47">
        <f t="shared" si="0"/>
        <v>6908302</v>
      </c>
      <c r="P70" s="47">
        <f t="shared" si="1"/>
        <v>6908302</v>
      </c>
      <c r="Q70" s="48">
        <f t="shared" si="20"/>
        <v>690830.20000000007</v>
      </c>
      <c r="R70" s="47">
        <f t="shared" si="21"/>
        <v>131257.73800000001</v>
      </c>
      <c r="S70" s="47">
        <f t="shared" si="4"/>
        <v>7039560</v>
      </c>
      <c r="T70" s="47">
        <f t="shared" si="8"/>
        <v>1922968346</v>
      </c>
      <c r="U70" s="49"/>
      <c r="V70" s="50"/>
      <c r="W70" s="50"/>
      <c r="X70" s="52"/>
      <c r="Y70" s="52"/>
      <c r="Z70" s="53">
        <v>106364470.08159767</v>
      </c>
      <c r="AA70" s="54">
        <f t="shared" si="5"/>
        <v>99324910.081597671</v>
      </c>
      <c r="AB70" s="55"/>
      <c r="AC70" s="53">
        <f t="shared" si="37"/>
        <v>7039560</v>
      </c>
      <c r="AD70" s="89">
        <v>6230950.2164377533</v>
      </c>
      <c r="AE70" s="89">
        <f t="shared" si="38"/>
        <v>-808609.78356224671</v>
      </c>
      <c r="AF70" s="56">
        <f t="shared" si="39"/>
        <v>4984760.1731502032</v>
      </c>
      <c r="AG70" s="56">
        <f t="shared" si="40"/>
        <v>2054799.8268497968</v>
      </c>
      <c r="AH70" s="52"/>
      <c r="AI70" s="58" t="e">
        <f t="shared" si="43"/>
        <v>#REF!</v>
      </c>
      <c r="AJ70" s="43"/>
      <c r="AK70" s="43"/>
      <c r="AL70" s="43"/>
      <c r="AM70" s="43"/>
    </row>
    <row r="71" spans="2:39" ht="15.75" customHeight="1" x14ac:dyDescent="0.25">
      <c r="B71" s="278"/>
      <c r="C71" s="278"/>
      <c r="D71" s="276"/>
      <c r="E71" s="276"/>
      <c r="F71" s="276"/>
      <c r="G71" s="45" t="s">
        <v>340</v>
      </c>
      <c r="H71" s="45" t="s">
        <v>338</v>
      </c>
      <c r="I71" s="45" t="s">
        <v>356</v>
      </c>
      <c r="J71" s="46">
        <v>30</v>
      </c>
      <c r="K71" s="90">
        <v>1</v>
      </c>
      <c r="L71" s="47">
        <f t="shared" ref="L71:L73" si="44">9.06*1160000+2+450000</f>
        <v>10959602</v>
      </c>
      <c r="M71" s="47">
        <f t="shared" ref="M71:M75" si="45">+X$9</f>
        <v>324.99</v>
      </c>
      <c r="N71" s="47">
        <f t="shared" si="36"/>
        <v>876794.15919999999</v>
      </c>
      <c r="O71" s="47">
        <f t="shared" si="0"/>
        <v>11836721</v>
      </c>
      <c r="P71" s="47">
        <f t="shared" si="1"/>
        <v>11836721</v>
      </c>
      <c r="Q71" s="48">
        <f t="shared" si="20"/>
        <v>1183672.1000000001</v>
      </c>
      <c r="R71" s="47">
        <f t="shared" si="21"/>
        <v>224897.69900000002</v>
      </c>
      <c r="S71" s="47">
        <f t="shared" si="4"/>
        <v>12061619</v>
      </c>
      <c r="T71" s="47">
        <f t="shared" si="8"/>
        <v>1935029965</v>
      </c>
      <c r="U71" s="49"/>
      <c r="V71" s="50"/>
      <c r="W71" s="50"/>
      <c r="X71" s="52"/>
      <c r="Y71" s="52"/>
      <c r="Z71" s="53">
        <v>10636447.008159766</v>
      </c>
      <c r="AA71" s="54">
        <f t="shared" si="5"/>
        <v>-1425171.991840234</v>
      </c>
      <c r="AB71" s="55"/>
      <c r="AC71" s="53">
        <f t="shared" si="37"/>
        <v>12061619</v>
      </c>
      <c r="AD71" s="89">
        <v>10636447.008159766</v>
      </c>
      <c r="AE71" s="89">
        <f t="shared" si="38"/>
        <v>-1425171.991840234</v>
      </c>
      <c r="AF71" s="56">
        <f t="shared" si="39"/>
        <v>8509157.6065278128</v>
      </c>
      <c r="AG71" s="56">
        <f t="shared" si="40"/>
        <v>3552461.3934721872</v>
      </c>
      <c r="AH71" s="52"/>
      <c r="AI71" s="58" t="e">
        <f t="shared" si="43"/>
        <v>#REF!</v>
      </c>
      <c r="AJ71" s="43"/>
      <c r="AK71" s="43"/>
      <c r="AL71" s="43"/>
      <c r="AM71" s="43"/>
    </row>
    <row r="72" spans="2:39" ht="15.75" customHeight="1" x14ac:dyDescent="0.25">
      <c r="B72" s="278"/>
      <c r="C72" s="278"/>
      <c r="D72" s="279" t="s">
        <v>140</v>
      </c>
      <c r="E72" s="279" t="s">
        <v>141</v>
      </c>
      <c r="F72" s="279" t="s">
        <v>289</v>
      </c>
      <c r="G72" s="74" t="s">
        <v>340</v>
      </c>
      <c r="H72" s="74" t="s">
        <v>338</v>
      </c>
      <c r="I72" s="74" t="s">
        <v>357</v>
      </c>
      <c r="J72" s="75">
        <v>30</v>
      </c>
      <c r="K72" s="91">
        <v>1</v>
      </c>
      <c r="L72" s="76">
        <f t="shared" si="44"/>
        <v>10959602</v>
      </c>
      <c r="M72" s="76">
        <f t="shared" si="45"/>
        <v>324.99</v>
      </c>
      <c r="N72" s="76">
        <f t="shared" si="36"/>
        <v>876794.15919999999</v>
      </c>
      <c r="O72" s="76">
        <f t="shared" si="0"/>
        <v>11836721</v>
      </c>
      <c r="P72" s="76">
        <f t="shared" si="1"/>
        <v>11836721</v>
      </c>
      <c r="Q72" s="77">
        <v>0</v>
      </c>
      <c r="R72" s="76">
        <v>0</v>
      </c>
      <c r="S72" s="76">
        <f t="shared" si="4"/>
        <v>11836721</v>
      </c>
      <c r="T72" s="76">
        <f t="shared" si="8"/>
        <v>1946866686</v>
      </c>
      <c r="U72" s="78"/>
      <c r="V72" s="79"/>
      <c r="W72" s="79"/>
      <c r="X72" s="80"/>
      <c r="Y72" s="80"/>
      <c r="Z72" s="81">
        <v>7737445.0613655103</v>
      </c>
      <c r="AA72" s="82">
        <f t="shared" si="5"/>
        <v>-4099275.9386344897</v>
      </c>
      <c r="AB72" s="83"/>
      <c r="AC72" s="81">
        <f t="shared" si="37"/>
        <v>11836721</v>
      </c>
      <c r="AD72" s="92">
        <v>10438122.677291233</v>
      </c>
      <c r="AE72" s="92">
        <f t="shared" si="38"/>
        <v>-1398598.3227087669</v>
      </c>
      <c r="AF72" s="84">
        <f t="shared" si="39"/>
        <v>8350498.1418329868</v>
      </c>
      <c r="AG72" s="84">
        <f t="shared" si="40"/>
        <v>3486222.8581670132</v>
      </c>
      <c r="AH72" s="80"/>
      <c r="AI72" s="86" t="e">
        <f t="shared" si="43"/>
        <v>#REF!</v>
      </c>
      <c r="AJ72" s="72"/>
      <c r="AK72" s="72"/>
      <c r="AL72" s="72"/>
      <c r="AM72" s="72"/>
    </row>
    <row r="73" spans="2:39" ht="15.75" customHeight="1" x14ac:dyDescent="0.25">
      <c r="B73" s="278"/>
      <c r="C73" s="278"/>
      <c r="D73" s="276"/>
      <c r="E73" s="276"/>
      <c r="F73" s="276"/>
      <c r="G73" s="74" t="s">
        <v>358</v>
      </c>
      <c r="H73" s="74" t="s">
        <v>338</v>
      </c>
      <c r="I73" s="74" t="s">
        <v>359</v>
      </c>
      <c r="J73" s="75">
        <v>30</v>
      </c>
      <c r="K73" s="91">
        <v>2</v>
      </c>
      <c r="L73" s="76">
        <f t="shared" si="44"/>
        <v>10959602</v>
      </c>
      <c r="M73" s="76">
        <f t="shared" si="45"/>
        <v>324.99</v>
      </c>
      <c r="N73" s="76">
        <f t="shared" si="36"/>
        <v>876794.15919999999</v>
      </c>
      <c r="O73" s="76">
        <f t="shared" si="0"/>
        <v>23673442</v>
      </c>
      <c r="P73" s="76">
        <f t="shared" si="1"/>
        <v>11836721</v>
      </c>
      <c r="Q73" s="77">
        <v>0</v>
      </c>
      <c r="R73" s="76">
        <v>0</v>
      </c>
      <c r="S73" s="76">
        <f t="shared" si="4"/>
        <v>23673442</v>
      </c>
      <c r="T73" s="76">
        <f t="shared" si="8"/>
        <v>1970540128</v>
      </c>
      <c r="U73" s="78"/>
      <c r="V73" s="79"/>
      <c r="W73" s="79"/>
      <c r="X73" s="80"/>
      <c r="Y73" s="80"/>
      <c r="Z73" s="81">
        <v>6230950.2164377533</v>
      </c>
      <c r="AA73" s="82">
        <f t="shared" si="5"/>
        <v>-17442491.783562247</v>
      </c>
      <c r="AB73" s="83"/>
      <c r="AC73" s="81">
        <f t="shared" si="37"/>
        <v>23673442</v>
      </c>
      <c r="AD73" s="92">
        <v>20876245.354582466</v>
      </c>
      <c r="AE73" s="92">
        <f t="shared" si="38"/>
        <v>-2797196.6454175338</v>
      </c>
      <c r="AF73" s="84">
        <f t="shared" si="39"/>
        <v>16700996.283665974</v>
      </c>
      <c r="AG73" s="84">
        <f t="shared" si="40"/>
        <v>6972445.7163340263</v>
      </c>
      <c r="AH73" s="80"/>
      <c r="AI73" s="86" t="e">
        <f t="shared" si="43"/>
        <v>#REF!</v>
      </c>
      <c r="AJ73" s="72"/>
      <c r="AK73" s="72"/>
      <c r="AL73" s="72"/>
      <c r="AM73" s="72"/>
    </row>
    <row r="74" spans="2:39" ht="15.75" customHeight="1" x14ac:dyDescent="0.25">
      <c r="B74" s="278"/>
      <c r="C74" s="278"/>
      <c r="D74" s="275" t="s">
        <v>292</v>
      </c>
      <c r="E74" s="275" t="s">
        <v>293</v>
      </c>
      <c r="F74" s="275" t="s">
        <v>294</v>
      </c>
      <c r="G74" s="45" t="s">
        <v>360</v>
      </c>
      <c r="H74" s="45" t="s">
        <v>338</v>
      </c>
      <c r="I74" s="45" t="s">
        <v>361</v>
      </c>
      <c r="J74" s="46">
        <v>30</v>
      </c>
      <c r="K74" s="90">
        <v>1</v>
      </c>
      <c r="L74" s="47">
        <f>9.06*1160000+2</f>
        <v>10509602</v>
      </c>
      <c r="M74" s="47">
        <f t="shared" si="45"/>
        <v>324.99</v>
      </c>
      <c r="N74" s="47">
        <f t="shared" si="36"/>
        <v>840794.15919999999</v>
      </c>
      <c r="O74" s="47">
        <f t="shared" si="0"/>
        <v>11350721</v>
      </c>
      <c r="P74" s="47">
        <f t="shared" si="1"/>
        <v>11350721</v>
      </c>
      <c r="Q74" s="48">
        <f t="shared" ref="Q74:Q83" si="46">+O74*10%</f>
        <v>1135072.1000000001</v>
      </c>
      <c r="R74" s="47">
        <f t="shared" ref="R74:R83" si="47">+Q74*19%</f>
        <v>215663.69900000002</v>
      </c>
      <c r="S74" s="47">
        <f t="shared" si="4"/>
        <v>11566385</v>
      </c>
      <c r="T74" s="47">
        <f t="shared" si="8"/>
        <v>1982106513</v>
      </c>
      <c r="U74" s="49"/>
      <c r="V74" s="50"/>
      <c r="W74" s="50"/>
      <c r="X74" s="52"/>
      <c r="Y74" s="52"/>
      <c r="Z74" s="53">
        <v>10636447.008159766</v>
      </c>
      <c r="AA74" s="54">
        <f t="shared" si="5"/>
        <v>-929937.99184023403</v>
      </c>
      <c r="AB74" s="55"/>
      <c r="AC74" s="53">
        <f t="shared" si="37"/>
        <v>11566385</v>
      </c>
      <c r="AD74" s="89">
        <v>10636447.008159766</v>
      </c>
      <c r="AE74" s="89">
        <f t="shared" si="38"/>
        <v>-929937.99184023403</v>
      </c>
      <c r="AF74" s="56">
        <f t="shared" si="39"/>
        <v>8509157.6065278128</v>
      </c>
      <c r="AG74" s="56">
        <f t="shared" si="40"/>
        <v>3057227.3934721872</v>
      </c>
      <c r="AH74" s="52"/>
      <c r="AI74" s="58" t="e">
        <f t="shared" si="43"/>
        <v>#REF!</v>
      </c>
      <c r="AJ74" s="43"/>
      <c r="AK74" s="43"/>
      <c r="AL74" s="43"/>
      <c r="AM74" s="43"/>
    </row>
    <row r="75" spans="2:39" ht="15.75" customHeight="1" x14ac:dyDescent="0.25">
      <c r="B75" s="278"/>
      <c r="C75" s="278"/>
      <c r="D75" s="278"/>
      <c r="E75" s="276"/>
      <c r="F75" s="276"/>
      <c r="G75" s="45" t="s">
        <v>340</v>
      </c>
      <c r="H75" s="45" t="s">
        <v>338</v>
      </c>
      <c r="I75" s="45" t="s">
        <v>362</v>
      </c>
      <c r="J75" s="46">
        <v>30</v>
      </c>
      <c r="K75" s="90">
        <v>1</v>
      </c>
      <c r="L75" s="47">
        <f>9.06*1160000+2+450000</f>
        <v>10959602</v>
      </c>
      <c r="M75" s="47">
        <f t="shared" si="45"/>
        <v>324.99</v>
      </c>
      <c r="N75" s="47">
        <f t="shared" si="36"/>
        <v>876794.15919999999</v>
      </c>
      <c r="O75" s="47">
        <f t="shared" si="0"/>
        <v>11836721</v>
      </c>
      <c r="P75" s="47">
        <f t="shared" si="1"/>
        <v>11836721</v>
      </c>
      <c r="Q75" s="48">
        <f t="shared" si="46"/>
        <v>1183672.1000000001</v>
      </c>
      <c r="R75" s="47">
        <f t="shared" si="47"/>
        <v>224897.69900000002</v>
      </c>
      <c r="S75" s="47">
        <f t="shared" si="4"/>
        <v>12061619</v>
      </c>
      <c r="T75" s="47">
        <f t="shared" si="8"/>
        <v>1994168132</v>
      </c>
      <c r="U75" s="49"/>
      <c r="V75" s="50"/>
      <c r="W75" s="50"/>
      <c r="X75" s="52"/>
      <c r="Y75" s="52"/>
      <c r="Z75" s="53">
        <v>10438122.677291233</v>
      </c>
      <c r="AA75" s="54">
        <f t="shared" si="5"/>
        <v>-1623496.3227087669</v>
      </c>
      <c r="AB75" s="55"/>
      <c r="AC75" s="53">
        <f t="shared" si="37"/>
        <v>12061619</v>
      </c>
      <c r="AD75" s="89">
        <v>10636447.008159766</v>
      </c>
      <c r="AE75" s="89">
        <f t="shared" si="38"/>
        <v>-1425171.991840234</v>
      </c>
      <c r="AF75" s="56">
        <f t="shared" si="39"/>
        <v>8509157.6065278128</v>
      </c>
      <c r="AG75" s="56">
        <f t="shared" si="40"/>
        <v>3552461.3934721872</v>
      </c>
      <c r="AH75" s="52"/>
      <c r="AI75" s="58" t="e">
        <f t="shared" si="43"/>
        <v>#REF!</v>
      </c>
      <c r="AJ75" s="43"/>
      <c r="AK75" s="43"/>
      <c r="AL75" s="43"/>
      <c r="AM75" s="43"/>
    </row>
    <row r="76" spans="2:39" ht="15.75" customHeight="1" x14ac:dyDescent="0.25">
      <c r="B76" s="278"/>
      <c r="C76" s="278"/>
      <c r="D76" s="276"/>
      <c r="E76" s="45" t="s">
        <v>296</v>
      </c>
      <c r="F76" s="45" t="s">
        <v>363</v>
      </c>
      <c r="G76" s="45" t="s">
        <v>364</v>
      </c>
      <c r="H76" s="45" t="s">
        <v>338</v>
      </c>
      <c r="I76" s="45" t="s">
        <v>365</v>
      </c>
      <c r="J76" s="46">
        <v>30</v>
      </c>
      <c r="K76" s="90">
        <v>1</v>
      </c>
      <c r="L76" s="47">
        <f t="shared" ref="L76:L77" si="48">9.06*1160000*55.97%/15*12+2</f>
        <v>4705780.4959999993</v>
      </c>
      <c r="M76" s="47">
        <f t="shared" ref="M76:M77" si="49">+X$9*55.97%/15*12</f>
        <v>145.51752240000002</v>
      </c>
      <c r="N76" s="47">
        <f t="shared" si="36"/>
        <v>376474.08108179196</v>
      </c>
      <c r="O76" s="47">
        <f t="shared" si="0"/>
        <v>5082400</v>
      </c>
      <c r="P76" s="47">
        <f t="shared" si="1"/>
        <v>5082400</v>
      </c>
      <c r="Q76" s="48">
        <f t="shared" si="46"/>
        <v>508240</v>
      </c>
      <c r="R76" s="47">
        <f t="shared" si="47"/>
        <v>96565.6</v>
      </c>
      <c r="S76" s="47">
        <f t="shared" si="4"/>
        <v>5178966</v>
      </c>
      <c r="T76" s="47">
        <f t="shared" si="8"/>
        <v>1999347098</v>
      </c>
      <c r="U76" s="49"/>
      <c r="V76" s="50"/>
      <c r="W76" s="50"/>
      <c r="X76" s="52"/>
      <c r="Y76" s="52"/>
      <c r="Z76" s="53">
        <v>20876245.354582466</v>
      </c>
      <c r="AA76" s="54">
        <f t="shared" si="5"/>
        <v>15697279.354582466</v>
      </c>
      <c r="AB76" s="55"/>
      <c r="AC76" s="53">
        <f t="shared" si="37"/>
        <v>5178966</v>
      </c>
      <c r="AD76" s="89">
        <v>5202345.3234609812</v>
      </c>
      <c r="AE76" s="89">
        <f t="shared" si="38"/>
        <v>23379.32346098125</v>
      </c>
      <c r="AF76" s="56">
        <f t="shared" si="39"/>
        <v>4161876.2587687853</v>
      </c>
      <c r="AG76" s="56">
        <f t="shared" si="40"/>
        <v>1017089.7412312147</v>
      </c>
      <c r="AH76" s="52"/>
      <c r="AI76" s="58" t="e">
        <f t="shared" si="43"/>
        <v>#REF!</v>
      </c>
      <c r="AJ76" s="43"/>
      <c r="AK76" s="43"/>
      <c r="AL76" s="43"/>
      <c r="AM76" s="43"/>
    </row>
    <row r="77" spans="2:39" ht="15.75" customHeight="1" x14ac:dyDescent="0.25">
      <c r="B77" s="278"/>
      <c r="C77" s="278"/>
      <c r="D77" s="275" t="s">
        <v>300</v>
      </c>
      <c r="E77" s="275" t="s">
        <v>301</v>
      </c>
      <c r="F77" s="275" t="s">
        <v>302</v>
      </c>
      <c r="G77" s="45" t="s">
        <v>366</v>
      </c>
      <c r="H77" s="45" t="s">
        <v>338</v>
      </c>
      <c r="I77" s="45" t="s">
        <v>367</v>
      </c>
      <c r="J77" s="46">
        <v>30</v>
      </c>
      <c r="K77" s="90">
        <v>1</v>
      </c>
      <c r="L77" s="47">
        <f t="shared" si="48"/>
        <v>4705780.4959999993</v>
      </c>
      <c r="M77" s="47">
        <f t="shared" si="49"/>
        <v>145.51752240000002</v>
      </c>
      <c r="N77" s="47">
        <f t="shared" si="36"/>
        <v>376474.08108179196</v>
      </c>
      <c r="O77" s="47">
        <f t="shared" si="0"/>
        <v>5082400</v>
      </c>
      <c r="P77" s="47">
        <f t="shared" si="1"/>
        <v>5082400</v>
      </c>
      <c r="Q77" s="48">
        <f t="shared" si="46"/>
        <v>508240</v>
      </c>
      <c r="R77" s="47">
        <f t="shared" si="47"/>
        <v>96565.6</v>
      </c>
      <c r="S77" s="47">
        <f t="shared" si="4"/>
        <v>5178966</v>
      </c>
      <c r="T77" s="47">
        <f t="shared" si="8"/>
        <v>2004526064</v>
      </c>
      <c r="U77" s="49"/>
      <c r="V77" s="50"/>
      <c r="W77" s="50"/>
      <c r="X77" s="52"/>
      <c r="Y77" s="52"/>
      <c r="Z77" s="53">
        <v>10636447.008159766</v>
      </c>
      <c r="AA77" s="54">
        <f t="shared" si="5"/>
        <v>5457481.008159766</v>
      </c>
      <c r="AB77" s="55"/>
      <c r="AC77" s="53">
        <f t="shared" si="37"/>
        <v>5178966</v>
      </c>
      <c r="AD77" s="89">
        <v>4703841.6785409814</v>
      </c>
      <c r="AE77" s="89">
        <f t="shared" si="38"/>
        <v>-475124.32145901863</v>
      </c>
      <c r="AF77" s="56">
        <f t="shared" si="39"/>
        <v>3763073.3428327851</v>
      </c>
      <c r="AG77" s="56">
        <f t="shared" si="40"/>
        <v>1415892.6571672149</v>
      </c>
      <c r="AH77" s="52"/>
      <c r="AI77" s="58" t="e">
        <f t="shared" si="43"/>
        <v>#REF!</v>
      </c>
      <c r="AJ77" s="43"/>
      <c r="AK77" s="43"/>
      <c r="AL77" s="43"/>
      <c r="AM77" s="43"/>
    </row>
    <row r="78" spans="2:39" ht="15.75" customHeight="1" x14ac:dyDescent="0.25">
      <c r="B78" s="278"/>
      <c r="C78" s="278"/>
      <c r="D78" s="276"/>
      <c r="E78" s="276"/>
      <c r="F78" s="276"/>
      <c r="G78" s="45" t="s">
        <v>368</v>
      </c>
      <c r="H78" s="45" t="s">
        <v>338</v>
      </c>
      <c r="I78" s="45" t="s">
        <v>369</v>
      </c>
      <c r="J78" s="46">
        <v>30</v>
      </c>
      <c r="K78" s="90">
        <v>1</v>
      </c>
      <c r="L78" s="47">
        <f>9.06*1160000+2+450000</f>
        <v>10959602</v>
      </c>
      <c r="M78" s="47">
        <f>+X$9</f>
        <v>324.99</v>
      </c>
      <c r="N78" s="47">
        <f t="shared" si="36"/>
        <v>876794.15919999999</v>
      </c>
      <c r="O78" s="47">
        <f t="shared" si="0"/>
        <v>11836721</v>
      </c>
      <c r="P78" s="47">
        <f t="shared" si="1"/>
        <v>11836721</v>
      </c>
      <c r="Q78" s="48">
        <f t="shared" si="46"/>
        <v>1183672.1000000001</v>
      </c>
      <c r="R78" s="47">
        <f t="shared" si="47"/>
        <v>224897.69900000002</v>
      </c>
      <c r="S78" s="47">
        <f t="shared" si="4"/>
        <v>12061619</v>
      </c>
      <c r="T78" s="47">
        <f t="shared" si="8"/>
        <v>2016587683</v>
      </c>
      <c r="U78" s="49"/>
      <c r="V78" s="50"/>
      <c r="W78" s="50"/>
      <c r="X78" s="52"/>
      <c r="Y78" s="52"/>
      <c r="Z78" s="53">
        <v>10636447.008159766</v>
      </c>
      <c r="AA78" s="54">
        <f t="shared" si="5"/>
        <v>-1425171.991840234</v>
      </c>
      <c r="AB78" s="55"/>
      <c r="AC78" s="53">
        <f t="shared" si="37"/>
        <v>12061619</v>
      </c>
      <c r="AD78" s="89">
        <v>10636447.008159766</v>
      </c>
      <c r="AE78" s="89">
        <f t="shared" si="38"/>
        <v>-1425171.991840234</v>
      </c>
      <c r="AF78" s="56">
        <f t="shared" si="39"/>
        <v>8509157.6065278128</v>
      </c>
      <c r="AG78" s="56">
        <f t="shared" si="40"/>
        <v>3552461.3934721872</v>
      </c>
      <c r="AH78" s="52"/>
      <c r="AI78" s="58" t="e">
        <f t="shared" si="43"/>
        <v>#REF!</v>
      </c>
      <c r="AJ78" s="43"/>
      <c r="AK78" s="43"/>
      <c r="AL78" s="43"/>
      <c r="AM78" s="43"/>
    </row>
    <row r="79" spans="2:39" ht="15.75" customHeight="1" x14ac:dyDescent="0.25">
      <c r="B79" s="278"/>
      <c r="C79" s="278"/>
      <c r="D79" s="45" t="s">
        <v>279</v>
      </c>
      <c r="E79" s="45" t="s">
        <v>303</v>
      </c>
      <c r="F79" s="45" t="s">
        <v>304</v>
      </c>
      <c r="G79" s="45" t="s">
        <v>370</v>
      </c>
      <c r="H79" s="45" t="s">
        <v>338</v>
      </c>
      <c r="I79" s="45" t="s">
        <v>371</v>
      </c>
      <c r="J79" s="46">
        <v>30</v>
      </c>
      <c r="K79" s="90">
        <v>1</v>
      </c>
      <c r="L79" s="47">
        <f t="shared" ref="L79:L83" si="50">9.06*1160000*55.97%/15*12+2</f>
        <v>4705780.4959999993</v>
      </c>
      <c r="M79" s="47">
        <f t="shared" ref="M79:M83" si="51">+X$9*55.97%/15*12</f>
        <v>145.51752240000002</v>
      </c>
      <c r="N79" s="47">
        <f t="shared" si="36"/>
        <v>376474.08108179196</v>
      </c>
      <c r="O79" s="47">
        <f t="shared" si="0"/>
        <v>5082400</v>
      </c>
      <c r="P79" s="47">
        <f t="shared" si="1"/>
        <v>5082400</v>
      </c>
      <c r="Q79" s="48">
        <f t="shared" si="46"/>
        <v>508240</v>
      </c>
      <c r="R79" s="47">
        <f t="shared" si="47"/>
        <v>96565.6</v>
      </c>
      <c r="S79" s="47">
        <f t="shared" si="4"/>
        <v>5178966</v>
      </c>
      <c r="T79" s="47">
        <f t="shared" si="8"/>
        <v>2021766649</v>
      </c>
      <c r="U79" s="49"/>
      <c r="V79" s="50"/>
      <c r="W79" s="50"/>
      <c r="X79" s="52"/>
      <c r="Y79" s="52"/>
      <c r="Z79" s="53">
        <v>5202345.3234609812</v>
      </c>
      <c r="AA79" s="54">
        <f t="shared" si="5"/>
        <v>23379.32346098125</v>
      </c>
      <c r="AB79" s="55"/>
      <c r="AC79" s="53">
        <f t="shared" si="37"/>
        <v>5178966</v>
      </c>
      <c r="AD79" s="89">
        <v>4703841.6785409814</v>
      </c>
      <c r="AE79" s="89">
        <f t="shared" si="38"/>
        <v>-475124.32145901863</v>
      </c>
      <c r="AF79" s="56">
        <f t="shared" si="39"/>
        <v>3763073.3428327851</v>
      </c>
      <c r="AG79" s="56">
        <f t="shared" si="40"/>
        <v>1415892.6571672149</v>
      </c>
      <c r="AH79" s="52"/>
      <c r="AI79" s="58" t="e">
        <f t="shared" si="43"/>
        <v>#REF!</v>
      </c>
      <c r="AJ79" s="43"/>
      <c r="AK79" s="43"/>
      <c r="AL79" s="43"/>
      <c r="AM79" s="43"/>
    </row>
    <row r="80" spans="2:39" ht="15.75" customHeight="1" x14ac:dyDescent="0.25">
      <c r="B80" s="278"/>
      <c r="C80" s="278"/>
      <c r="D80" s="275" t="s">
        <v>16</v>
      </c>
      <c r="E80" s="45" t="s">
        <v>275</v>
      </c>
      <c r="F80" s="45" t="s">
        <v>372</v>
      </c>
      <c r="G80" s="45" t="s">
        <v>370</v>
      </c>
      <c r="H80" s="45" t="s">
        <v>338</v>
      </c>
      <c r="I80" s="45" t="s">
        <v>373</v>
      </c>
      <c r="J80" s="46">
        <v>30</v>
      </c>
      <c r="K80" s="90">
        <v>1</v>
      </c>
      <c r="L80" s="47">
        <f t="shared" si="50"/>
        <v>4705780.4959999993</v>
      </c>
      <c r="M80" s="47">
        <f t="shared" si="51"/>
        <v>145.51752240000002</v>
      </c>
      <c r="N80" s="47">
        <f t="shared" si="36"/>
        <v>376474.08108179196</v>
      </c>
      <c r="O80" s="47">
        <f t="shared" si="0"/>
        <v>5082400</v>
      </c>
      <c r="P80" s="47">
        <f t="shared" si="1"/>
        <v>5082400</v>
      </c>
      <c r="Q80" s="48">
        <f t="shared" si="46"/>
        <v>508240</v>
      </c>
      <c r="R80" s="47">
        <f t="shared" si="47"/>
        <v>96565.6</v>
      </c>
      <c r="S80" s="47">
        <f t="shared" si="4"/>
        <v>5178966</v>
      </c>
      <c r="T80" s="47">
        <f t="shared" si="8"/>
        <v>2026945615</v>
      </c>
      <c r="U80" s="49"/>
      <c r="V80" s="50"/>
      <c r="W80" s="50"/>
      <c r="X80" s="52"/>
      <c r="Y80" s="52"/>
      <c r="Z80" s="53">
        <v>4703841.6785409814</v>
      </c>
      <c r="AA80" s="54">
        <f t="shared" si="5"/>
        <v>-475124.32145901863</v>
      </c>
      <c r="AB80" s="55"/>
      <c r="AC80" s="53">
        <f t="shared" si="37"/>
        <v>5178966</v>
      </c>
      <c r="AD80" s="89">
        <v>4703841.6785409814</v>
      </c>
      <c r="AE80" s="89">
        <f t="shared" si="38"/>
        <v>-475124.32145901863</v>
      </c>
      <c r="AF80" s="56">
        <f t="shared" si="39"/>
        <v>3763073.3428327851</v>
      </c>
      <c r="AG80" s="56">
        <f t="shared" si="40"/>
        <v>1415892.6571672149</v>
      </c>
      <c r="AH80" s="52"/>
      <c r="AI80" s="58" t="e">
        <f t="shared" si="43"/>
        <v>#REF!</v>
      </c>
      <c r="AJ80" s="43"/>
      <c r="AK80" s="43"/>
      <c r="AL80" s="43"/>
      <c r="AM80" s="43"/>
    </row>
    <row r="81" spans="2:39" ht="15.75" customHeight="1" x14ac:dyDescent="0.25">
      <c r="B81" s="278"/>
      <c r="C81" s="278"/>
      <c r="D81" s="276"/>
      <c r="E81" s="45" t="s">
        <v>170</v>
      </c>
      <c r="F81" s="45" t="s">
        <v>305</v>
      </c>
      <c r="G81" s="45" t="s">
        <v>370</v>
      </c>
      <c r="H81" s="45" t="s">
        <v>338</v>
      </c>
      <c r="I81" s="45" t="s">
        <v>374</v>
      </c>
      <c r="J81" s="46">
        <v>30</v>
      </c>
      <c r="K81" s="90">
        <v>1</v>
      </c>
      <c r="L81" s="47">
        <f t="shared" si="50"/>
        <v>4705780.4959999993</v>
      </c>
      <c r="M81" s="47">
        <f t="shared" si="51"/>
        <v>145.51752240000002</v>
      </c>
      <c r="N81" s="47">
        <f t="shared" si="36"/>
        <v>376474.08108179196</v>
      </c>
      <c r="O81" s="47">
        <f t="shared" si="0"/>
        <v>5082400</v>
      </c>
      <c r="P81" s="47">
        <f t="shared" si="1"/>
        <v>5082400</v>
      </c>
      <c r="Q81" s="48">
        <f t="shared" si="46"/>
        <v>508240</v>
      </c>
      <c r="R81" s="47">
        <f t="shared" si="47"/>
        <v>96565.6</v>
      </c>
      <c r="S81" s="47">
        <f t="shared" si="4"/>
        <v>5178966</v>
      </c>
      <c r="T81" s="47">
        <f t="shared" si="8"/>
        <v>2032124581</v>
      </c>
      <c r="U81" s="49"/>
      <c r="V81" s="50"/>
      <c r="W81" s="50"/>
      <c r="X81" s="52"/>
      <c r="Y81" s="52"/>
      <c r="Z81" s="53">
        <v>10636447.008159766</v>
      </c>
      <c r="AA81" s="54">
        <f t="shared" si="5"/>
        <v>5457481.008159766</v>
      </c>
      <c r="AB81" s="55"/>
      <c r="AC81" s="53">
        <f t="shared" si="37"/>
        <v>5178966</v>
      </c>
      <c r="AD81" s="89">
        <v>4703841.6785409814</v>
      </c>
      <c r="AE81" s="89">
        <f t="shared" si="38"/>
        <v>-475124.32145901863</v>
      </c>
      <c r="AF81" s="56">
        <f t="shared" si="39"/>
        <v>3763073.3428327851</v>
      </c>
      <c r="AG81" s="56">
        <f t="shared" si="40"/>
        <v>1415892.6571672149</v>
      </c>
      <c r="AH81" s="52"/>
      <c r="AI81" s="58" t="e">
        <f t="shared" si="43"/>
        <v>#REF!</v>
      </c>
      <c r="AJ81" s="43"/>
      <c r="AK81" s="43"/>
      <c r="AL81" s="58"/>
      <c r="AM81" s="58"/>
    </row>
    <row r="82" spans="2:39" ht="15.75" customHeight="1" x14ac:dyDescent="0.25">
      <c r="B82" s="278"/>
      <c r="C82" s="278"/>
      <c r="D82" s="45" t="s">
        <v>278</v>
      </c>
      <c r="E82" s="45" t="s">
        <v>298</v>
      </c>
      <c r="F82" s="45" t="s">
        <v>299</v>
      </c>
      <c r="G82" s="45" t="s">
        <v>370</v>
      </c>
      <c r="H82" s="45" t="s">
        <v>338</v>
      </c>
      <c r="I82" s="45" t="s">
        <v>375</v>
      </c>
      <c r="J82" s="46">
        <v>30</v>
      </c>
      <c r="K82" s="90">
        <v>1</v>
      </c>
      <c r="L82" s="47">
        <f t="shared" si="50"/>
        <v>4705780.4959999993</v>
      </c>
      <c r="M82" s="47">
        <f t="shared" si="51"/>
        <v>145.51752240000002</v>
      </c>
      <c r="N82" s="47">
        <f t="shared" si="36"/>
        <v>376474.08108179196</v>
      </c>
      <c r="O82" s="47">
        <f t="shared" si="0"/>
        <v>5082400</v>
      </c>
      <c r="P82" s="47">
        <f t="shared" si="1"/>
        <v>5082400</v>
      </c>
      <c r="Q82" s="48">
        <f t="shared" si="46"/>
        <v>508240</v>
      </c>
      <c r="R82" s="47">
        <f t="shared" si="47"/>
        <v>96565.6</v>
      </c>
      <c r="S82" s="47">
        <f t="shared" si="4"/>
        <v>5178966</v>
      </c>
      <c r="T82" s="47">
        <f t="shared" si="8"/>
        <v>2037303547</v>
      </c>
      <c r="U82" s="49"/>
      <c r="V82" s="50"/>
      <c r="W82" s="50"/>
      <c r="X82" s="52"/>
      <c r="Y82" s="52"/>
      <c r="Z82" s="53"/>
      <c r="AA82" s="54"/>
      <c r="AB82" s="55"/>
      <c r="AC82" s="53"/>
      <c r="AD82" s="89"/>
      <c r="AE82" s="89"/>
      <c r="AF82" s="56"/>
      <c r="AG82" s="56"/>
      <c r="AH82" s="52"/>
      <c r="AI82" s="58"/>
      <c r="AJ82" s="43"/>
      <c r="AK82" s="43"/>
      <c r="AL82" s="58"/>
      <c r="AM82" s="58"/>
    </row>
    <row r="83" spans="2:39" ht="15.75" customHeight="1" x14ac:dyDescent="0.25">
      <c r="B83" s="278"/>
      <c r="C83" s="276"/>
      <c r="D83" s="45" t="s">
        <v>16</v>
      </c>
      <c r="E83" s="45" t="s">
        <v>88</v>
      </c>
      <c r="F83" s="45" t="s">
        <v>88</v>
      </c>
      <c r="G83" s="45" t="s">
        <v>376</v>
      </c>
      <c r="H83" s="45" t="s">
        <v>338</v>
      </c>
      <c r="I83" s="45" t="s">
        <v>377</v>
      </c>
      <c r="J83" s="46">
        <v>30</v>
      </c>
      <c r="K83" s="90">
        <v>1</v>
      </c>
      <c r="L83" s="47">
        <f t="shared" si="50"/>
        <v>4705780.4959999993</v>
      </c>
      <c r="M83" s="47">
        <f t="shared" si="51"/>
        <v>145.51752240000002</v>
      </c>
      <c r="N83" s="47">
        <f t="shared" si="36"/>
        <v>376474.08108179196</v>
      </c>
      <c r="O83" s="47">
        <f t="shared" si="0"/>
        <v>5082400</v>
      </c>
      <c r="P83" s="47">
        <f t="shared" si="1"/>
        <v>5082400</v>
      </c>
      <c r="Q83" s="48">
        <f t="shared" si="46"/>
        <v>508240</v>
      </c>
      <c r="R83" s="47">
        <f t="shared" si="47"/>
        <v>96565.6</v>
      </c>
      <c r="S83" s="47">
        <f t="shared" si="4"/>
        <v>5178966</v>
      </c>
      <c r="T83" s="47">
        <f t="shared" si="8"/>
        <v>2042482513</v>
      </c>
      <c r="U83" s="49"/>
      <c r="V83" s="50"/>
      <c r="W83" s="50"/>
      <c r="X83" s="52"/>
      <c r="Y83" s="52"/>
      <c r="Z83" s="53">
        <v>4703841.6785409814</v>
      </c>
      <c r="AA83" s="54">
        <f t="shared" ref="AA83:AA84" si="52">+Z83-S83</f>
        <v>-475124.32145901863</v>
      </c>
      <c r="AB83" s="55"/>
      <c r="AC83" s="53">
        <f t="shared" ref="AC83:AC84" si="53">+S83</f>
        <v>5178966</v>
      </c>
      <c r="AD83" s="89">
        <v>4703841.6785409814</v>
      </c>
      <c r="AE83" s="89">
        <f t="shared" ref="AE83:AE84" si="54">+AD83-AC83</f>
        <v>-475124.32145901863</v>
      </c>
      <c r="AF83" s="56">
        <f t="shared" ref="AF83:AF84" si="55">+AD83*80%</f>
        <v>3763073.3428327851</v>
      </c>
      <c r="AG83" s="56">
        <f t="shared" ref="AG83:AG84" si="56">+AC83-AF83</f>
        <v>1415892.6571672149</v>
      </c>
      <c r="AH83" s="52"/>
      <c r="AI83" s="58" t="e">
        <f>++S83++AI81</f>
        <v>#REF!</v>
      </c>
      <c r="AJ83" s="43"/>
      <c r="AK83" s="43"/>
      <c r="AL83" s="43"/>
      <c r="AM83" s="58"/>
    </row>
    <row r="84" spans="2:39" ht="24" customHeight="1" x14ac:dyDescent="0.25">
      <c r="B84" s="278"/>
      <c r="C84" s="298" t="s">
        <v>378</v>
      </c>
      <c r="D84" s="74" t="s">
        <v>16</v>
      </c>
      <c r="E84" s="74" t="s">
        <v>266</v>
      </c>
      <c r="F84" s="74" t="s">
        <v>266</v>
      </c>
      <c r="G84" s="74" t="s">
        <v>379</v>
      </c>
      <c r="H84" s="74" t="s">
        <v>380</v>
      </c>
      <c r="I84" s="74" t="s">
        <v>381</v>
      </c>
      <c r="J84" s="75">
        <v>30</v>
      </c>
      <c r="K84" s="91">
        <v>1</v>
      </c>
      <c r="L84" s="76">
        <f>9.06*1160000+2+1500000</f>
        <v>12009602</v>
      </c>
      <c r="M84" s="93">
        <v>0</v>
      </c>
      <c r="N84" s="76">
        <f t="shared" si="36"/>
        <v>960768.16</v>
      </c>
      <c r="O84" s="76">
        <f t="shared" si="0"/>
        <v>12970370</v>
      </c>
      <c r="P84" s="76">
        <f t="shared" si="1"/>
        <v>12970370</v>
      </c>
      <c r="Q84" s="77">
        <v>0</v>
      </c>
      <c r="R84" s="76">
        <f>+O84*19%</f>
        <v>2464370.2999999998</v>
      </c>
      <c r="S84" s="76">
        <f t="shared" si="4"/>
        <v>15434740</v>
      </c>
      <c r="T84" s="76">
        <f t="shared" si="8"/>
        <v>2057917253</v>
      </c>
      <c r="U84" s="78"/>
      <c r="V84" s="79"/>
      <c r="W84" s="79"/>
      <c r="X84" s="80"/>
      <c r="Y84" s="80"/>
      <c r="Z84" s="81">
        <v>4703841.6785409814</v>
      </c>
      <c r="AA84" s="82">
        <f t="shared" si="52"/>
        <v>-10730898.321459018</v>
      </c>
      <c r="AB84" s="83"/>
      <c r="AC84" s="81">
        <f t="shared" si="53"/>
        <v>15434740</v>
      </c>
      <c r="AD84" s="92">
        <v>15132691.2335071</v>
      </c>
      <c r="AE84" s="92">
        <f t="shared" si="54"/>
        <v>-302048.76649289951</v>
      </c>
      <c r="AF84" s="84">
        <f t="shared" si="55"/>
        <v>12106152.986805681</v>
      </c>
      <c r="AG84" s="84">
        <f t="shared" si="56"/>
        <v>3328587.0131943189</v>
      </c>
      <c r="AH84" s="80"/>
      <c r="AI84" s="86" t="e">
        <f>++S84++AI83</f>
        <v>#REF!</v>
      </c>
      <c r="AJ84" s="72"/>
      <c r="AK84" s="72"/>
      <c r="AL84" s="86"/>
      <c r="AM84" s="86"/>
    </row>
    <row r="85" spans="2:39" ht="15.75" customHeight="1" x14ac:dyDescent="0.25">
      <c r="B85" s="278"/>
      <c r="C85" s="278"/>
      <c r="D85" s="74"/>
      <c r="E85" s="73"/>
      <c r="F85" s="74"/>
      <c r="G85" s="94"/>
      <c r="H85" s="95"/>
      <c r="I85" s="73" t="s">
        <v>382</v>
      </c>
      <c r="J85" s="75">
        <v>30</v>
      </c>
      <c r="K85" s="75">
        <v>1</v>
      </c>
      <c r="L85" s="76">
        <f>9.06*1160000+2</f>
        <v>10509602</v>
      </c>
      <c r="M85" s="76">
        <f>+X$9</f>
        <v>324.99</v>
      </c>
      <c r="N85" s="76">
        <f t="shared" si="36"/>
        <v>840794.15919999999</v>
      </c>
      <c r="O85" s="76">
        <f t="shared" si="0"/>
        <v>11350721</v>
      </c>
      <c r="P85" s="76">
        <f t="shared" si="1"/>
        <v>11350721</v>
      </c>
      <c r="Q85" s="77">
        <v>0</v>
      </c>
      <c r="R85" s="76">
        <v>0</v>
      </c>
      <c r="S85" s="76">
        <f t="shared" si="4"/>
        <v>11350721</v>
      </c>
      <c r="T85" s="76">
        <f t="shared" si="8"/>
        <v>2069267974</v>
      </c>
      <c r="U85" s="78"/>
      <c r="V85" s="79"/>
      <c r="W85" s="96"/>
      <c r="X85" s="97"/>
      <c r="Y85" s="80"/>
      <c r="Z85" s="81"/>
      <c r="AA85" s="82"/>
      <c r="AB85" s="83"/>
      <c r="AC85" s="81"/>
      <c r="AD85" s="92"/>
      <c r="AE85" s="92"/>
      <c r="AF85" s="84"/>
      <c r="AG85" s="84"/>
      <c r="AH85" s="80"/>
      <c r="AI85" s="72"/>
      <c r="AJ85" s="72"/>
      <c r="AK85" s="72"/>
      <c r="AL85" s="72"/>
      <c r="AM85" s="72"/>
    </row>
    <row r="86" spans="2:39" ht="15.75" customHeight="1" x14ac:dyDescent="0.25">
      <c r="B86" s="278"/>
      <c r="C86" s="278"/>
      <c r="D86" s="7" t="s">
        <v>279</v>
      </c>
      <c r="E86" s="5" t="s">
        <v>280</v>
      </c>
      <c r="F86" s="7" t="s">
        <v>383</v>
      </c>
      <c r="G86" s="98" t="s">
        <v>384</v>
      </c>
      <c r="H86" s="99"/>
      <c r="I86" s="100" t="s">
        <v>385</v>
      </c>
      <c r="J86" s="101">
        <v>30</v>
      </c>
      <c r="K86" s="101">
        <v>2</v>
      </c>
      <c r="L86" s="102">
        <v>1655100</v>
      </c>
      <c r="M86" s="103"/>
      <c r="N86" s="103"/>
      <c r="O86" s="102">
        <f t="shared" si="0"/>
        <v>3310200</v>
      </c>
      <c r="P86" s="102"/>
      <c r="Q86" s="103"/>
      <c r="R86" s="103">
        <f t="shared" ref="R86:R87" si="57">+O86*19%</f>
        <v>628938</v>
      </c>
      <c r="S86" s="104">
        <f t="shared" ref="S86:S93" si="58">+O86+R86</f>
        <v>3939138</v>
      </c>
      <c r="T86" s="47">
        <f t="shared" si="8"/>
        <v>2073207112</v>
      </c>
      <c r="U86" s="105"/>
      <c r="V86" s="33"/>
      <c r="W86" s="106"/>
      <c r="X86" s="107"/>
      <c r="Y86" s="35"/>
      <c r="Z86" s="108">
        <v>4703841.6785409814</v>
      </c>
      <c r="AA86" s="109">
        <f t="shared" ref="AA86:AA93" si="59">+Z86-S86</f>
        <v>764703.67854098137</v>
      </c>
      <c r="AB86" s="34"/>
      <c r="AC86" s="108">
        <f t="shared" ref="AC86:AC93" si="60">+S86</f>
        <v>3939138</v>
      </c>
      <c r="AD86" s="110">
        <v>4284000</v>
      </c>
      <c r="AE86" s="110">
        <f t="shared" ref="AE86:AE93" si="61">+AD86-AC86</f>
        <v>344862</v>
      </c>
      <c r="AF86" s="41">
        <f t="shared" ref="AF86:AF93" si="62">+AD86*80%</f>
        <v>3427200</v>
      </c>
      <c r="AG86" s="41">
        <f t="shared" ref="AG86:AG93" si="63">+AC86-AF86</f>
        <v>511938</v>
      </c>
      <c r="AH86" s="35"/>
      <c r="AI86" s="14"/>
      <c r="AJ86" s="14"/>
      <c r="AK86" s="14"/>
      <c r="AL86" s="14"/>
      <c r="AM86" s="14"/>
    </row>
    <row r="87" spans="2:39" ht="15.75" customHeight="1" x14ac:dyDescent="0.25">
      <c r="B87" s="278"/>
      <c r="C87" s="278"/>
      <c r="D87" s="5" t="s">
        <v>278</v>
      </c>
      <c r="E87" s="5" t="s">
        <v>286</v>
      </c>
      <c r="F87" s="7" t="s">
        <v>383</v>
      </c>
      <c r="G87" s="98" t="s">
        <v>384</v>
      </c>
      <c r="H87" s="99"/>
      <c r="I87" s="100" t="s">
        <v>386</v>
      </c>
      <c r="J87" s="101">
        <v>30</v>
      </c>
      <c r="K87" s="101">
        <v>2</v>
      </c>
      <c r="L87" s="102">
        <v>1655100</v>
      </c>
      <c r="M87" s="103"/>
      <c r="N87" s="103"/>
      <c r="O87" s="102">
        <f t="shared" si="0"/>
        <v>3310200</v>
      </c>
      <c r="P87" s="102"/>
      <c r="Q87" s="103"/>
      <c r="R87" s="103">
        <f t="shared" si="57"/>
        <v>628938</v>
      </c>
      <c r="S87" s="104">
        <f t="shared" si="58"/>
        <v>3939138</v>
      </c>
      <c r="T87" s="47">
        <f t="shared" si="8"/>
        <v>2077146250</v>
      </c>
      <c r="U87" s="105"/>
      <c r="V87" s="33"/>
      <c r="W87" s="35"/>
      <c r="X87" s="107"/>
      <c r="Y87" s="35"/>
      <c r="Z87" s="108">
        <v>4703841.6785409814</v>
      </c>
      <c r="AA87" s="109">
        <f t="shared" si="59"/>
        <v>764703.67854098137</v>
      </c>
      <c r="AB87" s="34"/>
      <c r="AC87" s="108">
        <f t="shared" si="60"/>
        <v>3939138</v>
      </c>
      <c r="AD87" s="110">
        <v>4284000</v>
      </c>
      <c r="AE87" s="110">
        <f t="shared" si="61"/>
        <v>344862</v>
      </c>
      <c r="AF87" s="41">
        <f t="shared" si="62"/>
        <v>3427200</v>
      </c>
      <c r="AG87" s="41">
        <f t="shared" si="63"/>
        <v>511938</v>
      </c>
      <c r="AH87" s="35"/>
      <c r="AI87" s="14"/>
      <c r="AJ87" s="14"/>
      <c r="AK87" s="14"/>
      <c r="AL87" s="14"/>
      <c r="AM87" s="14"/>
    </row>
    <row r="88" spans="2:39" ht="15.75" customHeight="1" x14ac:dyDescent="0.25">
      <c r="B88" s="278"/>
      <c r="C88" s="278"/>
      <c r="D88" s="74" t="s">
        <v>140</v>
      </c>
      <c r="E88" s="73" t="s">
        <v>141</v>
      </c>
      <c r="F88" s="74" t="s">
        <v>383</v>
      </c>
      <c r="G88" s="94" t="s">
        <v>384</v>
      </c>
      <c r="H88" s="95"/>
      <c r="I88" s="111" t="s">
        <v>387</v>
      </c>
      <c r="J88" s="91">
        <v>30</v>
      </c>
      <c r="K88" s="91">
        <v>2</v>
      </c>
      <c r="L88" s="76">
        <v>1655100</v>
      </c>
      <c r="M88" s="93"/>
      <c r="N88" s="93"/>
      <c r="O88" s="76">
        <f t="shared" si="0"/>
        <v>3310200</v>
      </c>
      <c r="P88" s="76"/>
      <c r="Q88" s="93"/>
      <c r="R88" s="93">
        <v>0</v>
      </c>
      <c r="S88" s="112">
        <f t="shared" si="58"/>
        <v>3310200</v>
      </c>
      <c r="T88" s="76">
        <f t="shared" si="8"/>
        <v>2080456450</v>
      </c>
      <c r="U88" s="78"/>
      <c r="V88" s="79"/>
      <c r="W88" s="80"/>
      <c r="X88" s="97"/>
      <c r="Y88" s="80"/>
      <c r="Z88" s="81">
        <v>15132691.2335071</v>
      </c>
      <c r="AA88" s="82">
        <f t="shared" si="59"/>
        <v>11822491.2335071</v>
      </c>
      <c r="AB88" s="83"/>
      <c r="AC88" s="81">
        <f t="shared" si="60"/>
        <v>3310200</v>
      </c>
      <c r="AD88" s="92">
        <v>4284000</v>
      </c>
      <c r="AE88" s="92">
        <f t="shared" si="61"/>
        <v>973800</v>
      </c>
      <c r="AF88" s="84">
        <f t="shared" si="62"/>
        <v>3427200</v>
      </c>
      <c r="AG88" s="84">
        <f t="shared" si="63"/>
        <v>-117000</v>
      </c>
      <c r="AH88" s="80"/>
      <c r="AI88" s="72"/>
      <c r="AJ88" s="72"/>
      <c r="AK88" s="72"/>
      <c r="AL88" s="72"/>
      <c r="AM88" s="72"/>
    </row>
    <row r="89" spans="2:39" ht="15.75" customHeight="1" x14ac:dyDescent="0.25">
      <c r="B89" s="278"/>
      <c r="C89" s="278"/>
      <c r="D89" s="5" t="s">
        <v>292</v>
      </c>
      <c r="E89" s="5" t="s">
        <v>293</v>
      </c>
      <c r="F89" s="7" t="s">
        <v>383</v>
      </c>
      <c r="G89" s="98" t="s">
        <v>384</v>
      </c>
      <c r="H89" s="99"/>
      <c r="I89" s="100" t="s">
        <v>388</v>
      </c>
      <c r="J89" s="101">
        <v>30</v>
      </c>
      <c r="K89" s="101">
        <v>2</v>
      </c>
      <c r="L89" s="102">
        <v>1655100</v>
      </c>
      <c r="M89" s="103"/>
      <c r="N89" s="103"/>
      <c r="O89" s="102">
        <f t="shared" si="0"/>
        <v>3310200</v>
      </c>
      <c r="P89" s="102"/>
      <c r="Q89" s="103"/>
      <c r="R89" s="103">
        <f t="shared" ref="R89:R93" si="64">+O89*19%</f>
        <v>628938</v>
      </c>
      <c r="S89" s="104">
        <f t="shared" si="58"/>
        <v>3939138</v>
      </c>
      <c r="T89" s="47">
        <f t="shared" si="8"/>
        <v>2084395588</v>
      </c>
      <c r="U89" s="105"/>
      <c r="V89" s="33"/>
      <c r="W89" s="35"/>
      <c r="X89" s="107"/>
      <c r="Y89" s="35"/>
      <c r="Z89" s="108">
        <v>4284000</v>
      </c>
      <c r="AA89" s="109">
        <f t="shared" si="59"/>
        <v>344862</v>
      </c>
      <c r="AB89" s="34"/>
      <c r="AC89" s="108">
        <f t="shared" si="60"/>
        <v>3939138</v>
      </c>
      <c r="AD89" s="110">
        <v>4284000</v>
      </c>
      <c r="AE89" s="110">
        <f t="shared" si="61"/>
        <v>344862</v>
      </c>
      <c r="AF89" s="41">
        <f t="shared" si="62"/>
        <v>3427200</v>
      </c>
      <c r="AG89" s="41">
        <f t="shared" si="63"/>
        <v>511938</v>
      </c>
      <c r="AH89" s="35"/>
      <c r="AI89" s="14"/>
      <c r="AJ89" s="14"/>
      <c r="AK89" s="14"/>
      <c r="AL89" s="14"/>
      <c r="AM89" s="14"/>
    </row>
    <row r="90" spans="2:39" ht="15.75" customHeight="1" x14ac:dyDescent="0.25">
      <c r="B90" s="278"/>
      <c r="C90" s="278"/>
      <c r="D90" s="7" t="s">
        <v>292</v>
      </c>
      <c r="E90" s="5" t="s">
        <v>296</v>
      </c>
      <c r="F90" s="7" t="s">
        <v>383</v>
      </c>
      <c r="G90" s="98" t="s">
        <v>384</v>
      </c>
      <c r="H90" s="99"/>
      <c r="I90" s="100" t="s">
        <v>389</v>
      </c>
      <c r="J90" s="101">
        <v>30</v>
      </c>
      <c r="K90" s="101">
        <v>2</v>
      </c>
      <c r="L90" s="102">
        <v>1655100</v>
      </c>
      <c r="M90" s="103"/>
      <c r="N90" s="103"/>
      <c r="O90" s="102">
        <f t="shared" si="0"/>
        <v>3310200</v>
      </c>
      <c r="P90" s="102"/>
      <c r="Q90" s="103"/>
      <c r="R90" s="103">
        <f t="shared" si="64"/>
        <v>628938</v>
      </c>
      <c r="S90" s="104">
        <f t="shared" si="58"/>
        <v>3939138</v>
      </c>
      <c r="T90" s="47">
        <f t="shared" si="8"/>
        <v>2088334726</v>
      </c>
      <c r="U90" s="105"/>
      <c r="V90" s="33"/>
      <c r="W90" s="35"/>
      <c r="X90" s="107"/>
      <c r="Y90" s="35"/>
      <c r="Z90" s="108">
        <v>4284000</v>
      </c>
      <c r="AA90" s="109">
        <f t="shared" si="59"/>
        <v>344862</v>
      </c>
      <c r="AB90" s="34"/>
      <c r="AC90" s="108">
        <f t="shared" si="60"/>
        <v>3939138</v>
      </c>
      <c r="AD90" s="110">
        <v>4284000</v>
      </c>
      <c r="AE90" s="110">
        <f t="shared" si="61"/>
        <v>344862</v>
      </c>
      <c r="AF90" s="41">
        <f t="shared" si="62"/>
        <v>3427200</v>
      </c>
      <c r="AG90" s="41">
        <f t="shared" si="63"/>
        <v>511938</v>
      </c>
      <c r="AH90" s="35"/>
      <c r="AI90" s="14"/>
      <c r="AJ90" s="14"/>
      <c r="AK90" s="14"/>
      <c r="AL90" s="14"/>
      <c r="AM90" s="14"/>
    </row>
    <row r="91" spans="2:39" ht="15.75" customHeight="1" x14ac:dyDescent="0.25">
      <c r="B91" s="278"/>
      <c r="C91" s="278"/>
      <c r="D91" s="5" t="s">
        <v>300</v>
      </c>
      <c r="E91" s="5" t="s">
        <v>390</v>
      </c>
      <c r="F91" s="7" t="s">
        <v>383</v>
      </c>
      <c r="G91" s="98" t="s">
        <v>384</v>
      </c>
      <c r="H91" s="99"/>
      <c r="I91" s="100" t="s">
        <v>391</v>
      </c>
      <c r="J91" s="101">
        <v>30</v>
      </c>
      <c r="K91" s="101">
        <v>2</v>
      </c>
      <c r="L91" s="102">
        <v>1655100</v>
      </c>
      <c r="M91" s="103"/>
      <c r="N91" s="103"/>
      <c r="O91" s="102">
        <f t="shared" si="0"/>
        <v>3310200</v>
      </c>
      <c r="P91" s="102"/>
      <c r="Q91" s="103"/>
      <c r="R91" s="103">
        <f t="shared" si="64"/>
        <v>628938</v>
      </c>
      <c r="S91" s="104">
        <f t="shared" si="58"/>
        <v>3939138</v>
      </c>
      <c r="T91" s="47">
        <f t="shared" si="8"/>
        <v>2092273864</v>
      </c>
      <c r="U91" s="105"/>
      <c r="V91" s="33"/>
      <c r="W91" s="35"/>
      <c r="X91" s="107"/>
      <c r="Y91" s="35"/>
      <c r="Z91" s="108">
        <v>4284000</v>
      </c>
      <c r="AA91" s="109">
        <f t="shared" si="59"/>
        <v>344862</v>
      </c>
      <c r="AB91" s="34"/>
      <c r="AC91" s="108">
        <f t="shared" si="60"/>
        <v>3939138</v>
      </c>
      <c r="AD91" s="110">
        <v>4284000</v>
      </c>
      <c r="AE91" s="110">
        <f t="shared" si="61"/>
        <v>344862</v>
      </c>
      <c r="AF91" s="41">
        <f t="shared" si="62"/>
        <v>3427200</v>
      </c>
      <c r="AG91" s="41">
        <f t="shared" si="63"/>
        <v>511938</v>
      </c>
      <c r="AH91" s="35"/>
      <c r="AI91" s="14"/>
      <c r="AJ91" s="14"/>
      <c r="AK91" s="14"/>
      <c r="AL91" s="14"/>
      <c r="AM91" s="14"/>
    </row>
    <row r="92" spans="2:39" ht="15.75" customHeight="1" x14ac:dyDescent="0.25">
      <c r="B92" s="278"/>
      <c r="C92" s="278"/>
      <c r="D92" s="7" t="s">
        <v>279</v>
      </c>
      <c r="E92" s="5" t="s">
        <v>303</v>
      </c>
      <c r="F92" s="7" t="s">
        <v>383</v>
      </c>
      <c r="G92" s="98" t="s">
        <v>384</v>
      </c>
      <c r="H92" s="99"/>
      <c r="I92" s="100" t="s">
        <v>392</v>
      </c>
      <c r="J92" s="101">
        <v>30</v>
      </c>
      <c r="K92" s="101">
        <v>2</v>
      </c>
      <c r="L92" s="102">
        <v>1655100</v>
      </c>
      <c r="M92" s="103"/>
      <c r="N92" s="103"/>
      <c r="O92" s="102">
        <f t="shared" si="0"/>
        <v>3310200</v>
      </c>
      <c r="P92" s="102"/>
      <c r="Q92" s="103"/>
      <c r="R92" s="103">
        <f t="shared" si="64"/>
        <v>628938</v>
      </c>
      <c r="S92" s="104">
        <f t="shared" si="58"/>
        <v>3939138</v>
      </c>
      <c r="T92" s="47">
        <f t="shared" si="8"/>
        <v>2096213002</v>
      </c>
      <c r="U92" s="105"/>
      <c r="V92" s="33"/>
      <c r="W92" s="35"/>
      <c r="X92" s="107"/>
      <c r="Y92" s="35"/>
      <c r="Z92" s="108">
        <v>4284000</v>
      </c>
      <c r="AA92" s="109">
        <f t="shared" si="59"/>
        <v>344862</v>
      </c>
      <c r="AB92" s="34"/>
      <c r="AC92" s="108">
        <f t="shared" si="60"/>
        <v>3939138</v>
      </c>
      <c r="AD92" s="110">
        <v>4284000</v>
      </c>
      <c r="AE92" s="110">
        <f t="shared" si="61"/>
        <v>344862</v>
      </c>
      <c r="AF92" s="41">
        <f t="shared" si="62"/>
        <v>3427200</v>
      </c>
      <c r="AG92" s="41">
        <f t="shared" si="63"/>
        <v>511938</v>
      </c>
      <c r="AH92" s="35"/>
      <c r="AI92" s="14"/>
      <c r="AJ92" s="14"/>
      <c r="AK92" s="14"/>
      <c r="AL92" s="14"/>
      <c r="AM92" s="14"/>
    </row>
    <row r="93" spans="2:39" ht="15.75" customHeight="1" x14ac:dyDescent="0.25">
      <c r="B93" s="276"/>
      <c r="C93" s="276"/>
      <c r="D93" s="5" t="s">
        <v>300</v>
      </c>
      <c r="E93" s="5" t="s">
        <v>308</v>
      </c>
      <c r="F93" s="7" t="s">
        <v>383</v>
      </c>
      <c r="G93" s="98" t="s">
        <v>384</v>
      </c>
      <c r="H93" s="99"/>
      <c r="I93" s="100" t="s">
        <v>393</v>
      </c>
      <c r="J93" s="101">
        <v>30</v>
      </c>
      <c r="K93" s="101">
        <v>2</v>
      </c>
      <c r="L93" s="102">
        <v>1655100</v>
      </c>
      <c r="M93" s="103"/>
      <c r="N93" s="103"/>
      <c r="O93" s="102">
        <f t="shared" si="0"/>
        <v>3310200</v>
      </c>
      <c r="P93" s="102"/>
      <c r="Q93" s="103"/>
      <c r="R93" s="103">
        <f t="shared" si="64"/>
        <v>628938</v>
      </c>
      <c r="S93" s="104">
        <f t="shared" si="58"/>
        <v>3939138</v>
      </c>
      <c r="T93" s="47">
        <f t="shared" si="8"/>
        <v>2100152140</v>
      </c>
      <c r="U93" s="105"/>
      <c r="V93" s="33"/>
      <c r="W93" s="35"/>
      <c r="X93" s="107"/>
      <c r="Y93" s="35"/>
      <c r="Z93" s="108">
        <v>4284000</v>
      </c>
      <c r="AA93" s="109">
        <f t="shared" si="59"/>
        <v>344862</v>
      </c>
      <c r="AB93" s="34"/>
      <c r="AC93" s="108">
        <f t="shared" si="60"/>
        <v>3939138</v>
      </c>
      <c r="AD93" s="110">
        <v>4284000</v>
      </c>
      <c r="AE93" s="110">
        <f t="shared" si="61"/>
        <v>344862</v>
      </c>
      <c r="AF93" s="41">
        <f t="shared" si="62"/>
        <v>3427200</v>
      </c>
      <c r="AG93" s="41">
        <f t="shared" si="63"/>
        <v>511938</v>
      </c>
      <c r="AH93" s="35"/>
      <c r="AI93" s="14"/>
      <c r="AJ93" s="14"/>
      <c r="AK93" s="14"/>
      <c r="AL93" s="14"/>
      <c r="AM93" s="14"/>
    </row>
    <row r="94" spans="2:39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5">SUM(L9:L93)</f>
        <v>666426284.4725337</v>
      </c>
      <c r="M94" s="114">
        <f t="shared" si="65"/>
        <v>19688.023040480017</v>
      </c>
      <c r="N94" s="114">
        <f t="shared" si="65"/>
        <v>56956074.957874246</v>
      </c>
      <c r="O94" s="114">
        <f t="shared" si="65"/>
        <v>2059876109</v>
      </c>
      <c r="P94" s="114"/>
      <c r="Q94" s="114">
        <f t="shared" ref="Q94:S94" si="66">SUM(Q9:Q93)</f>
        <v>175837335.49999985</v>
      </c>
      <c r="R94" s="114">
        <f t="shared" si="66"/>
        <v>40276030.045000039</v>
      </c>
      <c r="S94" s="114">
        <f t="shared" si="66"/>
        <v>2100152140</v>
      </c>
      <c r="T94" s="47"/>
      <c r="U94" s="114"/>
      <c r="V94" s="33"/>
      <c r="W94" s="33"/>
      <c r="X94" s="33"/>
      <c r="Y94" s="33"/>
      <c r="Z94" s="33"/>
      <c r="AA94" s="33"/>
      <c r="AB94" s="30"/>
      <c r="AC94" s="30"/>
      <c r="AD94" s="30"/>
      <c r="AE94" s="30"/>
      <c r="AF94" s="30"/>
      <c r="AG94" s="30"/>
      <c r="AH94" s="30"/>
      <c r="AI94" s="31"/>
      <c r="AJ94" s="14"/>
      <c r="AK94" s="14"/>
      <c r="AL94" s="14"/>
      <c r="AM94" s="14"/>
    </row>
  </sheetData>
  <autoFilter ref="H8:N94" xr:uid="{00000000-0009-0000-0000-000008000000}"/>
  <mergeCells count="69">
    <mergeCell ref="F55:F56"/>
    <mergeCell ref="D48:D52"/>
    <mergeCell ref="E48:E52"/>
    <mergeCell ref="F48:F52"/>
    <mergeCell ref="D53:D54"/>
    <mergeCell ref="E53:E54"/>
    <mergeCell ref="F53:F54"/>
    <mergeCell ref="D55:D56"/>
    <mergeCell ref="B9:B61"/>
    <mergeCell ref="C9:C42"/>
    <mergeCell ref="C43:C47"/>
    <mergeCell ref="C48:C61"/>
    <mergeCell ref="B62:B93"/>
    <mergeCell ref="C62:C83"/>
    <mergeCell ref="C84:C93"/>
    <mergeCell ref="B2:F7"/>
    <mergeCell ref="G2:U2"/>
    <mergeCell ref="G3:Q3"/>
    <mergeCell ref="R3:S6"/>
    <mergeCell ref="G4:M6"/>
    <mergeCell ref="N4:Q6"/>
    <mergeCell ref="G7:S7"/>
    <mergeCell ref="E9:E12"/>
    <mergeCell ref="F9:F12"/>
    <mergeCell ref="D13:D14"/>
    <mergeCell ref="E13:E14"/>
    <mergeCell ref="F13:F14"/>
    <mergeCell ref="E15:E16"/>
    <mergeCell ref="F15:F16"/>
    <mergeCell ref="F29:F30"/>
    <mergeCell ref="F32:F34"/>
    <mergeCell ref="F35:F37"/>
    <mergeCell ref="F38:F39"/>
    <mergeCell ref="F40:F41"/>
    <mergeCell ref="E17:E19"/>
    <mergeCell ref="F17:F19"/>
    <mergeCell ref="E20:E21"/>
    <mergeCell ref="F20:F21"/>
    <mergeCell ref="E22:E25"/>
    <mergeCell ref="F22:F25"/>
    <mergeCell ref="F26:F28"/>
    <mergeCell ref="E26:E28"/>
    <mergeCell ref="E29:E30"/>
    <mergeCell ref="E32:E34"/>
    <mergeCell ref="E35:E37"/>
    <mergeCell ref="D38:D39"/>
    <mergeCell ref="E38:E39"/>
    <mergeCell ref="E40:E41"/>
    <mergeCell ref="D77:D78"/>
    <mergeCell ref="E77:E78"/>
    <mergeCell ref="E74:E75"/>
    <mergeCell ref="D70:D71"/>
    <mergeCell ref="E70:E71"/>
    <mergeCell ref="D72:D73"/>
    <mergeCell ref="E72:E73"/>
    <mergeCell ref="D74:D76"/>
    <mergeCell ref="E55:E56"/>
    <mergeCell ref="F77:F78"/>
    <mergeCell ref="D80:D81"/>
    <mergeCell ref="D57:D58"/>
    <mergeCell ref="D63:D67"/>
    <mergeCell ref="E63:E67"/>
    <mergeCell ref="F63:F64"/>
    <mergeCell ref="D68:D69"/>
    <mergeCell ref="E68:E69"/>
    <mergeCell ref="F68:F69"/>
    <mergeCell ref="F74:F75"/>
    <mergeCell ref="F70:F71"/>
    <mergeCell ref="F72:F73"/>
  </mergeCells>
  <pageMargins left="0.31496062992125984" right="0.31496062992125984" top="0.35433070866141736" bottom="0.35433070866141736" header="0" footer="0"/>
  <pageSetup paperSize="5" orientation="landscape"/>
  <rowBreaks count="1" manualBreakCount="1">
    <brk id="61" man="1"/>
  </rowBreaks>
  <colBreaks count="1" manualBreakCount="1">
    <brk id="20" man="1"/>
  </col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 filterMode="1"/>
  <dimension ref="A2:AE108"/>
  <sheetViews>
    <sheetView showGridLines="0" workbookViewId="0">
      <pane ySplit="8" topLeftCell="A9" activePane="bottomLeft" state="frozen"/>
      <selection pane="bottomLeft" activeCell="B10" sqref="B10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customWidth="1"/>
    <col min="3" max="3" width="7" customWidth="1"/>
    <col min="4" max="4" width="21.140625" customWidth="1"/>
    <col min="5" max="5" width="16.28515625" customWidth="1"/>
    <col min="6" max="6" width="44.42578125" customWidth="1"/>
    <col min="7" max="7" width="39.42578125" customWidth="1"/>
    <col min="8" max="8" width="39.42578125" hidden="1" customWidth="1"/>
    <col min="9" max="9" width="22.28515625" customWidth="1"/>
    <col min="10" max="10" width="11.42578125" customWidth="1"/>
    <col min="11" max="11" width="12.28515625" customWidth="1"/>
    <col min="12" max="12" width="22.140625" customWidth="1"/>
    <col min="13" max="13" width="23" customWidth="1"/>
    <col min="14" max="14" width="23.42578125" customWidth="1"/>
    <col min="15" max="15" width="29.140625" customWidth="1"/>
    <col min="16" max="16" width="22.42578125" customWidth="1"/>
    <col min="17" max="17" width="23.85546875" customWidth="1"/>
    <col min="18" max="18" width="25.7109375" customWidth="1"/>
    <col min="19" max="21" width="25.42578125" hidden="1" customWidth="1"/>
    <col min="22" max="22" width="7.42578125" hidden="1" customWidth="1"/>
    <col min="23" max="23" width="32.7109375" hidden="1" customWidth="1"/>
    <col min="24" max="24" width="2.7109375" hidden="1" customWidth="1"/>
    <col min="25" max="25" width="15.140625" hidden="1" customWidth="1"/>
    <col min="26" max="26" width="28.42578125" customWidth="1"/>
    <col min="28" max="28" width="29.28515625" customWidth="1"/>
    <col min="29" max="29" width="32.7109375" customWidth="1"/>
    <col min="30" max="30" width="19.140625" customWidth="1"/>
    <col min="31" max="31" width="27.28515625" customWidth="1"/>
    <col min="32" max="33" width="24.85546875" customWidth="1"/>
    <col min="34" max="34" width="16.140625" customWidth="1"/>
    <col min="35" max="35" width="13" customWidth="1"/>
  </cols>
  <sheetData>
    <row r="2" spans="2:25" ht="29.25" customHeight="1" x14ac:dyDescent="0.25">
      <c r="B2" s="282"/>
      <c r="C2" s="283"/>
      <c r="D2" s="283"/>
      <c r="E2" s="283"/>
      <c r="F2" s="284"/>
      <c r="G2" s="290" t="s">
        <v>254</v>
      </c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60"/>
      <c r="T2" s="32"/>
      <c r="U2" s="32"/>
      <c r="V2" s="32"/>
      <c r="W2" s="32"/>
      <c r="X2" s="33"/>
      <c r="Y2" s="33"/>
    </row>
    <row r="3" spans="2:25" ht="29.25" customHeight="1" x14ac:dyDescent="0.25">
      <c r="B3" s="285"/>
      <c r="C3" s="270"/>
      <c r="D3" s="270"/>
      <c r="E3" s="270"/>
      <c r="F3" s="286"/>
      <c r="G3" s="290" t="s">
        <v>255</v>
      </c>
      <c r="H3" s="259"/>
      <c r="I3" s="259"/>
      <c r="J3" s="259"/>
      <c r="K3" s="259"/>
      <c r="L3" s="259"/>
      <c r="M3" s="259"/>
      <c r="N3" s="259"/>
      <c r="O3" s="259"/>
      <c r="P3" s="260"/>
      <c r="Q3" s="291" t="s">
        <v>394</v>
      </c>
      <c r="R3" s="284"/>
      <c r="S3" s="37"/>
      <c r="T3" s="32"/>
      <c r="U3" s="32"/>
      <c r="V3" s="32"/>
      <c r="W3" s="32"/>
      <c r="X3" s="33"/>
      <c r="Y3" s="33"/>
    </row>
    <row r="4" spans="2:25" ht="15" customHeight="1" x14ac:dyDescent="0.25">
      <c r="B4" s="285"/>
      <c r="C4" s="270"/>
      <c r="D4" s="270"/>
      <c r="E4" s="270"/>
      <c r="F4" s="286"/>
      <c r="G4" s="292" t="s">
        <v>395</v>
      </c>
      <c r="H4" s="283"/>
      <c r="I4" s="283"/>
      <c r="J4" s="283"/>
      <c r="K4" s="283"/>
      <c r="L4" s="283"/>
      <c r="M4" s="284"/>
      <c r="N4" s="293" t="s">
        <v>396</v>
      </c>
      <c r="O4" s="283"/>
      <c r="P4" s="284"/>
      <c r="Q4" s="285"/>
      <c r="R4" s="286"/>
      <c r="S4" s="37"/>
      <c r="T4" s="37"/>
      <c r="U4" s="37"/>
      <c r="V4" s="37"/>
      <c r="W4" s="37"/>
      <c r="X4" s="33"/>
      <c r="Y4" s="33"/>
    </row>
    <row r="5" spans="2:25" ht="15" customHeight="1" x14ac:dyDescent="0.25">
      <c r="B5" s="285"/>
      <c r="C5" s="270"/>
      <c r="D5" s="270"/>
      <c r="E5" s="270"/>
      <c r="F5" s="286"/>
      <c r="G5" s="285"/>
      <c r="H5" s="270"/>
      <c r="I5" s="270"/>
      <c r="J5" s="270"/>
      <c r="K5" s="270"/>
      <c r="L5" s="270"/>
      <c r="M5" s="286"/>
      <c r="N5" s="285"/>
      <c r="O5" s="270"/>
      <c r="P5" s="286"/>
      <c r="Q5" s="285"/>
      <c r="R5" s="286"/>
      <c r="S5" s="37"/>
      <c r="T5" s="37"/>
      <c r="U5" s="37"/>
      <c r="V5" s="37"/>
      <c r="W5" s="37"/>
      <c r="X5" s="33"/>
      <c r="Y5" s="33"/>
    </row>
    <row r="6" spans="2:25" ht="15" customHeight="1" x14ac:dyDescent="0.25">
      <c r="B6" s="285"/>
      <c r="C6" s="270"/>
      <c r="D6" s="270"/>
      <c r="E6" s="270"/>
      <c r="F6" s="286"/>
      <c r="G6" s="287"/>
      <c r="H6" s="288"/>
      <c r="I6" s="288"/>
      <c r="J6" s="288"/>
      <c r="K6" s="288"/>
      <c r="L6" s="288"/>
      <c r="M6" s="289"/>
      <c r="N6" s="287"/>
      <c r="O6" s="288"/>
      <c r="P6" s="289"/>
      <c r="Q6" s="287"/>
      <c r="R6" s="289"/>
      <c r="S6" s="37"/>
      <c r="T6" s="37"/>
      <c r="U6" s="37"/>
      <c r="V6" s="37"/>
      <c r="W6" s="37"/>
      <c r="X6" s="33"/>
      <c r="Y6" s="33"/>
    </row>
    <row r="7" spans="2:25" ht="34.5" customHeight="1" x14ac:dyDescent="0.25">
      <c r="B7" s="287"/>
      <c r="C7" s="288"/>
      <c r="D7" s="288"/>
      <c r="E7" s="288"/>
      <c r="F7" s="289"/>
      <c r="G7" s="294" t="s">
        <v>259</v>
      </c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259"/>
      <c r="V7" s="259"/>
      <c r="W7" s="260"/>
      <c r="X7" s="33"/>
      <c r="Y7" s="33"/>
    </row>
    <row r="8" spans="2:25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 t="s">
        <v>13</v>
      </c>
      <c r="Q8" s="2" t="s">
        <v>14</v>
      </c>
      <c r="R8" s="2" t="s">
        <v>397</v>
      </c>
      <c r="S8" s="2"/>
      <c r="T8" s="33"/>
      <c r="U8" s="33"/>
      <c r="V8" s="35"/>
      <c r="W8" s="35"/>
      <c r="X8" s="35"/>
      <c r="Y8" s="35"/>
    </row>
    <row r="9" spans="2:25" ht="24" customHeight="1" x14ac:dyDescent="0.25">
      <c r="B9" s="305" t="s">
        <v>264</v>
      </c>
      <c r="C9" s="307" t="s">
        <v>265</v>
      </c>
      <c r="D9" s="5" t="s">
        <v>16</v>
      </c>
      <c r="E9" s="5" t="s">
        <v>266</v>
      </c>
      <c r="F9" s="5" t="s">
        <v>267</v>
      </c>
      <c r="G9" s="5" t="s">
        <v>268</v>
      </c>
      <c r="H9" s="5" t="s">
        <v>21</v>
      </c>
      <c r="I9" s="7" t="s">
        <v>269</v>
      </c>
      <c r="J9" s="8">
        <v>16</v>
      </c>
      <c r="K9" s="8">
        <v>5</v>
      </c>
      <c r="L9" s="102">
        <f>9.06*1160000*55.97%/15*12+2</f>
        <v>4705780.4959999993</v>
      </c>
      <c r="M9" s="102">
        <f>+V$9*55.97%/15*12</f>
        <v>145.51752240000002</v>
      </c>
      <c r="N9" s="102">
        <f>+(L9+M9)*8%</f>
        <v>376474.08108179196</v>
      </c>
      <c r="O9" s="102">
        <f t="shared" ref="O9:O92" si="0">(ROUND(L9+M9+N9,0)*K9)/30*J9</f>
        <v>13553066.666666666</v>
      </c>
      <c r="P9" s="116">
        <f t="shared" ref="P9:P21" si="1">+O9*10%</f>
        <v>1355306.6666666667</v>
      </c>
      <c r="Q9" s="102">
        <f t="shared" ref="Q9:Q21" si="2">+P9*19%</f>
        <v>257508.26666666669</v>
      </c>
      <c r="R9" s="102">
        <f t="shared" ref="R9:R84" si="3">+ROUND(O9+Q9,0)</f>
        <v>13810575</v>
      </c>
      <c r="S9" s="105"/>
      <c r="T9" s="33"/>
      <c r="U9" s="33"/>
      <c r="V9" s="107">
        <f>108.33*3</f>
        <v>324.99</v>
      </c>
      <c r="W9" s="35"/>
      <c r="X9" s="108">
        <v>21688707.040683702</v>
      </c>
      <c r="Y9" s="109">
        <f t="shared" ref="Y9:Y92" si="4">+X9-R9</f>
        <v>7878132.0406837016</v>
      </c>
    </row>
    <row r="10" spans="2:25" hidden="1" x14ac:dyDescent="0.25">
      <c r="B10" s="278"/>
      <c r="C10" s="278"/>
      <c r="D10" s="5" t="s">
        <v>16</v>
      </c>
      <c r="E10" s="5"/>
      <c r="F10" s="5"/>
      <c r="G10" s="5" t="s">
        <v>270</v>
      </c>
      <c r="H10" s="5" t="s">
        <v>23</v>
      </c>
      <c r="I10" s="7" t="s">
        <v>271</v>
      </c>
      <c r="J10" s="8">
        <v>16</v>
      </c>
      <c r="K10" s="8">
        <v>1</v>
      </c>
      <c r="L10" s="102">
        <f t="shared" ref="L10:L13" si="5">9.06*1160000+2</f>
        <v>10509602</v>
      </c>
      <c r="M10" s="102">
        <f t="shared" ref="M10:M13" si="6">+V$9</f>
        <v>324.99</v>
      </c>
      <c r="N10" s="102">
        <f>+(L10+M10)*10%</f>
        <v>1050992.699</v>
      </c>
      <c r="O10" s="102">
        <f t="shared" si="0"/>
        <v>6165824</v>
      </c>
      <c r="P10" s="116">
        <f t="shared" si="1"/>
        <v>616582.40000000002</v>
      </c>
      <c r="Q10" s="102">
        <f t="shared" si="2"/>
        <v>117150.656</v>
      </c>
      <c r="R10" s="102">
        <f t="shared" si="3"/>
        <v>6282975</v>
      </c>
      <c r="S10" s="105"/>
      <c r="T10" s="33"/>
      <c r="U10" s="33"/>
      <c r="V10" s="35"/>
      <c r="W10" s="35"/>
      <c r="X10" s="108">
        <v>48440488.413540453</v>
      </c>
      <c r="Y10" s="109">
        <f t="shared" si="4"/>
        <v>42157513.413540453</v>
      </c>
    </row>
    <row r="11" spans="2:25" x14ac:dyDescent="0.25">
      <c r="B11" s="278"/>
      <c r="C11" s="278"/>
      <c r="D11" s="5" t="s">
        <v>16</v>
      </c>
      <c r="E11" s="5"/>
      <c r="F11" s="5"/>
      <c r="G11" s="5" t="s">
        <v>272</v>
      </c>
      <c r="H11" s="5" t="s">
        <v>74</v>
      </c>
      <c r="I11" s="7" t="s">
        <v>269</v>
      </c>
      <c r="J11" s="8">
        <v>16</v>
      </c>
      <c r="K11" s="8">
        <v>6</v>
      </c>
      <c r="L11" s="102">
        <f t="shared" si="5"/>
        <v>10509602</v>
      </c>
      <c r="M11" s="102">
        <f t="shared" si="6"/>
        <v>324.99</v>
      </c>
      <c r="N11" s="102">
        <f t="shared" ref="N11:N12" si="7">+(L11+M11)*8%</f>
        <v>840794.15919999999</v>
      </c>
      <c r="O11" s="102">
        <f t="shared" si="0"/>
        <v>36322307.200000003</v>
      </c>
      <c r="P11" s="116">
        <f t="shared" si="1"/>
        <v>3632230.7200000007</v>
      </c>
      <c r="Q11" s="102">
        <f t="shared" si="2"/>
        <v>690123.83680000016</v>
      </c>
      <c r="R11" s="102">
        <f t="shared" si="3"/>
        <v>37012431</v>
      </c>
      <c r="S11" s="105"/>
      <c r="T11" s="33"/>
      <c r="U11" s="33"/>
      <c r="V11" s="35"/>
      <c r="W11" s="35"/>
      <c r="X11" s="108">
        <v>9867506.8990545366</v>
      </c>
      <c r="Y11" s="109">
        <f t="shared" si="4"/>
        <v>-27144924.100945465</v>
      </c>
    </row>
    <row r="12" spans="2:25" ht="24" x14ac:dyDescent="0.25">
      <c r="B12" s="278"/>
      <c r="C12" s="278"/>
      <c r="D12" s="5" t="s">
        <v>16</v>
      </c>
      <c r="E12" s="5"/>
      <c r="F12" s="117"/>
      <c r="G12" s="5" t="s">
        <v>273</v>
      </c>
      <c r="H12" s="5" t="s">
        <v>274</v>
      </c>
      <c r="I12" s="7" t="s">
        <v>269</v>
      </c>
      <c r="J12" s="8">
        <v>16</v>
      </c>
      <c r="K12" s="8">
        <v>9</v>
      </c>
      <c r="L12" s="102">
        <f t="shared" si="5"/>
        <v>10509602</v>
      </c>
      <c r="M12" s="102">
        <f t="shared" si="6"/>
        <v>324.99</v>
      </c>
      <c r="N12" s="102">
        <f t="shared" si="7"/>
        <v>840794.15919999999</v>
      </c>
      <c r="O12" s="102">
        <f t="shared" si="0"/>
        <v>54483460.799999997</v>
      </c>
      <c r="P12" s="116">
        <f t="shared" si="1"/>
        <v>5448346.0800000001</v>
      </c>
      <c r="Q12" s="102">
        <f t="shared" si="2"/>
        <v>1035185.7552</v>
      </c>
      <c r="R12" s="102">
        <f t="shared" si="3"/>
        <v>55518647</v>
      </c>
      <c r="S12" s="105"/>
      <c r="T12" s="33"/>
      <c r="U12" s="33"/>
      <c r="V12" s="35"/>
      <c r="W12" s="35"/>
      <c r="X12" s="108">
        <v>9688097.682708092</v>
      </c>
      <c r="Y12" s="109">
        <f t="shared" si="4"/>
        <v>-45830549.317291908</v>
      </c>
    </row>
    <row r="13" spans="2:25" ht="24" hidden="1" x14ac:dyDescent="0.25">
      <c r="B13" s="278"/>
      <c r="C13" s="278"/>
      <c r="D13" s="304" t="s">
        <v>16</v>
      </c>
      <c r="E13" s="5" t="s">
        <v>275</v>
      </c>
      <c r="F13" s="5" t="s">
        <v>275</v>
      </c>
      <c r="G13" s="5" t="s">
        <v>272</v>
      </c>
      <c r="H13" s="5" t="s">
        <v>276</v>
      </c>
      <c r="I13" s="7" t="s">
        <v>271</v>
      </c>
      <c r="J13" s="8">
        <v>16</v>
      </c>
      <c r="K13" s="8">
        <v>3</v>
      </c>
      <c r="L13" s="102">
        <f t="shared" si="5"/>
        <v>10509602</v>
      </c>
      <c r="M13" s="102">
        <f t="shared" si="6"/>
        <v>324.99</v>
      </c>
      <c r="N13" s="102">
        <f>+(L13+M13)*10%</f>
        <v>1050992.699</v>
      </c>
      <c r="O13" s="102">
        <f t="shared" si="0"/>
        <v>18497472</v>
      </c>
      <c r="P13" s="116">
        <f t="shared" si="1"/>
        <v>1849747.2000000002</v>
      </c>
      <c r="Q13" s="102">
        <f t="shared" si="2"/>
        <v>351451.96800000005</v>
      </c>
      <c r="R13" s="102">
        <f t="shared" si="3"/>
        <v>18848924</v>
      </c>
      <c r="S13" s="105"/>
      <c r="T13" s="33"/>
      <c r="U13" s="33"/>
      <c r="V13" s="35"/>
      <c r="W13" s="35"/>
      <c r="X13" s="108">
        <v>38752390.730832368</v>
      </c>
      <c r="Y13" s="109">
        <f t="shared" si="4"/>
        <v>19903466.730832368</v>
      </c>
    </row>
    <row r="14" spans="2:25" ht="24" hidden="1" x14ac:dyDescent="0.25">
      <c r="B14" s="278"/>
      <c r="C14" s="278"/>
      <c r="D14" s="276"/>
      <c r="E14" s="5"/>
      <c r="F14" s="5"/>
      <c r="G14" s="5" t="s">
        <v>268</v>
      </c>
      <c r="H14" s="5" t="s">
        <v>80</v>
      </c>
      <c r="I14" s="7" t="s">
        <v>277</v>
      </c>
      <c r="J14" s="8">
        <v>16</v>
      </c>
      <c r="K14" s="8">
        <v>1</v>
      </c>
      <c r="L14" s="102">
        <f t="shared" ref="L14:L15" si="8">9.06*1160000*55.97%/15*12+2</f>
        <v>4705780.4959999993</v>
      </c>
      <c r="M14" s="102">
        <f t="shared" ref="M14:M15" si="9">+V$9*55.97%/15*12</f>
        <v>145.51752240000002</v>
      </c>
      <c r="N14" s="102">
        <f>+(L14+M14)*11%</f>
        <v>517651.86148746393</v>
      </c>
      <c r="O14" s="102">
        <f t="shared" si="0"/>
        <v>2785908.2666666666</v>
      </c>
      <c r="P14" s="116">
        <f t="shared" si="1"/>
        <v>278590.82666666666</v>
      </c>
      <c r="Q14" s="102">
        <f t="shared" si="2"/>
        <v>52932.257066666665</v>
      </c>
      <c r="R14" s="102">
        <f t="shared" si="3"/>
        <v>2838841</v>
      </c>
      <c r="S14" s="105"/>
      <c r="T14" s="33"/>
      <c r="U14" s="33"/>
      <c r="V14" s="35"/>
      <c r="W14" s="35"/>
      <c r="X14" s="108">
        <v>48440488.413540453</v>
      </c>
      <c r="Y14" s="109">
        <f t="shared" si="4"/>
        <v>45601647.413540453</v>
      </c>
    </row>
    <row r="15" spans="2:25" x14ac:dyDescent="0.25">
      <c r="B15" s="278"/>
      <c r="C15" s="278"/>
      <c r="D15" s="5" t="s">
        <v>278</v>
      </c>
      <c r="E15" s="5" t="s">
        <v>88</v>
      </c>
      <c r="F15" s="5" t="s">
        <v>88</v>
      </c>
      <c r="G15" s="5" t="s">
        <v>268</v>
      </c>
      <c r="H15" s="5" t="s">
        <v>83</v>
      </c>
      <c r="I15" s="7" t="s">
        <v>269</v>
      </c>
      <c r="J15" s="8">
        <v>16</v>
      </c>
      <c r="K15" s="8">
        <v>1</v>
      </c>
      <c r="L15" s="102">
        <f t="shared" si="8"/>
        <v>4705780.4959999993</v>
      </c>
      <c r="M15" s="102">
        <f t="shared" si="9"/>
        <v>145.51752240000002</v>
      </c>
      <c r="N15" s="102">
        <f>+(L15+M15)*8%</f>
        <v>376474.08108179196</v>
      </c>
      <c r="O15" s="102">
        <f t="shared" si="0"/>
        <v>2710613.3333333335</v>
      </c>
      <c r="P15" s="116">
        <f t="shared" si="1"/>
        <v>271061.33333333337</v>
      </c>
      <c r="Q15" s="102">
        <f t="shared" si="2"/>
        <v>51501.653333333343</v>
      </c>
      <c r="R15" s="102">
        <f t="shared" si="3"/>
        <v>2762115</v>
      </c>
      <c r="S15" s="105"/>
      <c r="T15" s="33"/>
      <c r="U15" s="33"/>
      <c r="V15" s="35"/>
      <c r="W15" s="35"/>
      <c r="X15" s="108">
        <v>29602520.697163612</v>
      </c>
      <c r="Y15" s="109">
        <f t="shared" si="4"/>
        <v>26840405.697163612</v>
      </c>
    </row>
    <row r="16" spans="2:25" hidden="1" x14ac:dyDescent="0.25">
      <c r="B16" s="278"/>
      <c r="C16" s="278"/>
      <c r="D16" s="5" t="s">
        <v>278</v>
      </c>
      <c r="E16" s="5"/>
      <c r="F16" s="5"/>
      <c r="G16" s="5" t="s">
        <v>272</v>
      </c>
      <c r="H16" s="5" t="s">
        <v>86</v>
      </c>
      <c r="I16" s="7" t="s">
        <v>271</v>
      </c>
      <c r="J16" s="8">
        <v>16</v>
      </c>
      <c r="K16" s="8">
        <v>3</v>
      </c>
      <c r="L16" s="102">
        <f t="shared" ref="L16:L17" si="10">9.06*1160000+2</f>
        <v>10509602</v>
      </c>
      <c r="M16" s="102">
        <f t="shared" ref="M16:M17" si="11">+V$9</f>
        <v>324.99</v>
      </c>
      <c r="N16" s="102">
        <f t="shared" ref="N16:N17" si="12">+(L16+M16)*10%</f>
        <v>1050992.699</v>
      </c>
      <c r="O16" s="102">
        <f t="shared" si="0"/>
        <v>18497472</v>
      </c>
      <c r="P16" s="116">
        <f t="shared" si="1"/>
        <v>1849747.2000000002</v>
      </c>
      <c r="Q16" s="102">
        <f t="shared" si="2"/>
        <v>351451.96800000005</v>
      </c>
      <c r="R16" s="102">
        <f t="shared" si="3"/>
        <v>18848924</v>
      </c>
      <c r="S16" s="105"/>
      <c r="T16" s="33"/>
      <c r="U16" s="33"/>
      <c r="V16" s="35"/>
      <c r="W16" s="35"/>
      <c r="X16" s="108">
        <v>4540767.9355263505</v>
      </c>
      <c r="Y16" s="109">
        <f t="shared" si="4"/>
        <v>-14308156.064473649</v>
      </c>
    </row>
    <row r="17" spans="2:25" hidden="1" x14ac:dyDescent="0.25">
      <c r="B17" s="278"/>
      <c r="C17" s="278"/>
      <c r="D17" s="5" t="s">
        <v>279</v>
      </c>
      <c r="E17" s="5" t="s">
        <v>280</v>
      </c>
      <c r="F17" s="5" t="s">
        <v>281</v>
      </c>
      <c r="G17" s="5" t="s">
        <v>272</v>
      </c>
      <c r="H17" s="5" t="s">
        <v>282</v>
      </c>
      <c r="I17" s="7" t="s">
        <v>271</v>
      </c>
      <c r="J17" s="8">
        <v>16</v>
      </c>
      <c r="K17" s="8">
        <v>9</v>
      </c>
      <c r="L17" s="102">
        <f t="shared" si="10"/>
        <v>10509602</v>
      </c>
      <c r="M17" s="102">
        <f t="shared" si="11"/>
        <v>324.99</v>
      </c>
      <c r="N17" s="102">
        <f t="shared" si="12"/>
        <v>1050992.699</v>
      </c>
      <c r="O17" s="102">
        <f t="shared" si="0"/>
        <v>55492416</v>
      </c>
      <c r="P17" s="116">
        <f t="shared" si="1"/>
        <v>5549241.6000000006</v>
      </c>
      <c r="Q17" s="102">
        <f t="shared" si="2"/>
        <v>1054355.9040000001</v>
      </c>
      <c r="R17" s="102">
        <f t="shared" si="3"/>
        <v>56546772</v>
      </c>
      <c r="S17" s="105"/>
      <c r="T17" s="33"/>
      <c r="U17" s="33"/>
      <c r="V17" s="35"/>
      <c r="W17" s="35"/>
      <c r="X17" s="108">
        <v>4337741.4081367375</v>
      </c>
      <c r="Y17" s="109">
        <f t="shared" si="4"/>
        <v>-52209030.59186326</v>
      </c>
    </row>
    <row r="18" spans="2:25" x14ac:dyDescent="0.25">
      <c r="B18" s="278"/>
      <c r="C18" s="278"/>
      <c r="D18" s="5" t="s">
        <v>279</v>
      </c>
      <c r="E18" s="5"/>
      <c r="F18" s="5"/>
      <c r="G18" s="5" t="s">
        <v>283</v>
      </c>
      <c r="H18" s="5" t="s">
        <v>284</v>
      </c>
      <c r="I18" s="7" t="s">
        <v>269</v>
      </c>
      <c r="J18" s="8">
        <v>16</v>
      </c>
      <c r="K18" s="8">
        <v>5</v>
      </c>
      <c r="L18" s="102">
        <f>(9.06*1160000*55.97%)+(9.06*1160000*44.03%/9*1)+2</f>
        <v>6396378.1066666665</v>
      </c>
      <c r="M18" s="102">
        <f>+(V$9*55.97%)+(V9*44.03%/9*1)</f>
        <v>197.79613600000002</v>
      </c>
      <c r="N18" s="102">
        <f>+(L18+M18)*8%</f>
        <v>511726.07222421333</v>
      </c>
      <c r="O18" s="102">
        <f t="shared" si="0"/>
        <v>18422138.666666668</v>
      </c>
      <c r="P18" s="116">
        <f t="shared" si="1"/>
        <v>1842213.8666666669</v>
      </c>
      <c r="Q18" s="102">
        <f t="shared" si="2"/>
        <v>350020.63466666674</v>
      </c>
      <c r="R18" s="102">
        <f t="shared" si="3"/>
        <v>18772159</v>
      </c>
      <c r="S18" s="105"/>
      <c r="T18" s="33"/>
      <c r="U18" s="33"/>
      <c r="V18" s="35"/>
      <c r="W18" s="35"/>
      <c r="X18" s="108">
        <v>29602520.697163612</v>
      </c>
      <c r="Y18" s="109">
        <f t="shared" si="4"/>
        <v>10830361.697163612</v>
      </c>
    </row>
    <row r="19" spans="2:25" ht="24" hidden="1" x14ac:dyDescent="0.25">
      <c r="B19" s="278"/>
      <c r="C19" s="278"/>
      <c r="D19" s="5" t="s">
        <v>279</v>
      </c>
      <c r="E19" s="5"/>
      <c r="F19" s="5"/>
      <c r="G19" s="5" t="s">
        <v>285</v>
      </c>
      <c r="H19" s="5" t="s">
        <v>92</v>
      </c>
      <c r="I19" s="7" t="s">
        <v>277</v>
      </c>
      <c r="J19" s="8">
        <v>16</v>
      </c>
      <c r="K19" s="8">
        <v>1</v>
      </c>
      <c r="L19" s="102">
        <f>9.06*1160000*55.97%/15*12+2</f>
        <v>4705780.4959999993</v>
      </c>
      <c r="M19" s="102">
        <f>+V$9*55.97%/15*12</f>
        <v>145.51752240000002</v>
      </c>
      <c r="N19" s="102">
        <f>+(L19+M19)*11%</f>
        <v>517651.86148746393</v>
      </c>
      <c r="O19" s="102">
        <f t="shared" si="0"/>
        <v>2785908.2666666666</v>
      </c>
      <c r="P19" s="116">
        <f t="shared" si="1"/>
        <v>278590.82666666666</v>
      </c>
      <c r="Q19" s="102">
        <f t="shared" si="2"/>
        <v>52932.257066666665</v>
      </c>
      <c r="R19" s="102">
        <f t="shared" si="3"/>
        <v>2838841</v>
      </c>
      <c r="S19" s="105"/>
      <c r="T19" s="33"/>
      <c r="U19" s="33"/>
      <c r="V19" s="35"/>
      <c r="W19" s="35"/>
      <c r="X19" s="108">
        <v>88807562.09149085</v>
      </c>
      <c r="Y19" s="109">
        <f t="shared" si="4"/>
        <v>85968721.09149085</v>
      </c>
    </row>
    <row r="20" spans="2:25" hidden="1" x14ac:dyDescent="0.25">
      <c r="B20" s="278"/>
      <c r="C20" s="278"/>
      <c r="D20" s="5" t="s">
        <v>278</v>
      </c>
      <c r="E20" s="5" t="s">
        <v>286</v>
      </c>
      <c r="F20" s="5" t="s">
        <v>287</v>
      </c>
      <c r="G20" s="5" t="s">
        <v>272</v>
      </c>
      <c r="H20" s="5" t="s">
        <v>93</v>
      </c>
      <c r="I20" s="7" t="s">
        <v>271</v>
      </c>
      <c r="J20" s="8">
        <v>16</v>
      </c>
      <c r="K20" s="8">
        <v>11</v>
      </c>
      <c r="L20" s="102">
        <f>9.06*1160000+2</f>
        <v>10509602</v>
      </c>
      <c r="M20" s="102">
        <f>+V$9</f>
        <v>324.99</v>
      </c>
      <c r="N20" s="102">
        <f>+(L20+M20)*10%</f>
        <v>1050992.699</v>
      </c>
      <c r="O20" s="102">
        <f t="shared" si="0"/>
        <v>67824064</v>
      </c>
      <c r="P20" s="116">
        <f t="shared" si="1"/>
        <v>6782406.4000000004</v>
      </c>
      <c r="Q20" s="102">
        <f t="shared" si="2"/>
        <v>1288657.216</v>
      </c>
      <c r="R20" s="102">
        <f t="shared" si="3"/>
        <v>69112721</v>
      </c>
      <c r="S20" s="105"/>
      <c r="T20" s="33"/>
      <c r="U20" s="33"/>
      <c r="V20" s="35"/>
      <c r="W20" s="35"/>
      <c r="X20" s="108">
        <v>29483347.424130812</v>
      </c>
      <c r="Y20" s="109">
        <f t="shared" si="4"/>
        <v>-39629373.575869188</v>
      </c>
    </row>
    <row r="21" spans="2:25" ht="15.75" customHeight="1" x14ac:dyDescent="0.25">
      <c r="B21" s="278"/>
      <c r="C21" s="278"/>
      <c r="D21" s="5" t="s">
        <v>278</v>
      </c>
      <c r="E21" s="5"/>
      <c r="F21" s="5"/>
      <c r="G21" s="5" t="s">
        <v>283</v>
      </c>
      <c r="H21" s="5" t="s">
        <v>288</v>
      </c>
      <c r="I21" s="7" t="s">
        <v>269</v>
      </c>
      <c r="J21" s="8">
        <v>16</v>
      </c>
      <c r="K21" s="8">
        <v>5</v>
      </c>
      <c r="L21" s="102">
        <f>(9.06*1160000*55.97%)+(9.06*1160000*44.03%/9*1)+2</f>
        <v>6396378.1066666665</v>
      </c>
      <c r="M21" s="102">
        <f>+(V$9*55.97%)+(V9*44.03%/9*1)</f>
        <v>197.79613600000002</v>
      </c>
      <c r="N21" s="102">
        <f>+(L21+M21)*8%</f>
        <v>511726.07222421333</v>
      </c>
      <c r="O21" s="102">
        <f t="shared" si="0"/>
        <v>18422138.666666668</v>
      </c>
      <c r="P21" s="116">
        <f t="shared" si="1"/>
        <v>1842213.8666666669</v>
      </c>
      <c r="Q21" s="102">
        <f t="shared" si="2"/>
        <v>350020.63466666674</v>
      </c>
      <c r="R21" s="102">
        <f t="shared" si="3"/>
        <v>18772159</v>
      </c>
      <c r="S21" s="105"/>
      <c r="T21" s="33"/>
      <c r="U21" s="33"/>
      <c r="V21" s="35"/>
      <c r="W21" s="35"/>
      <c r="X21" s="108">
        <v>4458234.2250294229</v>
      </c>
      <c r="Y21" s="109">
        <f t="shared" si="4"/>
        <v>-14313924.774970576</v>
      </c>
    </row>
    <row r="22" spans="2:25" ht="15.75" hidden="1" customHeight="1" x14ac:dyDescent="0.25">
      <c r="B22" s="278"/>
      <c r="C22" s="278"/>
      <c r="D22" s="5" t="s">
        <v>140</v>
      </c>
      <c r="E22" s="5" t="s">
        <v>141</v>
      </c>
      <c r="F22" s="5" t="s">
        <v>289</v>
      </c>
      <c r="G22" s="5" t="s">
        <v>272</v>
      </c>
      <c r="H22" s="5" t="s">
        <v>97</v>
      </c>
      <c r="I22" s="7" t="s">
        <v>271</v>
      </c>
      <c r="J22" s="8">
        <v>16</v>
      </c>
      <c r="K22" s="8">
        <v>14</v>
      </c>
      <c r="L22" s="102">
        <f>9.06*1160000+2</f>
        <v>10509602</v>
      </c>
      <c r="M22" s="102">
        <f>+V$9</f>
        <v>324.99</v>
      </c>
      <c r="N22" s="102">
        <f>+(L22+M22)*10%</f>
        <v>1050992.699</v>
      </c>
      <c r="O22" s="102">
        <f t="shared" si="0"/>
        <v>86321536</v>
      </c>
      <c r="P22" s="118">
        <v>0</v>
      </c>
      <c r="Q22" s="119">
        <v>0</v>
      </c>
      <c r="R22" s="102">
        <f t="shared" si="3"/>
        <v>86321536</v>
      </c>
      <c r="S22" s="105"/>
      <c r="T22" s="33"/>
      <c r="U22" s="33"/>
      <c r="V22" s="35"/>
      <c r="W22" s="35"/>
      <c r="X22" s="108">
        <v>108542575.88959992</v>
      </c>
      <c r="Y22" s="109">
        <f t="shared" si="4"/>
        <v>22221039.889599919</v>
      </c>
    </row>
    <row r="23" spans="2:25" ht="15.75" customHeight="1" x14ac:dyDescent="0.25">
      <c r="B23" s="278"/>
      <c r="C23" s="278"/>
      <c r="D23" s="5" t="s">
        <v>140</v>
      </c>
      <c r="E23" s="5"/>
      <c r="F23" s="5"/>
      <c r="G23" s="5" t="s">
        <v>268</v>
      </c>
      <c r="H23" s="5" t="s">
        <v>290</v>
      </c>
      <c r="I23" s="7" t="s">
        <v>269</v>
      </c>
      <c r="J23" s="8">
        <v>16</v>
      </c>
      <c r="K23" s="8">
        <v>5</v>
      </c>
      <c r="L23" s="102">
        <f t="shared" ref="L23:L24" si="13">9.06*1160000*55.97%/15*12+2</f>
        <v>4705780.4959999993</v>
      </c>
      <c r="M23" s="102">
        <f t="shared" ref="M23:M24" si="14">+V$9*55.97%/15*12</f>
        <v>145.51752240000002</v>
      </c>
      <c r="N23" s="102">
        <f>+(L23+M23)*8%</f>
        <v>376474.08108179196</v>
      </c>
      <c r="O23" s="102">
        <f t="shared" si="0"/>
        <v>13553066.666666666</v>
      </c>
      <c r="P23" s="118">
        <v>0</v>
      </c>
      <c r="Q23" s="119">
        <v>0</v>
      </c>
      <c r="R23" s="102">
        <f t="shared" si="3"/>
        <v>13553067</v>
      </c>
      <c r="S23" s="105"/>
      <c r="T23" s="33"/>
      <c r="U23" s="33"/>
      <c r="V23" s="35"/>
      <c r="W23" s="35"/>
      <c r="X23" s="108">
        <v>29483347.424130812</v>
      </c>
      <c r="Y23" s="109">
        <f t="shared" si="4"/>
        <v>15930280.424130812</v>
      </c>
    </row>
    <row r="24" spans="2:25" ht="15.75" hidden="1" customHeight="1" x14ac:dyDescent="0.25">
      <c r="B24" s="278"/>
      <c r="C24" s="278"/>
      <c r="D24" s="5" t="s">
        <v>140</v>
      </c>
      <c r="E24" s="5"/>
      <c r="F24" s="5"/>
      <c r="G24" s="5" t="s">
        <v>268</v>
      </c>
      <c r="H24" s="5" t="s">
        <v>291</v>
      </c>
      <c r="I24" s="7" t="s">
        <v>277</v>
      </c>
      <c r="J24" s="8">
        <v>16</v>
      </c>
      <c r="K24" s="8">
        <v>1</v>
      </c>
      <c r="L24" s="102">
        <f t="shared" si="13"/>
        <v>4705780.4959999993</v>
      </c>
      <c r="M24" s="102">
        <f t="shared" si="14"/>
        <v>145.51752240000002</v>
      </c>
      <c r="N24" s="102">
        <f>+(L24+M24)*11%</f>
        <v>517651.86148746393</v>
      </c>
      <c r="O24" s="102">
        <f t="shared" si="0"/>
        <v>2785908.2666666666</v>
      </c>
      <c r="P24" s="118">
        <v>0</v>
      </c>
      <c r="Q24" s="119">
        <v>0</v>
      </c>
      <c r="R24" s="102">
        <f t="shared" si="3"/>
        <v>2785908</v>
      </c>
      <c r="S24" s="105"/>
      <c r="T24" s="33"/>
      <c r="U24" s="33"/>
      <c r="V24" s="35"/>
      <c r="W24" s="35"/>
      <c r="X24" s="108">
        <v>144603946.95463517</v>
      </c>
      <c r="Y24" s="109">
        <f t="shared" si="4"/>
        <v>141818038.95463517</v>
      </c>
    </row>
    <row r="25" spans="2:25" ht="15.75" customHeight="1" x14ac:dyDescent="0.25">
      <c r="B25" s="278"/>
      <c r="C25" s="278"/>
      <c r="D25" s="5" t="s">
        <v>140</v>
      </c>
      <c r="E25" s="5"/>
      <c r="F25" s="5"/>
      <c r="G25" s="5" t="s">
        <v>272</v>
      </c>
      <c r="H25" s="5" t="s">
        <v>101</v>
      </c>
      <c r="I25" s="7" t="s">
        <v>269</v>
      </c>
      <c r="J25" s="8">
        <v>16</v>
      </c>
      <c r="K25" s="8">
        <v>2</v>
      </c>
      <c r="L25" s="102">
        <f t="shared" ref="L25:L26" si="15">9.06*1160000+2</f>
        <v>10509602</v>
      </c>
      <c r="M25" s="102">
        <f t="shared" ref="M25:M26" si="16">+V$9</f>
        <v>324.99</v>
      </c>
      <c r="N25" s="102">
        <f>+(L25+M25)*8%</f>
        <v>840794.15919999999</v>
      </c>
      <c r="O25" s="102">
        <f t="shared" si="0"/>
        <v>12107435.733333332</v>
      </c>
      <c r="P25" s="118">
        <v>0</v>
      </c>
      <c r="Q25" s="119">
        <v>0</v>
      </c>
      <c r="R25" s="102">
        <f t="shared" si="3"/>
        <v>12107436</v>
      </c>
      <c r="S25" s="105"/>
      <c r="T25" s="33"/>
      <c r="U25" s="33"/>
      <c r="V25" s="35"/>
      <c r="W25" s="35"/>
      <c r="X25" s="108">
        <v>21284305.241102733</v>
      </c>
      <c r="Y25" s="109">
        <f t="shared" si="4"/>
        <v>9176869.2411027327</v>
      </c>
    </row>
    <row r="26" spans="2:25" ht="15.75" hidden="1" customHeight="1" x14ac:dyDescent="0.25">
      <c r="B26" s="278"/>
      <c r="C26" s="278"/>
      <c r="D26" s="5" t="s">
        <v>292</v>
      </c>
      <c r="E26" s="5" t="s">
        <v>293</v>
      </c>
      <c r="F26" s="5" t="s">
        <v>294</v>
      </c>
      <c r="G26" s="5" t="s">
        <v>272</v>
      </c>
      <c r="H26" s="5" t="s">
        <v>104</v>
      </c>
      <c r="I26" s="7" t="s">
        <v>271</v>
      </c>
      <c r="J26" s="8">
        <v>16</v>
      </c>
      <c r="K26" s="8">
        <v>13</v>
      </c>
      <c r="L26" s="102">
        <f t="shared" si="15"/>
        <v>10509602</v>
      </c>
      <c r="M26" s="102">
        <f t="shared" si="16"/>
        <v>324.99</v>
      </c>
      <c r="N26" s="102">
        <f>+(L26+M26)*10%</f>
        <v>1050992.699</v>
      </c>
      <c r="O26" s="102">
        <f t="shared" si="0"/>
        <v>80155712</v>
      </c>
      <c r="P26" s="116">
        <f t="shared" ref="P26:P61" si="17">+O26*10%</f>
        <v>8015571.2000000002</v>
      </c>
      <c r="Q26" s="102">
        <f t="shared" ref="Q26:Q61" si="18">+P26*19%</f>
        <v>1522958.5280000002</v>
      </c>
      <c r="R26" s="102">
        <f t="shared" si="3"/>
        <v>81678671</v>
      </c>
      <c r="S26" s="105"/>
      <c r="T26" s="33"/>
      <c r="U26" s="33"/>
      <c r="V26" s="35"/>
      <c r="W26" s="35"/>
      <c r="X26" s="108">
        <v>4375107.1884488938</v>
      </c>
      <c r="Y26" s="109">
        <f t="shared" si="4"/>
        <v>-77303563.811551109</v>
      </c>
    </row>
    <row r="27" spans="2:25" ht="15.75" customHeight="1" x14ac:dyDescent="0.25">
      <c r="B27" s="278"/>
      <c r="C27" s="278"/>
      <c r="D27" s="5" t="s">
        <v>292</v>
      </c>
      <c r="E27" s="5"/>
      <c r="F27" s="5"/>
      <c r="G27" s="5" t="s">
        <v>283</v>
      </c>
      <c r="H27" s="5" t="s">
        <v>295</v>
      </c>
      <c r="I27" s="7" t="s">
        <v>269</v>
      </c>
      <c r="J27" s="8">
        <v>16</v>
      </c>
      <c r="K27" s="8">
        <v>7</v>
      </c>
      <c r="L27" s="102">
        <f>(9.06*1160000*55.97%)+(9.06*1160000*44.03%/9*1)+2</f>
        <v>6396378.1066666665</v>
      </c>
      <c r="M27" s="102">
        <f>+(V$9*55.97%)+(V9*44.03%/9)</f>
        <v>197.79613600000002</v>
      </c>
      <c r="N27" s="102">
        <f>+(L27+M27)*8%</f>
        <v>511726.07222421333</v>
      </c>
      <c r="O27" s="102">
        <f t="shared" si="0"/>
        <v>25790994.133333333</v>
      </c>
      <c r="P27" s="116">
        <f t="shared" si="17"/>
        <v>2579099.4133333336</v>
      </c>
      <c r="Q27" s="102">
        <f t="shared" si="18"/>
        <v>490028.88853333337</v>
      </c>
      <c r="R27" s="102">
        <f t="shared" si="3"/>
        <v>26281023</v>
      </c>
      <c r="S27" s="105"/>
      <c r="T27" s="33"/>
      <c r="U27" s="33"/>
      <c r="V27" s="35"/>
      <c r="W27" s="35"/>
      <c r="X27" s="108">
        <v>19367040.037398506</v>
      </c>
      <c r="Y27" s="109">
        <f t="shared" si="4"/>
        <v>-6913982.962601494</v>
      </c>
    </row>
    <row r="28" spans="2:25" ht="15.75" hidden="1" customHeight="1" x14ac:dyDescent="0.25">
      <c r="B28" s="278"/>
      <c r="C28" s="278"/>
      <c r="D28" s="5" t="s">
        <v>292</v>
      </c>
      <c r="E28" s="5"/>
      <c r="F28" s="5"/>
      <c r="G28" s="5" t="s">
        <v>268</v>
      </c>
      <c r="H28" s="5" t="s">
        <v>25</v>
      </c>
      <c r="I28" s="7" t="s">
        <v>277</v>
      </c>
      <c r="J28" s="8">
        <v>16</v>
      </c>
      <c r="K28" s="8">
        <v>1</v>
      </c>
      <c r="L28" s="102">
        <f>9.06*1160000*55.97%/15*12+2</f>
        <v>4705780.4959999993</v>
      </c>
      <c r="M28" s="102">
        <f>+V$9*55.97%/15*12</f>
        <v>145.51752240000002</v>
      </c>
      <c r="N28" s="102">
        <f>+(L28+M28)*11%</f>
        <v>517651.86148746393</v>
      </c>
      <c r="O28" s="102">
        <f t="shared" si="0"/>
        <v>2785908.2666666666</v>
      </c>
      <c r="P28" s="116">
        <f t="shared" si="17"/>
        <v>278590.82666666666</v>
      </c>
      <c r="Q28" s="102">
        <f t="shared" si="18"/>
        <v>52932.257066666665</v>
      </c>
      <c r="R28" s="102">
        <f t="shared" si="3"/>
        <v>2838841</v>
      </c>
      <c r="S28" s="105"/>
      <c r="T28" s="33"/>
      <c r="U28" s="33"/>
      <c r="V28" s="35"/>
      <c r="W28" s="35"/>
      <c r="X28" s="108">
        <v>128277589.68770899</v>
      </c>
      <c r="Y28" s="109">
        <f t="shared" si="4"/>
        <v>125438748.68770899</v>
      </c>
    </row>
    <row r="29" spans="2:25" ht="15.75" hidden="1" customHeight="1" x14ac:dyDescent="0.25">
      <c r="B29" s="278"/>
      <c r="C29" s="278"/>
      <c r="D29" s="5" t="s">
        <v>292</v>
      </c>
      <c r="E29" s="5" t="s">
        <v>296</v>
      </c>
      <c r="F29" s="5" t="s">
        <v>297</v>
      </c>
      <c r="G29" s="5" t="s">
        <v>272</v>
      </c>
      <c r="H29" s="5" t="s">
        <v>111</v>
      </c>
      <c r="I29" s="7" t="s">
        <v>271</v>
      </c>
      <c r="J29" s="8">
        <v>16</v>
      </c>
      <c r="K29" s="8">
        <v>3</v>
      </c>
      <c r="L29" s="102">
        <f>9.06*1160000+2</f>
        <v>10509602</v>
      </c>
      <c r="M29" s="102">
        <f>+V$9</f>
        <v>324.99</v>
      </c>
      <c r="N29" s="102">
        <f>+(L29+M29)*10%</f>
        <v>1050992.699</v>
      </c>
      <c r="O29" s="102">
        <f t="shared" si="0"/>
        <v>18497472</v>
      </c>
      <c r="P29" s="116">
        <f t="shared" si="17"/>
        <v>1849747.2000000002</v>
      </c>
      <c r="Q29" s="102">
        <f t="shared" si="18"/>
        <v>351451.96800000005</v>
      </c>
      <c r="R29" s="102">
        <f t="shared" si="3"/>
        <v>18848924</v>
      </c>
      <c r="S29" s="105"/>
      <c r="T29" s="33"/>
      <c r="U29" s="33"/>
      <c r="V29" s="35"/>
      <c r="W29" s="35"/>
      <c r="X29" s="108">
        <v>41276686.393783145</v>
      </c>
      <c r="Y29" s="109">
        <f t="shared" si="4"/>
        <v>22427762.393783145</v>
      </c>
    </row>
    <row r="30" spans="2:25" ht="15.75" customHeight="1" x14ac:dyDescent="0.25">
      <c r="B30" s="278"/>
      <c r="C30" s="278"/>
      <c r="D30" s="5" t="s">
        <v>292</v>
      </c>
      <c r="E30" s="5"/>
      <c r="F30" s="5"/>
      <c r="G30" s="5" t="s">
        <v>268</v>
      </c>
      <c r="H30" s="5" t="s">
        <v>112</v>
      </c>
      <c r="I30" s="7" t="s">
        <v>269</v>
      </c>
      <c r="J30" s="8">
        <v>16</v>
      </c>
      <c r="K30" s="8">
        <v>5</v>
      </c>
      <c r="L30" s="102">
        <f>9.06*1160000*55.97%/15*12+2</f>
        <v>4705780.4959999993</v>
      </c>
      <c r="M30" s="102">
        <f>+(V$9*55.97%/15*12)</f>
        <v>145.51752240000002</v>
      </c>
      <c r="N30" s="102">
        <f t="shared" ref="N30:N37" si="19">+(L30+M30)*8%</f>
        <v>376474.08108179196</v>
      </c>
      <c r="O30" s="102">
        <f t="shared" si="0"/>
        <v>13553066.666666666</v>
      </c>
      <c r="P30" s="116">
        <f t="shared" si="17"/>
        <v>1355306.6666666667</v>
      </c>
      <c r="Q30" s="102">
        <f t="shared" si="18"/>
        <v>257508.26666666669</v>
      </c>
      <c r="R30" s="102">
        <f t="shared" si="3"/>
        <v>13810575</v>
      </c>
      <c r="S30" s="105"/>
      <c r="T30" s="33"/>
      <c r="U30" s="33"/>
      <c r="V30" s="35"/>
      <c r="W30" s="35"/>
      <c r="X30" s="108">
        <v>4458234.2250294229</v>
      </c>
      <c r="Y30" s="109">
        <f t="shared" si="4"/>
        <v>-9352340.7749705762</v>
      </c>
    </row>
    <row r="31" spans="2:25" ht="15.75" customHeight="1" x14ac:dyDescent="0.25">
      <c r="B31" s="278"/>
      <c r="C31" s="278"/>
      <c r="D31" s="5" t="s">
        <v>278</v>
      </c>
      <c r="E31" s="5" t="s">
        <v>298</v>
      </c>
      <c r="F31" s="5" t="s">
        <v>299</v>
      </c>
      <c r="G31" s="5" t="s">
        <v>272</v>
      </c>
      <c r="H31" s="5" t="s">
        <v>115</v>
      </c>
      <c r="I31" s="7" t="s">
        <v>269</v>
      </c>
      <c r="J31" s="8">
        <v>16</v>
      </c>
      <c r="K31" s="8">
        <v>3</v>
      </c>
      <c r="L31" s="102">
        <f>9.06*1160000+2</f>
        <v>10509602</v>
      </c>
      <c r="M31" s="102">
        <f>+V$9</f>
        <v>324.99</v>
      </c>
      <c r="N31" s="102">
        <f t="shared" si="19"/>
        <v>840794.15919999999</v>
      </c>
      <c r="O31" s="102">
        <f t="shared" si="0"/>
        <v>18161153.600000001</v>
      </c>
      <c r="P31" s="116">
        <f t="shared" si="17"/>
        <v>1816115.3600000003</v>
      </c>
      <c r="Q31" s="102">
        <f t="shared" si="18"/>
        <v>345061.91840000008</v>
      </c>
      <c r="R31" s="102">
        <f t="shared" si="3"/>
        <v>18506216</v>
      </c>
      <c r="S31" s="105"/>
      <c r="T31" s="33"/>
      <c r="U31" s="33"/>
      <c r="V31" s="35"/>
      <c r="W31" s="35"/>
      <c r="X31" s="108">
        <v>29602520.697163612</v>
      </c>
      <c r="Y31" s="109">
        <f t="shared" si="4"/>
        <v>11096304.697163612</v>
      </c>
    </row>
    <row r="32" spans="2:25" ht="15.75" customHeight="1" x14ac:dyDescent="0.25">
      <c r="B32" s="278"/>
      <c r="C32" s="278"/>
      <c r="D32" s="5" t="s">
        <v>300</v>
      </c>
      <c r="E32" s="5" t="s">
        <v>301</v>
      </c>
      <c r="F32" s="5" t="s">
        <v>302</v>
      </c>
      <c r="G32" s="5" t="s">
        <v>268</v>
      </c>
      <c r="H32" s="5" t="s">
        <v>118</v>
      </c>
      <c r="I32" s="7" t="s">
        <v>269</v>
      </c>
      <c r="J32" s="8">
        <v>16</v>
      </c>
      <c r="K32" s="8">
        <v>6</v>
      </c>
      <c r="L32" s="102">
        <f>9.06*1160000*55.97%/15*12+2</f>
        <v>4705780.4959999993</v>
      </c>
      <c r="M32" s="102">
        <f>+V$9*55.97%/15*12</f>
        <v>145.51752240000002</v>
      </c>
      <c r="N32" s="102">
        <f t="shared" si="19"/>
        <v>376474.08108179196</v>
      </c>
      <c r="O32" s="102">
        <f t="shared" si="0"/>
        <v>16263680</v>
      </c>
      <c r="P32" s="116">
        <f t="shared" si="17"/>
        <v>1626368</v>
      </c>
      <c r="Q32" s="102">
        <f t="shared" si="18"/>
        <v>309009.91999999998</v>
      </c>
      <c r="R32" s="102">
        <f t="shared" si="3"/>
        <v>16572690</v>
      </c>
      <c r="S32" s="105"/>
      <c r="T32" s="33"/>
      <c r="U32" s="33"/>
      <c r="V32" s="35"/>
      <c r="W32" s="35"/>
      <c r="X32" s="108">
        <v>17350965.63254695</v>
      </c>
      <c r="Y32" s="109">
        <f t="shared" si="4"/>
        <v>778275.63254695013</v>
      </c>
    </row>
    <row r="33" spans="2:25" ht="15.75" customHeight="1" x14ac:dyDescent="0.25">
      <c r="B33" s="278"/>
      <c r="C33" s="278"/>
      <c r="D33" s="5" t="s">
        <v>300</v>
      </c>
      <c r="E33" s="5"/>
      <c r="F33" s="5"/>
      <c r="G33" s="5" t="s">
        <v>272</v>
      </c>
      <c r="H33" s="5" t="s">
        <v>121</v>
      </c>
      <c r="I33" s="7" t="s">
        <v>269</v>
      </c>
      <c r="J33" s="8">
        <v>16</v>
      </c>
      <c r="K33" s="8">
        <f>8-1-1</f>
        <v>6</v>
      </c>
      <c r="L33" s="102">
        <f t="shared" ref="L33:L35" si="20">9.06*1160000+2</f>
        <v>10509602</v>
      </c>
      <c r="M33" s="102">
        <f t="shared" ref="M33:M35" si="21">+V$9</f>
        <v>324.99</v>
      </c>
      <c r="N33" s="102">
        <f t="shared" si="19"/>
        <v>840794.15919999999</v>
      </c>
      <c r="O33" s="102">
        <f t="shared" si="0"/>
        <v>36322307.200000003</v>
      </c>
      <c r="P33" s="116">
        <f t="shared" si="17"/>
        <v>3632230.7200000007</v>
      </c>
      <c r="Q33" s="102">
        <f t="shared" si="18"/>
        <v>690123.83680000016</v>
      </c>
      <c r="R33" s="102">
        <f t="shared" si="3"/>
        <v>37012431</v>
      </c>
      <c r="S33" s="105"/>
      <c r="T33" s="33"/>
      <c r="U33" s="33"/>
      <c r="V33" s="35"/>
      <c r="W33" s="35"/>
      <c r="X33" s="108">
        <v>4337741.4081367375</v>
      </c>
      <c r="Y33" s="109">
        <f t="shared" si="4"/>
        <v>-32674689.591863263</v>
      </c>
    </row>
    <row r="34" spans="2:25" ht="15.75" customHeight="1" x14ac:dyDescent="0.25">
      <c r="B34" s="278"/>
      <c r="C34" s="278"/>
      <c r="D34" s="5" t="s">
        <v>300</v>
      </c>
      <c r="E34" s="5"/>
      <c r="F34" s="5"/>
      <c r="G34" s="5" t="s">
        <v>272</v>
      </c>
      <c r="H34" s="5" t="s">
        <v>121</v>
      </c>
      <c r="I34" s="7" t="s">
        <v>269</v>
      </c>
      <c r="J34" s="8">
        <v>16</v>
      </c>
      <c r="K34" s="8">
        <v>1</v>
      </c>
      <c r="L34" s="102">
        <f t="shared" si="20"/>
        <v>10509602</v>
      </c>
      <c r="M34" s="102">
        <f t="shared" si="21"/>
        <v>324.99</v>
      </c>
      <c r="N34" s="102">
        <f t="shared" si="19"/>
        <v>840794.15919999999</v>
      </c>
      <c r="O34" s="102">
        <f t="shared" si="0"/>
        <v>6053717.8666666662</v>
      </c>
      <c r="P34" s="116">
        <f t="shared" si="17"/>
        <v>605371.78666666662</v>
      </c>
      <c r="Q34" s="102">
        <f t="shared" si="18"/>
        <v>115020.63946666666</v>
      </c>
      <c r="R34" s="102">
        <f t="shared" si="3"/>
        <v>6168739</v>
      </c>
      <c r="S34" s="105"/>
      <c r="T34" s="33"/>
      <c r="U34" s="33"/>
      <c r="V34" s="35"/>
      <c r="W34" s="35"/>
      <c r="X34" s="108">
        <v>29064293.048124272</v>
      </c>
      <c r="Y34" s="109">
        <f t="shared" si="4"/>
        <v>22895554.048124272</v>
      </c>
    </row>
    <row r="35" spans="2:25" ht="24" customHeight="1" x14ac:dyDescent="0.25">
      <c r="B35" s="278"/>
      <c r="C35" s="278"/>
      <c r="D35" s="5" t="s">
        <v>279</v>
      </c>
      <c r="E35" s="5" t="s">
        <v>303</v>
      </c>
      <c r="F35" s="5" t="s">
        <v>304</v>
      </c>
      <c r="G35" s="5" t="s">
        <v>272</v>
      </c>
      <c r="H35" s="5" t="s">
        <v>47</v>
      </c>
      <c r="I35" s="7" t="s">
        <v>269</v>
      </c>
      <c r="J35" s="8">
        <v>16</v>
      </c>
      <c r="K35" s="8">
        <f>5-2</f>
        <v>3</v>
      </c>
      <c r="L35" s="102">
        <f t="shared" si="20"/>
        <v>10509602</v>
      </c>
      <c r="M35" s="102">
        <f t="shared" si="21"/>
        <v>324.99</v>
      </c>
      <c r="N35" s="102">
        <f t="shared" si="19"/>
        <v>840794.15919999999</v>
      </c>
      <c r="O35" s="102">
        <f t="shared" si="0"/>
        <v>18161153.600000001</v>
      </c>
      <c r="P35" s="116">
        <f t="shared" si="17"/>
        <v>1816115.3600000003</v>
      </c>
      <c r="Q35" s="102">
        <f t="shared" si="18"/>
        <v>345061.91840000008</v>
      </c>
      <c r="R35" s="102">
        <f t="shared" si="3"/>
        <v>18506216</v>
      </c>
      <c r="S35" s="105"/>
      <c r="T35" s="33"/>
      <c r="U35" s="33"/>
      <c r="V35" s="35"/>
      <c r="W35" s="35"/>
      <c r="X35" s="108">
        <v>26026448.448820423</v>
      </c>
      <c r="Y35" s="109">
        <f t="shared" si="4"/>
        <v>7520232.4488204233</v>
      </c>
    </row>
    <row r="36" spans="2:25" ht="15.75" customHeight="1" x14ac:dyDescent="0.25">
      <c r="B36" s="278"/>
      <c r="C36" s="278"/>
      <c r="D36" s="5" t="s">
        <v>279</v>
      </c>
      <c r="E36" s="5"/>
      <c r="F36" s="5"/>
      <c r="G36" s="5" t="s">
        <v>268</v>
      </c>
      <c r="H36" s="5" t="s">
        <v>127</v>
      </c>
      <c r="I36" s="7" t="s">
        <v>269</v>
      </c>
      <c r="J36" s="8">
        <v>16</v>
      </c>
      <c r="K36" s="8">
        <v>1</v>
      </c>
      <c r="L36" s="102">
        <f t="shared" ref="L36:L37" si="22">9.06*1160000*55.97%/15*12+2</f>
        <v>4705780.4959999993</v>
      </c>
      <c r="M36" s="102">
        <f t="shared" ref="M36:M37" si="23">+V$9*55.97%/15*12</f>
        <v>145.51752240000002</v>
      </c>
      <c r="N36" s="102">
        <f t="shared" si="19"/>
        <v>376474.08108179196</v>
      </c>
      <c r="O36" s="102">
        <f t="shared" si="0"/>
        <v>2710613.3333333335</v>
      </c>
      <c r="P36" s="116">
        <f t="shared" si="17"/>
        <v>271061.33333333337</v>
      </c>
      <c r="Q36" s="102">
        <f t="shared" si="18"/>
        <v>51501.653333333343</v>
      </c>
      <c r="R36" s="102">
        <f t="shared" si="3"/>
        <v>2762115</v>
      </c>
      <c r="S36" s="105"/>
      <c r="T36" s="33"/>
      <c r="U36" s="33"/>
      <c r="V36" s="35"/>
      <c r="W36" s="35"/>
      <c r="X36" s="108">
        <v>58128586.096248545</v>
      </c>
      <c r="Y36" s="109">
        <f t="shared" si="4"/>
        <v>55366471.096248545</v>
      </c>
    </row>
    <row r="37" spans="2:25" ht="15.75" customHeight="1" x14ac:dyDescent="0.25">
      <c r="B37" s="278"/>
      <c r="C37" s="278"/>
      <c r="D37" s="5" t="s">
        <v>279</v>
      </c>
      <c r="E37" s="5"/>
      <c r="F37" s="5"/>
      <c r="G37" s="5" t="s">
        <v>268</v>
      </c>
      <c r="H37" s="5" t="s">
        <v>127</v>
      </c>
      <c r="I37" s="7" t="s">
        <v>269</v>
      </c>
      <c r="J37" s="8">
        <v>16</v>
      </c>
      <c r="K37" s="8">
        <v>1</v>
      </c>
      <c r="L37" s="102">
        <f t="shared" si="22"/>
        <v>4705780.4959999993</v>
      </c>
      <c r="M37" s="102">
        <f t="shared" si="23"/>
        <v>145.51752240000002</v>
      </c>
      <c r="N37" s="102">
        <f t="shared" si="19"/>
        <v>376474.08108179196</v>
      </c>
      <c r="O37" s="102">
        <f t="shared" si="0"/>
        <v>2710613.3333333335</v>
      </c>
      <c r="P37" s="116">
        <f t="shared" si="17"/>
        <v>271061.33333333337</v>
      </c>
      <c r="Q37" s="102">
        <f t="shared" si="18"/>
        <v>51501.653333333343</v>
      </c>
      <c r="R37" s="102">
        <f t="shared" si="3"/>
        <v>2762115</v>
      </c>
      <c r="S37" s="105"/>
      <c r="T37" s="33"/>
      <c r="U37" s="33"/>
      <c r="V37" s="35"/>
      <c r="W37" s="35"/>
      <c r="X37" s="108">
        <v>9688097.682708092</v>
      </c>
      <c r="Y37" s="109">
        <f t="shared" si="4"/>
        <v>6925982.682708092</v>
      </c>
    </row>
    <row r="38" spans="2:25" ht="15.75" hidden="1" customHeight="1" x14ac:dyDescent="0.25">
      <c r="B38" s="278"/>
      <c r="C38" s="278"/>
      <c r="D38" s="304" t="s">
        <v>146</v>
      </c>
      <c r="E38" s="5" t="s">
        <v>170</v>
      </c>
      <c r="F38" s="5" t="s">
        <v>305</v>
      </c>
      <c r="G38" s="5" t="s">
        <v>272</v>
      </c>
      <c r="H38" s="5" t="s">
        <v>306</v>
      </c>
      <c r="I38" s="7" t="s">
        <v>271</v>
      </c>
      <c r="J38" s="8">
        <v>16</v>
      </c>
      <c r="K38" s="8">
        <v>3</v>
      </c>
      <c r="L38" s="102">
        <f>9.06*1160000+2</f>
        <v>10509602</v>
      </c>
      <c r="M38" s="102">
        <f>+V$9</f>
        <v>324.99</v>
      </c>
      <c r="N38" s="102">
        <f>+(L38+M38)*10%</f>
        <v>1050992.699</v>
      </c>
      <c r="O38" s="102">
        <f t="shared" si="0"/>
        <v>18497472</v>
      </c>
      <c r="P38" s="116">
        <f t="shared" si="17"/>
        <v>1849747.2000000002</v>
      </c>
      <c r="Q38" s="102">
        <f t="shared" si="18"/>
        <v>351451.96800000005</v>
      </c>
      <c r="R38" s="102">
        <f t="shared" si="3"/>
        <v>18848924</v>
      </c>
      <c r="S38" s="105"/>
      <c r="T38" s="33"/>
      <c r="U38" s="33"/>
      <c r="V38" s="35"/>
      <c r="W38" s="35"/>
      <c r="X38" s="108">
        <v>29064293.048124272</v>
      </c>
      <c r="Y38" s="109">
        <f t="shared" si="4"/>
        <v>10215369.048124272</v>
      </c>
    </row>
    <row r="39" spans="2:25" ht="15.75" customHeight="1" x14ac:dyDescent="0.25">
      <c r="B39" s="278"/>
      <c r="C39" s="278"/>
      <c r="D39" s="276"/>
      <c r="E39" s="5"/>
      <c r="F39" s="5"/>
      <c r="G39" s="5" t="s">
        <v>268</v>
      </c>
      <c r="H39" s="5" t="s">
        <v>307</v>
      </c>
      <c r="I39" s="7" t="s">
        <v>269</v>
      </c>
      <c r="J39" s="8">
        <v>16</v>
      </c>
      <c r="K39" s="8">
        <v>4</v>
      </c>
      <c r="L39" s="102">
        <f>9.06*1160000*55.97%/15*12/30*26+2</f>
        <v>4078343.3631999996</v>
      </c>
      <c r="M39" s="102">
        <f>+V$9*55.97%/15*12/30*26</f>
        <v>126.11518608000003</v>
      </c>
      <c r="N39" s="102">
        <f>+(L39+M39)*8%</f>
        <v>326277.55827088637</v>
      </c>
      <c r="O39" s="102">
        <f t="shared" si="0"/>
        <v>9396793.5999999996</v>
      </c>
      <c r="P39" s="116">
        <f t="shared" si="17"/>
        <v>939679.36</v>
      </c>
      <c r="Q39" s="102">
        <f t="shared" si="18"/>
        <v>178539.0784</v>
      </c>
      <c r="R39" s="102">
        <f t="shared" si="3"/>
        <v>9575333</v>
      </c>
      <c r="S39" s="105"/>
      <c r="T39" s="33"/>
      <c r="U39" s="33"/>
      <c r="V39" s="35"/>
      <c r="W39" s="35"/>
      <c r="X39" s="108">
        <v>4337741.4081367375</v>
      </c>
      <c r="Y39" s="109">
        <f t="shared" si="4"/>
        <v>-5237591.5918632625</v>
      </c>
    </row>
    <row r="40" spans="2:25" ht="15.75" hidden="1" customHeight="1" x14ac:dyDescent="0.25">
      <c r="B40" s="278"/>
      <c r="C40" s="278"/>
      <c r="D40" s="5" t="s">
        <v>300</v>
      </c>
      <c r="E40" s="5" t="s">
        <v>308</v>
      </c>
      <c r="F40" s="8" t="s">
        <v>308</v>
      </c>
      <c r="G40" s="5" t="s">
        <v>272</v>
      </c>
      <c r="H40" s="5" t="s">
        <v>134</v>
      </c>
      <c r="I40" s="7" t="s">
        <v>271</v>
      </c>
      <c r="J40" s="8">
        <v>16</v>
      </c>
      <c r="K40" s="8">
        <v>2</v>
      </c>
      <c r="L40" s="102">
        <f>9.06*1160000+2</f>
        <v>10509602</v>
      </c>
      <c r="M40" s="102">
        <f>+V$9</f>
        <v>324.99</v>
      </c>
      <c r="N40" s="102">
        <f>+(L40+M40)*10%</f>
        <v>1050992.699</v>
      </c>
      <c r="O40" s="102">
        <f t="shared" si="0"/>
        <v>12331648</v>
      </c>
      <c r="P40" s="116">
        <f t="shared" si="17"/>
        <v>1233164.8</v>
      </c>
      <c r="Q40" s="102">
        <f t="shared" si="18"/>
        <v>234301.31200000001</v>
      </c>
      <c r="R40" s="102">
        <f t="shared" si="3"/>
        <v>12565949</v>
      </c>
      <c r="S40" s="105"/>
      <c r="T40" s="33"/>
      <c r="U40" s="33"/>
      <c r="V40" s="35"/>
      <c r="W40" s="35"/>
      <c r="X40" s="108">
        <v>4337741.4081367375</v>
      </c>
      <c r="Y40" s="109">
        <f t="shared" si="4"/>
        <v>-8228207.5918632625</v>
      </c>
    </row>
    <row r="41" spans="2:25" ht="15.75" customHeight="1" x14ac:dyDescent="0.25">
      <c r="B41" s="278"/>
      <c r="C41" s="278"/>
      <c r="D41" s="5" t="s">
        <v>300</v>
      </c>
      <c r="E41" s="5"/>
      <c r="F41" s="8"/>
      <c r="G41" s="5" t="s">
        <v>268</v>
      </c>
      <c r="H41" s="5" t="s">
        <v>309</v>
      </c>
      <c r="I41" s="7" t="s">
        <v>269</v>
      </c>
      <c r="J41" s="8">
        <v>16</v>
      </c>
      <c r="K41" s="8">
        <v>3</v>
      </c>
      <c r="L41" s="102">
        <f>9.06*1160000*55.97%/15*12+2</f>
        <v>4705780.4959999993</v>
      </c>
      <c r="M41" s="102">
        <f>+V$9*55.97%/15*12</f>
        <v>145.51752240000002</v>
      </c>
      <c r="N41" s="102">
        <f>+(L41+M41)*8%</f>
        <v>376474.08108179196</v>
      </c>
      <c r="O41" s="102">
        <f t="shared" si="0"/>
        <v>8131840</v>
      </c>
      <c r="P41" s="116">
        <f t="shared" si="17"/>
        <v>813184</v>
      </c>
      <c r="Q41" s="102">
        <f t="shared" si="18"/>
        <v>154504.95999999999</v>
      </c>
      <c r="R41" s="102">
        <f t="shared" si="3"/>
        <v>8286345</v>
      </c>
      <c r="S41" s="105"/>
      <c r="T41" s="33"/>
      <c r="U41" s="33"/>
      <c r="V41" s="35"/>
      <c r="W41" s="35"/>
      <c r="X41" s="108">
        <v>29602520.697163612</v>
      </c>
      <c r="Y41" s="109">
        <f t="shared" si="4"/>
        <v>21316175.697163612</v>
      </c>
    </row>
    <row r="42" spans="2:25" ht="15.75" hidden="1" customHeight="1" x14ac:dyDescent="0.25">
      <c r="B42" s="278"/>
      <c r="C42" s="276"/>
      <c r="D42" s="5" t="s">
        <v>146</v>
      </c>
      <c r="E42" s="5" t="s">
        <v>152</v>
      </c>
      <c r="F42" s="5" t="s">
        <v>310</v>
      </c>
      <c r="G42" s="5" t="s">
        <v>272</v>
      </c>
      <c r="H42" s="5" t="s">
        <v>311</v>
      </c>
      <c r="I42" s="7" t="s">
        <v>271</v>
      </c>
      <c r="J42" s="8">
        <v>16</v>
      </c>
      <c r="K42" s="8">
        <v>2</v>
      </c>
      <c r="L42" s="102">
        <f t="shared" ref="L42:L49" si="24">9.06*1160000+2</f>
        <v>10509602</v>
      </c>
      <c r="M42" s="102">
        <f t="shared" ref="M42:M49" si="25">+V$9</f>
        <v>324.99</v>
      </c>
      <c r="N42" s="102">
        <f t="shared" ref="N42:N47" si="26">+(L42+M42)*10%</f>
        <v>1050992.699</v>
      </c>
      <c r="O42" s="102">
        <f t="shared" si="0"/>
        <v>12331648</v>
      </c>
      <c r="P42" s="116">
        <f t="shared" si="17"/>
        <v>1233164.8</v>
      </c>
      <c r="Q42" s="102">
        <f t="shared" si="18"/>
        <v>234301.31200000001</v>
      </c>
      <c r="R42" s="102">
        <f t="shared" si="3"/>
        <v>12565949</v>
      </c>
      <c r="S42" s="105"/>
      <c r="T42" s="33"/>
      <c r="U42" s="33"/>
      <c r="V42" s="35"/>
      <c r="W42" s="35"/>
      <c r="X42" s="108">
        <v>17350965.63254695</v>
      </c>
      <c r="Y42" s="109">
        <f t="shared" si="4"/>
        <v>4785016.6325469501</v>
      </c>
    </row>
    <row r="43" spans="2:25" ht="27.75" hidden="1" customHeight="1" x14ac:dyDescent="0.25">
      <c r="B43" s="278"/>
      <c r="C43" s="307" t="s">
        <v>312</v>
      </c>
      <c r="D43" s="8" t="s">
        <v>278</v>
      </c>
      <c r="E43" s="5" t="s">
        <v>88</v>
      </c>
      <c r="F43" s="5" t="s">
        <v>313</v>
      </c>
      <c r="G43" s="5" t="s">
        <v>270</v>
      </c>
      <c r="H43" s="5" t="s">
        <v>143</v>
      </c>
      <c r="I43" s="7" t="s">
        <v>271</v>
      </c>
      <c r="J43" s="8">
        <v>16</v>
      </c>
      <c r="K43" s="8">
        <v>1</v>
      </c>
      <c r="L43" s="102">
        <f t="shared" si="24"/>
        <v>10509602</v>
      </c>
      <c r="M43" s="102">
        <f t="shared" si="25"/>
        <v>324.99</v>
      </c>
      <c r="N43" s="102">
        <f t="shared" si="26"/>
        <v>1050992.699</v>
      </c>
      <c r="O43" s="102">
        <f t="shared" si="0"/>
        <v>6165824</v>
      </c>
      <c r="P43" s="116">
        <f t="shared" si="17"/>
        <v>616582.40000000002</v>
      </c>
      <c r="Q43" s="102">
        <f t="shared" si="18"/>
        <v>117150.656</v>
      </c>
      <c r="R43" s="102">
        <f t="shared" si="3"/>
        <v>6282975</v>
      </c>
      <c r="S43" s="105"/>
      <c r="T43" s="33"/>
      <c r="U43" s="33"/>
      <c r="V43" s="35"/>
      <c r="W43" s="35"/>
      <c r="X43" s="108">
        <v>19735013.798109073</v>
      </c>
      <c r="Y43" s="109">
        <f t="shared" si="4"/>
        <v>13452038.798109073</v>
      </c>
    </row>
    <row r="44" spans="2:25" ht="27.75" hidden="1" customHeight="1" x14ac:dyDescent="0.25">
      <c r="B44" s="278"/>
      <c r="C44" s="278"/>
      <c r="D44" s="5" t="s">
        <v>278</v>
      </c>
      <c r="E44" s="5" t="s">
        <v>314</v>
      </c>
      <c r="F44" s="5" t="s">
        <v>315</v>
      </c>
      <c r="G44" s="5" t="s">
        <v>272</v>
      </c>
      <c r="H44" s="5" t="s">
        <v>316</v>
      </c>
      <c r="I44" s="7" t="s">
        <v>271</v>
      </c>
      <c r="J44" s="8">
        <v>16</v>
      </c>
      <c r="K44" s="8">
        <v>1</v>
      </c>
      <c r="L44" s="102">
        <f t="shared" si="24"/>
        <v>10509602</v>
      </c>
      <c r="M44" s="102">
        <f t="shared" si="25"/>
        <v>324.99</v>
      </c>
      <c r="N44" s="102">
        <f t="shared" si="26"/>
        <v>1050992.699</v>
      </c>
      <c r="O44" s="102">
        <f t="shared" si="0"/>
        <v>6165824</v>
      </c>
      <c r="P44" s="116">
        <f t="shared" si="17"/>
        <v>616582.40000000002</v>
      </c>
      <c r="Q44" s="102">
        <f t="shared" si="18"/>
        <v>117150.656</v>
      </c>
      <c r="R44" s="102">
        <f t="shared" si="3"/>
        <v>6282975</v>
      </c>
      <c r="S44" s="105"/>
      <c r="T44" s="33"/>
      <c r="U44" s="33"/>
      <c r="V44" s="35"/>
      <c r="W44" s="35"/>
      <c r="X44" s="108">
        <v>13013224.224410212</v>
      </c>
      <c r="Y44" s="109">
        <f t="shared" si="4"/>
        <v>6730249.2244102117</v>
      </c>
    </row>
    <row r="45" spans="2:25" ht="27.75" hidden="1" customHeight="1" x14ac:dyDescent="0.25">
      <c r="B45" s="278"/>
      <c r="C45" s="278"/>
      <c r="D45" s="5" t="s">
        <v>278</v>
      </c>
      <c r="E45" s="5" t="s">
        <v>286</v>
      </c>
      <c r="F45" s="5" t="s">
        <v>317</v>
      </c>
      <c r="G45" s="5" t="s">
        <v>272</v>
      </c>
      <c r="H45" s="5" t="s">
        <v>318</v>
      </c>
      <c r="I45" s="7" t="s">
        <v>271</v>
      </c>
      <c r="J45" s="8">
        <v>16</v>
      </c>
      <c r="K45" s="8">
        <v>1</v>
      </c>
      <c r="L45" s="102">
        <f t="shared" si="24"/>
        <v>10509602</v>
      </c>
      <c r="M45" s="102">
        <f t="shared" si="25"/>
        <v>324.99</v>
      </c>
      <c r="N45" s="102">
        <f t="shared" si="26"/>
        <v>1050992.699</v>
      </c>
      <c r="O45" s="102">
        <f t="shared" si="0"/>
        <v>6165824</v>
      </c>
      <c r="P45" s="116">
        <f t="shared" si="17"/>
        <v>616582.40000000002</v>
      </c>
      <c r="Q45" s="102">
        <f t="shared" si="18"/>
        <v>117150.656</v>
      </c>
      <c r="R45" s="102">
        <f t="shared" si="3"/>
        <v>6282975</v>
      </c>
      <c r="S45" s="105"/>
      <c r="T45" s="33"/>
      <c r="U45" s="33"/>
      <c r="V45" s="35"/>
      <c r="W45" s="35"/>
      <c r="X45" s="108">
        <v>19735013.798109073</v>
      </c>
      <c r="Y45" s="109">
        <f t="shared" si="4"/>
        <v>13452038.798109073</v>
      </c>
    </row>
    <row r="46" spans="2:25" ht="31.5" hidden="1" customHeight="1" x14ac:dyDescent="0.25">
      <c r="B46" s="278"/>
      <c r="C46" s="278"/>
      <c r="D46" s="5" t="s">
        <v>292</v>
      </c>
      <c r="E46" s="5" t="s">
        <v>293</v>
      </c>
      <c r="F46" s="5" t="s">
        <v>319</v>
      </c>
      <c r="G46" s="5" t="s">
        <v>272</v>
      </c>
      <c r="H46" s="5" t="s">
        <v>138</v>
      </c>
      <c r="I46" s="7" t="s">
        <v>271</v>
      </c>
      <c r="J46" s="8">
        <v>16</v>
      </c>
      <c r="K46" s="8">
        <v>1</v>
      </c>
      <c r="L46" s="102">
        <f t="shared" si="24"/>
        <v>10509602</v>
      </c>
      <c r="M46" s="102">
        <f t="shared" si="25"/>
        <v>324.99</v>
      </c>
      <c r="N46" s="102">
        <f t="shared" si="26"/>
        <v>1050992.699</v>
      </c>
      <c r="O46" s="102">
        <f t="shared" si="0"/>
        <v>6165824</v>
      </c>
      <c r="P46" s="116">
        <f t="shared" si="17"/>
        <v>616582.40000000002</v>
      </c>
      <c r="Q46" s="102">
        <f t="shared" si="18"/>
        <v>117150.656</v>
      </c>
      <c r="R46" s="102">
        <f t="shared" si="3"/>
        <v>6282975</v>
      </c>
      <c r="S46" s="105"/>
      <c r="T46" s="33"/>
      <c r="U46" s="33"/>
      <c r="V46" s="35"/>
      <c r="W46" s="35"/>
      <c r="X46" s="108">
        <v>9867506.8990545366</v>
      </c>
      <c r="Y46" s="109">
        <f t="shared" si="4"/>
        <v>3584531.8990545366</v>
      </c>
    </row>
    <row r="47" spans="2:25" ht="36" hidden="1" customHeight="1" x14ac:dyDescent="0.25">
      <c r="B47" s="278"/>
      <c r="C47" s="276"/>
      <c r="D47" s="5" t="s">
        <v>278</v>
      </c>
      <c r="E47" s="5" t="s">
        <v>298</v>
      </c>
      <c r="F47" s="5" t="s">
        <v>320</v>
      </c>
      <c r="G47" s="5" t="s">
        <v>272</v>
      </c>
      <c r="H47" s="5" t="s">
        <v>321</v>
      </c>
      <c r="I47" s="7" t="s">
        <v>271</v>
      </c>
      <c r="J47" s="8">
        <v>16</v>
      </c>
      <c r="K47" s="8">
        <v>1</v>
      </c>
      <c r="L47" s="102">
        <f t="shared" si="24"/>
        <v>10509602</v>
      </c>
      <c r="M47" s="102">
        <f t="shared" si="25"/>
        <v>324.99</v>
      </c>
      <c r="N47" s="102">
        <f t="shared" si="26"/>
        <v>1050992.699</v>
      </c>
      <c r="O47" s="102">
        <f t="shared" si="0"/>
        <v>6165824</v>
      </c>
      <c r="P47" s="116">
        <f t="shared" si="17"/>
        <v>616582.40000000002</v>
      </c>
      <c r="Q47" s="102">
        <f t="shared" si="18"/>
        <v>117150.656</v>
      </c>
      <c r="R47" s="102">
        <f t="shared" si="3"/>
        <v>6282975</v>
      </c>
      <c r="S47" s="105"/>
      <c r="T47" s="33"/>
      <c r="U47" s="33"/>
      <c r="V47" s="35"/>
      <c r="W47" s="35"/>
      <c r="X47" s="108">
        <v>9867506.8990545366</v>
      </c>
      <c r="Y47" s="109">
        <f t="shared" si="4"/>
        <v>3584531.8990545366</v>
      </c>
    </row>
    <row r="48" spans="2:25" ht="15" customHeight="1" x14ac:dyDescent="0.25">
      <c r="B48" s="278"/>
      <c r="C48" s="307" t="s">
        <v>322</v>
      </c>
      <c r="D48" s="304" t="s">
        <v>16</v>
      </c>
      <c r="E48" s="5" t="s">
        <v>266</v>
      </c>
      <c r="F48" s="5" t="s">
        <v>267</v>
      </c>
      <c r="G48" s="5" t="s">
        <v>272</v>
      </c>
      <c r="H48" s="5" t="s">
        <v>323</v>
      </c>
      <c r="I48" s="7" t="s">
        <v>269</v>
      </c>
      <c r="J48" s="8">
        <v>16</v>
      </c>
      <c r="K48" s="8">
        <v>6</v>
      </c>
      <c r="L48" s="102">
        <f t="shared" si="24"/>
        <v>10509602</v>
      </c>
      <c r="M48" s="102">
        <f t="shared" si="25"/>
        <v>324.99</v>
      </c>
      <c r="N48" s="102">
        <f>+(L48+M48)*8%</f>
        <v>840794.15919999999</v>
      </c>
      <c r="O48" s="102">
        <f t="shared" si="0"/>
        <v>36322307.200000003</v>
      </c>
      <c r="P48" s="116">
        <f t="shared" si="17"/>
        <v>3632230.7200000007</v>
      </c>
      <c r="Q48" s="102">
        <f t="shared" si="18"/>
        <v>690123.83680000016</v>
      </c>
      <c r="R48" s="102">
        <f t="shared" si="3"/>
        <v>37012431</v>
      </c>
      <c r="S48" s="105"/>
      <c r="T48" s="33"/>
      <c r="U48" s="33"/>
      <c r="V48" s="35"/>
      <c r="W48" s="35"/>
      <c r="X48" s="108">
        <v>9867506.8990545366</v>
      </c>
      <c r="Y48" s="109">
        <f t="shared" si="4"/>
        <v>-27144924.100945465</v>
      </c>
    </row>
    <row r="49" spans="2:31" ht="15" hidden="1" customHeight="1" x14ac:dyDescent="0.25">
      <c r="B49" s="278"/>
      <c r="C49" s="278"/>
      <c r="D49" s="278"/>
      <c r="E49" s="5"/>
      <c r="F49" s="5"/>
      <c r="G49" s="5" t="s">
        <v>272</v>
      </c>
      <c r="H49" s="5" t="s">
        <v>324</v>
      </c>
      <c r="I49" s="7" t="s">
        <v>271</v>
      </c>
      <c r="J49" s="8">
        <v>16</v>
      </c>
      <c r="K49" s="8">
        <v>5</v>
      </c>
      <c r="L49" s="102">
        <f t="shared" si="24"/>
        <v>10509602</v>
      </c>
      <c r="M49" s="102">
        <f t="shared" si="25"/>
        <v>324.99</v>
      </c>
      <c r="N49" s="102">
        <f>+(L49+M49)*10%</f>
        <v>1050992.699</v>
      </c>
      <c r="O49" s="102">
        <f t="shared" si="0"/>
        <v>30829120</v>
      </c>
      <c r="P49" s="116">
        <f t="shared" si="17"/>
        <v>3082912</v>
      </c>
      <c r="Q49" s="102">
        <f t="shared" si="18"/>
        <v>585753.28</v>
      </c>
      <c r="R49" s="102">
        <f t="shared" si="3"/>
        <v>31414873</v>
      </c>
      <c r="S49" s="105"/>
      <c r="T49" s="33"/>
      <c r="U49" s="33"/>
      <c r="V49" s="35"/>
      <c r="W49" s="35"/>
      <c r="X49" s="108">
        <v>9867506.8990545366</v>
      </c>
      <c r="Y49" s="109">
        <f t="shared" si="4"/>
        <v>-21547366.100945465</v>
      </c>
      <c r="Z49" s="34"/>
      <c r="AA49" s="35"/>
      <c r="AB49" s="35"/>
      <c r="AC49" s="35"/>
      <c r="AD49" s="41"/>
      <c r="AE49" s="42"/>
    </row>
    <row r="50" spans="2:31" ht="15.75" customHeight="1" x14ac:dyDescent="0.25">
      <c r="B50" s="278"/>
      <c r="C50" s="278"/>
      <c r="D50" s="278"/>
      <c r="E50" s="5"/>
      <c r="F50" s="5"/>
      <c r="G50" s="5" t="s">
        <v>268</v>
      </c>
      <c r="H50" s="5" t="s">
        <v>325</v>
      </c>
      <c r="I50" s="7" t="s">
        <v>269</v>
      </c>
      <c r="J50" s="8">
        <v>16</v>
      </c>
      <c r="K50" s="8">
        <v>2</v>
      </c>
      <c r="L50" s="102">
        <f t="shared" ref="L50:L51" si="27">9.06*1160000*55.97%/15*12+2</f>
        <v>4705780.4959999993</v>
      </c>
      <c r="M50" s="102">
        <f t="shared" ref="M50:M51" si="28">+V$9*55.97%/15*12</f>
        <v>145.51752240000002</v>
      </c>
      <c r="N50" s="102">
        <f>+(L50+M50)*8%</f>
        <v>376474.08108179196</v>
      </c>
      <c r="O50" s="102">
        <f t="shared" si="0"/>
        <v>5421226.666666667</v>
      </c>
      <c r="P50" s="116">
        <f t="shared" si="17"/>
        <v>542122.66666666674</v>
      </c>
      <c r="Q50" s="102">
        <f t="shared" si="18"/>
        <v>103003.30666666669</v>
      </c>
      <c r="R50" s="102">
        <f t="shared" si="3"/>
        <v>5524230</v>
      </c>
      <c r="S50" s="105"/>
      <c r="T50" s="33"/>
      <c r="U50" s="33"/>
      <c r="V50" s="35"/>
      <c r="W50" s="35"/>
      <c r="X50" s="108">
        <v>9867506.8990545366</v>
      </c>
      <c r="Y50" s="109">
        <f t="shared" si="4"/>
        <v>4343276.8990545366</v>
      </c>
      <c r="Z50" s="34"/>
      <c r="AA50" s="35"/>
      <c r="AB50" s="35"/>
      <c r="AC50" s="35"/>
      <c r="AD50" s="41"/>
      <c r="AE50" s="42"/>
    </row>
    <row r="51" spans="2:31" ht="15.75" hidden="1" customHeight="1" x14ac:dyDescent="0.25">
      <c r="B51" s="278"/>
      <c r="C51" s="278"/>
      <c r="D51" s="278"/>
      <c r="E51" s="5"/>
      <c r="F51" s="5"/>
      <c r="G51" s="5" t="s">
        <v>326</v>
      </c>
      <c r="H51" s="5" t="s">
        <v>149</v>
      </c>
      <c r="I51" s="7" t="s">
        <v>277</v>
      </c>
      <c r="J51" s="8">
        <v>16</v>
      </c>
      <c r="K51" s="8">
        <v>2</v>
      </c>
      <c r="L51" s="102">
        <f t="shared" si="27"/>
        <v>4705780.4959999993</v>
      </c>
      <c r="M51" s="102">
        <f t="shared" si="28"/>
        <v>145.51752240000002</v>
      </c>
      <c r="N51" s="102">
        <f>+(L51+M51)*11%</f>
        <v>517651.86148746393</v>
      </c>
      <c r="O51" s="102">
        <f t="shared" si="0"/>
        <v>5571816.5333333332</v>
      </c>
      <c r="P51" s="116">
        <f t="shared" si="17"/>
        <v>557181.65333333332</v>
      </c>
      <c r="Q51" s="102">
        <f t="shared" si="18"/>
        <v>105864.51413333333</v>
      </c>
      <c r="R51" s="102">
        <f t="shared" si="3"/>
        <v>5677681</v>
      </c>
      <c r="S51" s="105"/>
      <c r="T51" s="33"/>
      <c r="U51" s="33"/>
      <c r="V51" s="35"/>
      <c r="W51" s="35"/>
      <c r="X51" s="108">
        <v>58128586.096248545</v>
      </c>
      <c r="Y51" s="109">
        <f t="shared" si="4"/>
        <v>52450905.096248545</v>
      </c>
      <c r="Z51" s="34"/>
      <c r="AA51" s="35"/>
      <c r="AB51" s="35"/>
      <c r="AC51" s="35"/>
      <c r="AD51" s="41"/>
      <c r="AE51" s="42"/>
    </row>
    <row r="52" spans="2:31" ht="15.75" customHeight="1" x14ac:dyDescent="0.25">
      <c r="B52" s="278"/>
      <c r="C52" s="278"/>
      <c r="D52" s="276"/>
      <c r="E52" s="5"/>
      <c r="F52" s="5"/>
      <c r="G52" s="5" t="s">
        <v>327</v>
      </c>
      <c r="H52" s="5" t="s">
        <v>151</v>
      </c>
      <c r="I52" s="7" t="s">
        <v>269</v>
      </c>
      <c r="J52" s="8">
        <v>10</v>
      </c>
      <c r="K52" s="8">
        <v>3</v>
      </c>
      <c r="L52" s="102">
        <f>9.06*1160000*55.97%/15*12/30*20+2</f>
        <v>3137187.6639999994</v>
      </c>
      <c r="M52" s="102">
        <f>+V$9*55.97%/15*12/30*20</f>
        <v>97.011681600000017</v>
      </c>
      <c r="N52" s="102">
        <f t="shared" ref="N52:N53" si="29">+(L52+M52)*8%</f>
        <v>250982.77405452795</v>
      </c>
      <c r="O52" s="102">
        <f t="shared" si="0"/>
        <v>3388267</v>
      </c>
      <c r="P52" s="116">
        <f t="shared" si="17"/>
        <v>338826.7</v>
      </c>
      <c r="Q52" s="102">
        <f t="shared" si="18"/>
        <v>64377.073000000004</v>
      </c>
      <c r="R52" s="102">
        <f t="shared" si="3"/>
        <v>3452644</v>
      </c>
      <c r="S52" s="105"/>
      <c r="T52" s="33"/>
      <c r="U52" s="33"/>
      <c r="V52" s="35"/>
      <c r="W52" s="35"/>
      <c r="X52" s="108">
        <v>49337534.495272696</v>
      </c>
      <c r="Y52" s="109">
        <f t="shared" si="4"/>
        <v>45884890.495272696</v>
      </c>
      <c r="Z52" s="34"/>
      <c r="AA52" s="35"/>
      <c r="AB52" s="35"/>
      <c r="AC52" s="35"/>
      <c r="AD52" s="41"/>
      <c r="AE52" s="42"/>
    </row>
    <row r="53" spans="2:31" ht="15.75" customHeight="1" x14ac:dyDescent="0.25">
      <c r="B53" s="278"/>
      <c r="C53" s="278"/>
      <c r="D53" s="304" t="s">
        <v>278</v>
      </c>
      <c r="E53" s="5" t="s">
        <v>88</v>
      </c>
      <c r="F53" s="5" t="s">
        <v>88</v>
      </c>
      <c r="G53" s="5" t="s">
        <v>272</v>
      </c>
      <c r="H53" s="5" t="s">
        <v>154</v>
      </c>
      <c r="I53" s="7" t="s">
        <v>269</v>
      </c>
      <c r="J53" s="8">
        <v>16</v>
      </c>
      <c r="K53" s="8">
        <v>1</v>
      </c>
      <c r="L53" s="102">
        <f t="shared" ref="L53:L62" si="30">9.06*1160000+2</f>
        <v>10509602</v>
      </c>
      <c r="M53" s="102">
        <f t="shared" ref="M53:M62" si="31">+V$9</f>
        <v>324.99</v>
      </c>
      <c r="N53" s="102">
        <f t="shared" si="29"/>
        <v>840794.15919999999</v>
      </c>
      <c r="O53" s="102">
        <f t="shared" si="0"/>
        <v>6053717.8666666662</v>
      </c>
      <c r="P53" s="116">
        <f t="shared" si="17"/>
        <v>605371.78666666662</v>
      </c>
      <c r="Q53" s="102">
        <f t="shared" si="18"/>
        <v>115020.63946666666</v>
      </c>
      <c r="R53" s="102">
        <f t="shared" si="3"/>
        <v>6168739</v>
      </c>
      <c r="S53" s="105"/>
      <c r="T53" s="33"/>
      <c r="U53" s="33"/>
      <c r="V53" s="35"/>
      <c r="W53" s="35"/>
      <c r="X53" s="108">
        <v>8675482.8162734751</v>
      </c>
      <c r="Y53" s="109">
        <f t="shared" si="4"/>
        <v>2506743.8162734751</v>
      </c>
      <c r="Z53" s="34"/>
      <c r="AA53" s="35"/>
      <c r="AB53" s="35"/>
      <c r="AC53" s="35"/>
      <c r="AD53" s="41"/>
      <c r="AE53" s="42"/>
    </row>
    <row r="54" spans="2:31" ht="15.75" hidden="1" customHeight="1" x14ac:dyDescent="0.25">
      <c r="B54" s="278"/>
      <c r="C54" s="278"/>
      <c r="D54" s="276"/>
      <c r="E54" s="5"/>
      <c r="F54" s="5"/>
      <c r="G54" s="5" t="s">
        <v>272</v>
      </c>
      <c r="H54" s="5" t="s">
        <v>157</v>
      </c>
      <c r="I54" s="7" t="s">
        <v>271</v>
      </c>
      <c r="J54" s="8">
        <v>16</v>
      </c>
      <c r="K54" s="8">
        <v>1</v>
      </c>
      <c r="L54" s="102">
        <f t="shared" si="30"/>
        <v>10509602</v>
      </c>
      <c r="M54" s="102">
        <f t="shared" si="31"/>
        <v>324.99</v>
      </c>
      <c r="N54" s="102">
        <f t="shared" ref="N54:N55" si="32">+(L54+M54)*10%</f>
        <v>1050992.699</v>
      </c>
      <c r="O54" s="102">
        <f t="shared" si="0"/>
        <v>6165824</v>
      </c>
      <c r="P54" s="116">
        <f t="shared" si="17"/>
        <v>616582.40000000002</v>
      </c>
      <c r="Q54" s="102">
        <f t="shared" si="18"/>
        <v>117150.656</v>
      </c>
      <c r="R54" s="102">
        <f t="shared" si="3"/>
        <v>6282975</v>
      </c>
      <c r="S54" s="105"/>
      <c r="T54" s="33"/>
      <c r="U54" s="33"/>
      <c r="V54" s="35"/>
      <c r="W54" s="35"/>
      <c r="X54" s="108">
        <v>8836088.9556188453</v>
      </c>
      <c r="Y54" s="109">
        <f t="shared" si="4"/>
        <v>2553113.9556188453</v>
      </c>
      <c r="Z54" s="34"/>
      <c r="AA54" s="35"/>
      <c r="AB54" s="35"/>
      <c r="AC54" s="35"/>
      <c r="AD54" s="41"/>
      <c r="AE54" s="42"/>
    </row>
    <row r="55" spans="2:31" ht="15.75" hidden="1" customHeight="1" x14ac:dyDescent="0.25">
      <c r="B55" s="278"/>
      <c r="C55" s="278"/>
      <c r="D55" s="304" t="s">
        <v>16</v>
      </c>
      <c r="E55" s="5" t="s">
        <v>398</v>
      </c>
      <c r="F55" s="5" t="s">
        <v>275</v>
      </c>
      <c r="G55" s="5" t="s">
        <v>272</v>
      </c>
      <c r="H55" s="5" t="s">
        <v>157</v>
      </c>
      <c r="I55" s="7" t="s">
        <v>271</v>
      </c>
      <c r="J55" s="8">
        <v>16</v>
      </c>
      <c r="K55" s="8">
        <v>3</v>
      </c>
      <c r="L55" s="102">
        <f t="shared" si="30"/>
        <v>10509602</v>
      </c>
      <c r="M55" s="102">
        <f t="shared" si="31"/>
        <v>324.99</v>
      </c>
      <c r="N55" s="102">
        <f t="shared" si="32"/>
        <v>1050992.699</v>
      </c>
      <c r="O55" s="102">
        <f t="shared" si="0"/>
        <v>18497472</v>
      </c>
      <c r="P55" s="116">
        <f t="shared" si="17"/>
        <v>1849747.2000000002</v>
      </c>
      <c r="Q55" s="102">
        <f t="shared" si="18"/>
        <v>351451.96800000005</v>
      </c>
      <c r="R55" s="102">
        <f t="shared" si="3"/>
        <v>18848924</v>
      </c>
      <c r="S55" s="105"/>
      <c r="T55" s="33"/>
      <c r="U55" s="33"/>
      <c r="V55" s="35"/>
      <c r="W55" s="35"/>
      <c r="X55" s="108">
        <v>8676693.7551134806</v>
      </c>
      <c r="Y55" s="109">
        <f t="shared" si="4"/>
        <v>-10172230.244886519</v>
      </c>
      <c r="Z55" s="34"/>
      <c r="AA55" s="35"/>
      <c r="AB55" s="35"/>
      <c r="AC55" s="35"/>
      <c r="AD55" s="41"/>
      <c r="AE55" s="42"/>
    </row>
    <row r="56" spans="2:31" ht="15.75" customHeight="1" x14ac:dyDescent="0.25">
      <c r="B56" s="278"/>
      <c r="C56" s="278"/>
      <c r="D56" s="276"/>
      <c r="E56" s="5"/>
      <c r="F56" s="5"/>
      <c r="G56" s="5" t="s">
        <v>272</v>
      </c>
      <c r="H56" s="5" t="s">
        <v>161</v>
      </c>
      <c r="I56" s="7" t="s">
        <v>269</v>
      </c>
      <c r="J56" s="8">
        <v>16</v>
      </c>
      <c r="K56" s="8">
        <v>1</v>
      </c>
      <c r="L56" s="102">
        <f t="shared" si="30"/>
        <v>10509602</v>
      </c>
      <c r="M56" s="102">
        <f t="shared" si="31"/>
        <v>324.99</v>
      </c>
      <c r="N56" s="102">
        <f t="shared" ref="N56:N84" si="33">+(L56+M56)*8%</f>
        <v>840794.15919999999</v>
      </c>
      <c r="O56" s="102">
        <f t="shared" si="0"/>
        <v>6053717.8666666662</v>
      </c>
      <c r="P56" s="116">
        <f t="shared" si="17"/>
        <v>605371.78666666662</v>
      </c>
      <c r="Q56" s="102">
        <f t="shared" si="18"/>
        <v>115020.63946666666</v>
      </c>
      <c r="R56" s="102">
        <f t="shared" si="3"/>
        <v>6168739</v>
      </c>
      <c r="S56" s="105"/>
      <c r="T56" s="33"/>
      <c r="U56" s="33"/>
      <c r="V56" s="35"/>
      <c r="W56" s="35"/>
      <c r="X56" s="108">
        <v>9867506.8990545366</v>
      </c>
      <c r="Y56" s="109">
        <f t="shared" si="4"/>
        <v>3698767.8990545366</v>
      </c>
      <c r="Z56" s="34"/>
      <c r="AA56" s="35"/>
      <c r="AB56" s="35"/>
      <c r="AC56" s="35"/>
      <c r="AD56" s="41"/>
      <c r="AE56" s="42"/>
    </row>
    <row r="57" spans="2:31" ht="15.75" customHeight="1" x14ac:dyDescent="0.25">
      <c r="B57" s="278"/>
      <c r="C57" s="278"/>
      <c r="D57" s="304" t="s">
        <v>278</v>
      </c>
      <c r="E57" s="5" t="s">
        <v>286</v>
      </c>
      <c r="F57" s="5" t="s">
        <v>287</v>
      </c>
      <c r="G57" s="5" t="s">
        <v>272</v>
      </c>
      <c r="H57" s="5" t="s">
        <v>328</v>
      </c>
      <c r="I57" s="7" t="s">
        <v>269</v>
      </c>
      <c r="J57" s="8">
        <v>16</v>
      </c>
      <c r="K57" s="8">
        <v>1</v>
      </c>
      <c r="L57" s="102">
        <f t="shared" si="30"/>
        <v>10509602</v>
      </c>
      <c r="M57" s="102">
        <f t="shared" si="31"/>
        <v>324.99</v>
      </c>
      <c r="N57" s="102">
        <f t="shared" si="33"/>
        <v>840794.15919999999</v>
      </c>
      <c r="O57" s="102">
        <f t="shared" si="0"/>
        <v>6053717.8666666662</v>
      </c>
      <c r="P57" s="116">
        <f t="shared" si="17"/>
        <v>605371.78666666662</v>
      </c>
      <c r="Q57" s="102">
        <f t="shared" si="18"/>
        <v>115020.63946666666</v>
      </c>
      <c r="R57" s="102">
        <f t="shared" si="3"/>
        <v>6168739</v>
      </c>
      <c r="S57" s="105"/>
      <c r="T57" s="33"/>
      <c r="U57" s="33"/>
      <c r="V57" s="35"/>
      <c r="W57" s="35"/>
      <c r="X57" s="108">
        <v>9688097.682708092</v>
      </c>
      <c r="Y57" s="109">
        <f t="shared" si="4"/>
        <v>3519358.682708092</v>
      </c>
      <c r="Z57" s="34"/>
      <c r="AA57" s="35"/>
      <c r="AB57" s="35"/>
      <c r="AC57" s="35"/>
      <c r="AD57" s="41"/>
      <c r="AE57" s="42"/>
    </row>
    <row r="58" spans="2:31" ht="15.75" customHeight="1" x14ac:dyDescent="0.25">
      <c r="B58" s="278"/>
      <c r="C58" s="278"/>
      <c r="D58" s="276"/>
      <c r="E58" s="5" t="s">
        <v>298</v>
      </c>
      <c r="F58" s="5" t="s">
        <v>298</v>
      </c>
      <c r="G58" s="5" t="s">
        <v>272</v>
      </c>
      <c r="H58" s="5" t="s">
        <v>329</v>
      </c>
      <c r="I58" s="7" t="s">
        <v>269</v>
      </c>
      <c r="J58" s="8">
        <v>16</v>
      </c>
      <c r="K58" s="8">
        <v>2</v>
      </c>
      <c r="L58" s="102">
        <f t="shared" si="30"/>
        <v>10509602</v>
      </c>
      <c r="M58" s="102">
        <f t="shared" si="31"/>
        <v>324.99</v>
      </c>
      <c r="N58" s="102">
        <f t="shared" si="33"/>
        <v>840794.15919999999</v>
      </c>
      <c r="O58" s="102">
        <f t="shared" si="0"/>
        <v>12107435.733333332</v>
      </c>
      <c r="P58" s="116">
        <f t="shared" si="17"/>
        <v>1210743.5733333332</v>
      </c>
      <c r="Q58" s="102">
        <f t="shared" si="18"/>
        <v>230041.27893333332</v>
      </c>
      <c r="R58" s="102">
        <f t="shared" si="3"/>
        <v>12337477</v>
      </c>
      <c r="S58" s="105"/>
      <c r="T58" s="33"/>
      <c r="U58" s="33"/>
      <c r="V58" s="35"/>
      <c r="W58" s="35"/>
      <c r="X58" s="108">
        <v>29602520.697163612</v>
      </c>
      <c r="Y58" s="109">
        <f t="shared" si="4"/>
        <v>17265043.697163612</v>
      </c>
      <c r="Z58" s="34"/>
      <c r="AA58" s="35"/>
      <c r="AB58" s="35"/>
      <c r="AC58" s="35"/>
      <c r="AD58" s="41"/>
      <c r="AE58" s="42"/>
    </row>
    <row r="59" spans="2:31" ht="15.75" customHeight="1" x14ac:dyDescent="0.25">
      <c r="B59" s="278"/>
      <c r="C59" s="278"/>
      <c r="D59" s="5" t="s">
        <v>146</v>
      </c>
      <c r="E59" s="5" t="s">
        <v>170</v>
      </c>
      <c r="F59" s="5" t="s">
        <v>170</v>
      </c>
      <c r="G59" s="5" t="s">
        <v>272</v>
      </c>
      <c r="H59" s="5" t="s">
        <v>330</v>
      </c>
      <c r="I59" s="7" t="s">
        <v>269</v>
      </c>
      <c r="J59" s="8">
        <v>16</v>
      </c>
      <c r="K59" s="8">
        <v>1</v>
      </c>
      <c r="L59" s="102">
        <f t="shared" si="30"/>
        <v>10509602</v>
      </c>
      <c r="M59" s="102">
        <f t="shared" si="31"/>
        <v>324.99</v>
      </c>
      <c r="N59" s="102">
        <f t="shared" si="33"/>
        <v>840794.15919999999</v>
      </c>
      <c r="O59" s="102">
        <f t="shared" si="0"/>
        <v>6053717.8666666662</v>
      </c>
      <c r="P59" s="116">
        <f t="shared" si="17"/>
        <v>605371.78666666662</v>
      </c>
      <c r="Q59" s="102">
        <f t="shared" si="18"/>
        <v>115020.63946666666</v>
      </c>
      <c r="R59" s="102">
        <f t="shared" si="3"/>
        <v>6168739</v>
      </c>
      <c r="S59" s="105"/>
      <c r="T59" s="33"/>
      <c r="U59" s="33"/>
      <c r="V59" s="35"/>
      <c r="W59" s="35"/>
      <c r="X59" s="108">
        <v>9688097.682708092</v>
      </c>
      <c r="Y59" s="109">
        <f t="shared" si="4"/>
        <v>3519358.682708092</v>
      </c>
      <c r="Z59" s="34"/>
      <c r="AA59" s="35"/>
      <c r="AB59" s="35"/>
      <c r="AC59" s="35"/>
      <c r="AD59" s="41"/>
      <c r="AE59" s="42"/>
    </row>
    <row r="60" spans="2:31" ht="15.75" customHeight="1" x14ac:dyDescent="0.25">
      <c r="B60" s="278"/>
      <c r="C60" s="278"/>
      <c r="D60" s="5" t="s">
        <v>278</v>
      </c>
      <c r="E60" s="5" t="s">
        <v>331</v>
      </c>
      <c r="F60" s="5" t="s">
        <v>332</v>
      </c>
      <c r="G60" s="5" t="s">
        <v>272</v>
      </c>
      <c r="H60" s="5" t="s">
        <v>333</v>
      </c>
      <c r="I60" s="7" t="s">
        <v>269</v>
      </c>
      <c r="J60" s="8">
        <v>16</v>
      </c>
      <c r="K60" s="8">
        <v>1</v>
      </c>
      <c r="L60" s="102">
        <f t="shared" si="30"/>
        <v>10509602</v>
      </c>
      <c r="M60" s="102">
        <f t="shared" si="31"/>
        <v>324.99</v>
      </c>
      <c r="N60" s="102">
        <f t="shared" si="33"/>
        <v>840794.15919999999</v>
      </c>
      <c r="O60" s="102">
        <f t="shared" si="0"/>
        <v>6053717.8666666662</v>
      </c>
      <c r="P60" s="116">
        <f t="shared" si="17"/>
        <v>605371.78666666662</v>
      </c>
      <c r="Q60" s="102">
        <f t="shared" si="18"/>
        <v>115020.63946666666</v>
      </c>
      <c r="R60" s="102">
        <f t="shared" si="3"/>
        <v>6168739</v>
      </c>
      <c r="S60" s="105"/>
      <c r="T60" s="33"/>
      <c r="U60" s="33"/>
      <c r="V60" s="35"/>
      <c r="W60" s="35"/>
      <c r="X60" s="108">
        <v>9688097.682708092</v>
      </c>
      <c r="Y60" s="109">
        <f t="shared" si="4"/>
        <v>3519358.682708092</v>
      </c>
      <c r="Z60" s="34"/>
      <c r="AA60" s="35"/>
      <c r="AB60" s="35"/>
      <c r="AC60" s="35"/>
      <c r="AD60" s="41"/>
      <c r="AE60" s="35"/>
    </row>
    <row r="61" spans="2:31" ht="15.75" customHeight="1" x14ac:dyDescent="0.25">
      <c r="B61" s="278"/>
      <c r="C61" s="278"/>
      <c r="D61" s="5" t="s">
        <v>279</v>
      </c>
      <c r="E61" s="5" t="s">
        <v>303</v>
      </c>
      <c r="F61" s="5" t="s">
        <v>304</v>
      </c>
      <c r="G61" s="5" t="s">
        <v>272</v>
      </c>
      <c r="H61" s="5" t="s">
        <v>334</v>
      </c>
      <c r="I61" s="7" t="s">
        <v>269</v>
      </c>
      <c r="J61" s="8">
        <v>16</v>
      </c>
      <c r="K61" s="8">
        <v>2</v>
      </c>
      <c r="L61" s="102">
        <f t="shared" si="30"/>
        <v>10509602</v>
      </c>
      <c r="M61" s="102">
        <f t="shared" si="31"/>
        <v>324.99</v>
      </c>
      <c r="N61" s="102">
        <f t="shared" si="33"/>
        <v>840794.15919999999</v>
      </c>
      <c r="O61" s="102">
        <f t="shared" si="0"/>
        <v>12107435.733333332</v>
      </c>
      <c r="P61" s="116">
        <f t="shared" si="17"/>
        <v>1210743.5733333332</v>
      </c>
      <c r="Q61" s="102">
        <f t="shared" si="18"/>
        <v>230041.27893333332</v>
      </c>
      <c r="R61" s="102">
        <f t="shared" si="3"/>
        <v>12337477</v>
      </c>
      <c r="S61" s="105"/>
      <c r="T61" s="33"/>
      <c r="U61" s="33"/>
      <c r="V61" s="35"/>
      <c r="W61" s="35"/>
      <c r="X61" s="108">
        <v>19376195.365416184</v>
      </c>
      <c r="Y61" s="109">
        <f t="shared" si="4"/>
        <v>7038718.3654161841</v>
      </c>
      <c r="Z61" s="34"/>
      <c r="AA61" s="35"/>
      <c r="AB61" s="35"/>
      <c r="AC61" s="35"/>
      <c r="AD61" s="41"/>
      <c r="AE61" s="35"/>
    </row>
    <row r="62" spans="2:31" ht="15.75" customHeight="1" x14ac:dyDescent="0.25">
      <c r="B62" s="276"/>
      <c r="C62" s="276"/>
      <c r="D62" s="5" t="s">
        <v>140</v>
      </c>
      <c r="E62" s="5" t="s">
        <v>141</v>
      </c>
      <c r="F62" s="5" t="s">
        <v>289</v>
      </c>
      <c r="G62" s="5" t="s">
        <v>272</v>
      </c>
      <c r="H62" s="5" t="s">
        <v>382</v>
      </c>
      <c r="I62" s="7" t="s">
        <v>269</v>
      </c>
      <c r="J62" s="8">
        <v>16</v>
      </c>
      <c r="K62" s="8">
        <v>1</v>
      </c>
      <c r="L62" s="102">
        <f t="shared" si="30"/>
        <v>10509602</v>
      </c>
      <c r="M62" s="102">
        <f t="shared" si="31"/>
        <v>324.99</v>
      </c>
      <c r="N62" s="102">
        <f t="shared" si="33"/>
        <v>840794.15919999999</v>
      </c>
      <c r="O62" s="102">
        <f t="shared" si="0"/>
        <v>6053717.8666666662</v>
      </c>
      <c r="P62" s="118">
        <v>0</v>
      </c>
      <c r="Q62" s="119">
        <v>0</v>
      </c>
      <c r="R62" s="102">
        <f t="shared" si="3"/>
        <v>6053718</v>
      </c>
      <c r="S62" s="105"/>
      <c r="T62" s="33"/>
      <c r="U62" s="33"/>
      <c r="V62" s="35"/>
      <c r="W62" s="35"/>
      <c r="X62" s="108">
        <v>9688097.682708092</v>
      </c>
      <c r="Y62" s="109">
        <f t="shared" si="4"/>
        <v>3634379.682708092</v>
      </c>
      <c r="Z62" s="34"/>
      <c r="AA62" s="35" t="s">
        <v>399</v>
      </c>
      <c r="AB62" s="35" t="s">
        <v>400</v>
      </c>
      <c r="AC62" s="35"/>
      <c r="AD62" s="41" t="s">
        <v>401</v>
      </c>
      <c r="AE62" s="35"/>
    </row>
    <row r="63" spans="2:31" ht="24" hidden="1" customHeight="1" x14ac:dyDescent="0.25">
      <c r="B63" s="306" t="s">
        <v>335</v>
      </c>
      <c r="C63" s="307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16</v>
      </c>
      <c r="K63" s="8">
        <v>1</v>
      </c>
      <c r="L63" s="102">
        <f>9.06*1160000*55.97%/15*12+2</f>
        <v>4705780.4959999993</v>
      </c>
      <c r="M63" s="102">
        <f>+V$9*55.97%/15*12</f>
        <v>145.51752240000002</v>
      </c>
      <c r="N63" s="102">
        <f t="shared" si="33"/>
        <v>376474.08108179196</v>
      </c>
      <c r="O63" s="102">
        <f t="shared" si="0"/>
        <v>2710613.3333333335</v>
      </c>
      <c r="P63" s="116">
        <f t="shared" ref="P63:P72" si="34">+O63*10%</f>
        <v>271061.33333333337</v>
      </c>
      <c r="Q63" s="102">
        <f t="shared" ref="Q63:Q72" si="35">+P63*19%</f>
        <v>51501.653333333343</v>
      </c>
      <c r="R63" s="102">
        <f t="shared" si="3"/>
        <v>2762115</v>
      </c>
      <c r="S63" s="105"/>
      <c r="T63" s="33"/>
      <c r="U63" s="33"/>
      <c r="V63" s="35"/>
      <c r="W63" s="35"/>
      <c r="X63" s="108">
        <v>9688097.6827080995</v>
      </c>
      <c r="Y63" s="109">
        <f t="shared" si="4"/>
        <v>6925982.6827080995</v>
      </c>
      <c r="Z63" s="34"/>
      <c r="AA63" s="108">
        <f t="shared" ref="AA63:AA92" si="36">+R63</f>
        <v>2762115</v>
      </c>
      <c r="AB63" s="110">
        <v>4703841.6785409814</v>
      </c>
      <c r="AC63" s="110">
        <f t="shared" ref="AC63:AC92" si="37">+AB63-AA63</f>
        <v>1941726.6785409814</v>
      </c>
      <c r="AD63" s="41">
        <f t="shared" ref="AD63:AD92" si="38">+AB63*80%</f>
        <v>3763073.3428327851</v>
      </c>
      <c r="AE63" s="41">
        <f t="shared" ref="AE63:AE92" si="39">+AA63-AD63</f>
        <v>-1000958.3428327851</v>
      </c>
    </row>
    <row r="64" spans="2:31" ht="15" hidden="1" customHeight="1" x14ac:dyDescent="0.25">
      <c r="B64" s="278"/>
      <c r="C64" s="278"/>
      <c r="D64" s="301" t="s">
        <v>16</v>
      </c>
      <c r="E64" s="7" t="s">
        <v>266</v>
      </c>
      <c r="F64" s="7" t="s">
        <v>267</v>
      </c>
      <c r="G64" s="7" t="s">
        <v>340</v>
      </c>
      <c r="H64" s="7" t="s">
        <v>341</v>
      </c>
      <c r="I64" s="7" t="s">
        <v>338</v>
      </c>
      <c r="J64" s="8">
        <v>16</v>
      </c>
      <c r="K64" s="101">
        <v>1</v>
      </c>
      <c r="L64" s="102">
        <f t="shared" ref="L64:L67" si="40">9.06*1160000+2+450000</f>
        <v>10959602</v>
      </c>
      <c r="M64" s="102">
        <f t="shared" ref="M64:M69" si="41">+V$9</f>
        <v>324.99</v>
      </c>
      <c r="N64" s="102">
        <f t="shared" si="33"/>
        <v>876794.15919999999</v>
      </c>
      <c r="O64" s="102">
        <f t="shared" si="0"/>
        <v>6312917.8666666662</v>
      </c>
      <c r="P64" s="116">
        <f t="shared" si="34"/>
        <v>631291.78666666662</v>
      </c>
      <c r="Q64" s="102">
        <f t="shared" si="35"/>
        <v>119945.43946666666</v>
      </c>
      <c r="R64" s="102">
        <f t="shared" si="3"/>
        <v>6432863</v>
      </c>
      <c r="S64" s="105"/>
      <c r="T64" s="33"/>
      <c r="U64" s="33"/>
      <c r="V64" s="35"/>
      <c r="W64" s="35"/>
      <c r="X64" s="108">
        <v>19376195.365416184</v>
      </c>
      <c r="Y64" s="109">
        <f t="shared" si="4"/>
        <v>12943332.365416184</v>
      </c>
      <c r="Z64" s="34"/>
      <c r="AA64" s="108">
        <f t="shared" si="36"/>
        <v>6432863</v>
      </c>
      <c r="AB64" s="110">
        <v>10636447.008159766</v>
      </c>
      <c r="AC64" s="110">
        <f t="shared" si="37"/>
        <v>4203584.008159766</v>
      </c>
      <c r="AD64" s="41">
        <f t="shared" si="38"/>
        <v>8509157.6065278128</v>
      </c>
      <c r="AE64" s="41">
        <f t="shared" si="39"/>
        <v>-2076294.6065278128</v>
      </c>
    </row>
    <row r="65" spans="2:31" ht="15.75" hidden="1" customHeight="1" x14ac:dyDescent="0.25">
      <c r="B65" s="278"/>
      <c r="C65" s="278"/>
      <c r="D65" s="278"/>
      <c r="E65" s="7"/>
      <c r="F65" s="7"/>
      <c r="G65" s="7" t="s">
        <v>342</v>
      </c>
      <c r="H65" s="7" t="s">
        <v>343</v>
      </c>
      <c r="I65" s="7" t="s">
        <v>338</v>
      </c>
      <c r="J65" s="8">
        <v>16</v>
      </c>
      <c r="K65" s="101">
        <v>1</v>
      </c>
      <c r="L65" s="102">
        <f t="shared" si="40"/>
        <v>10959602</v>
      </c>
      <c r="M65" s="102">
        <f t="shared" si="41"/>
        <v>324.99</v>
      </c>
      <c r="N65" s="102">
        <f t="shared" si="33"/>
        <v>876794.15919999999</v>
      </c>
      <c r="O65" s="102">
        <f t="shared" si="0"/>
        <v>6312917.8666666662</v>
      </c>
      <c r="P65" s="116">
        <f t="shared" si="34"/>
        <v>631291.78666666662</v>
      </c>
      <c r="Q65" s="102">
        <f t="shared" si="35"/>
        <v>119945.43946666666</v>
      </c>
      <c r="R65" s="102">
        <f t="shared" si="3"/>
        <v>6432863</v>
      </c>
      <c r="S65" s="105"/>
      <c r="T65" s="33"/>
      <c r="U65" s="33"/>
      <c r="V65" s="35"/>
      <c r="W65" s="35"/>
      <c r="X65" s="108">
        <v>9507456.0183592662</v>
      </c>
      <c r="Y65" s="109">
        <f t="shared" si="4"/>
        <v>3074593.0183592662</v>
      </c>
      <c r="Z65" s="34"/>
      <c r="AA65" s="108">
        <f t="shared" si="36"/>
        <v>6432863</v>
      </c>
      <c r="AB65" s="110">
        <v>10636447.008159766</v>
      </c>
      <c r="AC65" s="110">
        <f t="shared" si="37"/>
        <v>4203584.008159766</v>
      </c>
      <c r="AD65" s="41">
        <f t="shared" si="38"/>
        <v>8509157.6065278128</v>
      </c>
      <c r="AE65" s="41">
        <f t="shared" si="39"/>
        <v>-2076294.6065278128</v>
      </c>
    </row>
    <row r="66" spans="2:31" ht="15.75" hidden="1" customHeight="1" x14ac:dyDescent="0.25">
      <c r="B66" s="278"/>
      <c r="C66" s="278"/>
      <c r="D66" s="278"/>
      <c r="E66" s="7"/>
      <c r="F66" s="7" t="s">
        <v>267</v>
      </c>
      <c r="G66" s="7" t="s">
        <v>344</v>
      </c>
      <c r="H66" s="7" t="s">
        <v>345</v>
      </c>
      <c r="I66" s="7" t="s">
        <v>338</v>
      </c>
      <c r="J66" s="8">
        <v>16</v>
      </c>
      <c r="K66" s="101">
        <v>2</v>
      </c>
      <c r="L66" s="102">
        <f t="shared" si="40"/>
        <v>10959602</v>
      </c>
      <c r="M66" s="102">
        <f t="shared" si="41"/>
        <v>324.99</v>
      </c>
      <c r="N66" s="102">
        <f t="shared" si="33"/>
        <v>876794.15919999999</v>
      </c>
      <c r="O66" s="102">
        <f t="shared" si="0"/>
        <v>12625835.733333332</v>
      </c>
      <c r="P66" s="116">
        <f t="shared" si="34"/>
        <v>1262583.5733333332</v>
      </c>
      <c r="Q66" s="102">
        <f t="shared" si="35"/>
        <v>239890.87893333333</v>
      </c>
      <c r="R66" s="102">
        <f t="shared" si="3"/>
        <v>12865727</v>
      </c>
      <c r="S66" s="105"/>
      <c r="T66" s="33"/>
      <c r="U66" s="33"/>
      <c r="V66" s="35"/>
      <c r="W66" s="35"/>
      <c r="X66" s="108">
        <v>4703841.6785409814</v>
      </c>
      <c r="Y66" s="109">
        <f t="shared" si="4"/>
        <v>-8161885.3214590186</v>
      </c>
      <c r="Z66" s="34"/>
      <c r="AA66" s="108">
        <f t="shared" si="36"/>
        <v>12865727</v>
      </c>
      <c r="AB66" s="110">
        <v>21272894.016319532</v>
      </c>
      <c r="AC66" s="110">
        <f t="shared" si="37"/>
        <v>8407167.0163195319</v>
      </c>
      <c r="AD66" s="41">
        <f t="shared" si="38"/>
        <v>17018315.213055626</v>
      </c>
      <c r="AE66" s="41">
        <f t="shared" si="39"/>
        <v>-4152588.2130556256</v>
      </c>
    </row>
    <row r="67" spans="2:31" ht="15.75" hidden="1" customHeight="1" x14ac:dyDescent="0.25">
      <c r="B67" s="278"/>
      <c r="C67" s="278"/>
      <c r="D67" s="278"/>
      <c r="E67" s="7"/>
      <c r="F67" s="7" t="s">
        <v>267</v>
      </c>
      <c r="G67" s="7" t="s">
        <v>346</v>
      </c>
      <c r="H67" s="7" t="s">
        <v>343</v>
      </c>
      <c r="I67" s="7" t="s">
        <v>338</v>
      </c>
      <c r="J67" s="8">
        <v>16</v>
      </c>
      <c r="K67" s="101">
        <v>1</v>
      </c>
      <c r="L67" s="102">
        <f t="shared" si="40"/>
        <v>10959602</v>
      </c>
      <c r="M67" s="102">
        <f t="shared" si="41"/>
        <v>324.99</v>
      </c>
      <c r="N67" s="102">
        <f t="shared" si="33"/>
        <v>876794.15919999999</v>
      </c>
      <c r="O67" s="102">
        <f t="shared" si="0"/>
        <v>6312917.8666666662</v>
      </c>
      <c r="P67" s="116">
        <f t="shared" si="34"/>
        <v>631291.78666666662</v>
      </c>
      <c r="Q67" s="102">
        <f t="shared" si="35"/>
        <v>119945.43946666666</v>
      </c>
      <c r="R67" s="102">
        <f t="shared" si="3"/>
        <v>6432863</v>
      </c>
      <c r="S67" s="105"/>
      <c r="T67" s="33"/>
      <c r="U67" s="33"/>
      <c r="V67" s="35"/>
      <c r="W67" s="35"/>
      <c r="X67" s="108">
        <v>10636447.008159766</v>
      </c>
      <c r="Y67" s="109">
        <f t="shared" si="4"/>
        <v>4203584.008159766</v>
      </c>
      <c r="Z67" s="34"/>
      <c r="AA67" s="108">
        <f t="shared" si="36"/>
        <v>6432863</v>
      </c>
      <c r="AB67" s="110">
        <v>10636447.008159766</v>
      </c>
      <c r="AC67" s="110">
        <f t="shared" si="37"/>
        <v>4203584.008159766</v>
      </c>
      <c r="AD67" s="41">
        <f t="shared" si="38"/>
        <v>8509157.6065278128</v>
      </c>
      <c r="AE67" s="41">
        <f t="shared" si="39"/>
        <v>-2076294.6065278128</v>
      </c>
    </row>
    <row r="68" spans="2:31" ht="14.25" hidden="1" customHeight="1" x14ac:dyDescent="0.25">
      <c r="B68" s="278"/>
      <c r="C68" s="278"/>
      <c r="D68" s="276"/>
      <c r="E68" s="7"/>
      <c r="F68" s="7" t="s">
        <v>402</v>
      </c>
      <c r="G68" s="7" t="s">
        <v>348</v>
      </c>
      <c r="H68" s="7" t="s">
        <v>349</v>
      </c>
      <c r="I68" s="7" t="s">
        <v>338</v>
      </c>
      <c r="J68" s="8">
        <v>16</v>
      </c>
      <c r="K68" s="101">
        <v>6</v>
      </c>
      <c r="L68" s="102">
        <f>9.06*1160000</f>
        <v>10509600</v>
      </c>
      <c r="M68" s="102">
        <f t="shared" si="41"/>
        <v>324.99</v>
      </c>
      <c r="N68" s="102">
        <f t="shared" si="33"/>
        <v>840793.99920000008</v>
      </c>
      <c r="O68" s="102">
        <f t="shared" si="0"/>
        <v>36322300.799999997</v>
      </c>
      <c r="P68" s="116">
        <f t="shared" si="34"/>
        <v>3632230.08</v>
      </c>
      <c r="Q68" s="102">
        <f t="shared" si="35"/>
        <v>690123.71519999998</v>
      </c>
      <c r="R68" s="102">
        <f t="shared" si="3"/>
        <v>37012425</v>
      </c>
      <c r="S68" s="105"/>
      <c r="T68" s="33"/>
      <c r="U68" s="33"/>
      <c r="V68" s="35"/>
      <c r="W68" s="35"/>
      <c r="X68" s="108">
        <v>10636447.008159766</v>
      </c>
      <c r="Y68" s="109">
        <f t="shared" si="4"/>
        <v>-26375977.991840236</v>
      </c>
      <c r="Z68" s="34"/>
      <c r="AA68" s="108">
        <f t="shared" si="36"/>
        <v>37012425</v>
      </c>
      <c r="AB68" s="110">
        <v>106364470.08159767</v>
      </c>
      <c r="AC68" s="110">
        <f t="shared" si="37"/>
        <v>69352045.081597671</v>
      </c>
      <c r="AD68" s="41">
        <f t="shared" si="38"/>
        <v>85091576.065278143</v>
      </c>
      <c r="AE68" s="41">
        <f t="shared" si="39"/>
        <v>-48079151.065278143</v>
      </c>
    </row>
    <row r="69" spans="2:31" ht="15.75" hidden="1" customHeight="1" x14ac:dyDescent="0.25">
      <c r="B69" s="278"/>
      <c r="C69" s="278"/>
      <c r="D69" s="301" t="s">
        <v>279</v>
      </c>
      <c r="E69" s="7" t="s">
        <v>280</v>
      </c>
      <c r="F69" s="7" t="s">
        <v>281</v>
      </c>
      <c r="G69" s="7" t="s">
        <v>350</v>
      </c>
      <c r="H69" s="7" t="s">
        <v>351</v>
      </c>
      <c r="I69" s="7" t="s">
        <v>338</v>
      </c>
      <c r="J69" s="8">
        <v>16</v>
      </c>
      <c r="K69" s="101">
        <v>1</v>
      </c>
      <c r="L69" s="102">
        <f>9.06*1160000+2+450000</f>
        <v>10959602</v>
      </c>
      <c r="M69" s="102">
        <f t="shared" si="41"/>
        <v>324.99</v>
      </c>
      <c r="N69" s="102">
        <f t="shared" si="33"/>
        <v>876794.15919999999</v>
      </c>
      <c r="O69" s="102">
        <f t="shared" si="0"/>
        <v>6312917.8666666662</v>
      </c>
      <c r="P69" s="116">
        <f t="shared" si="34"/>
        <v>631291.78666666662</v>
      </c>
      <c r="Q69" s="102">
        <f t="shared" si="35"/>
        <v>119945.43946666666</v>
      </c>
      <c r="R69" s="102">
        <f t="shared" si="3"/>
        <v>6432863</v>
      </c>
      <c r="S69" s="105"/>
      <c r="T69" s="33"/>
      <c r="U69" s="33"/>
      <c r="V69" s="35"/>
      <c r="W69" s="35"/>
      <c r="X69" s="108">
        <v>21272894.016319532</v>
      </c>
      <c r="Y69" s="109">
        <f t="shared" si="4"/>
        <v>14840031.016319532</v>
      </c>
      <c r="Z69" s="34"/>
      <c r="AA69" s="108">
        <f t="shared" si="36"/>
        <v>6432863</v>
      </c>
      <c r="AB69" s="110">
        <v>10636447.008159766</v>
      </c>
      <c r="AC69" s="110">
        <f t="shared" si="37"/>
        <v>4203584.008159766</v>
      </c>
      <c r="AD69" s="41">
        <f t="shared" si="38"/>
        <v>8509157.6065278128</v>
      </c>
      <c r="AE69" s="41">
        <f t="shared" si="39"/>
        <v>-2076294.6065278128</v>
      </c>
    </row>
    <row r="70" spans="2:31" ht="15.75" hidden="1" customHeight="1" x14ac:dyDescent="0.25">
      <c r="B70" s="278"/>
      <c r="C70" s="278"/>
      <c r="D70" s="276"/>
      <c r="E70" s="7"/>
      <c r="F70" s="7"/>
      <c r="G70" s="7" t="s">
        <v>352</v>
      </c>
      <c r="H70" s="7" t="s">
        <v>353</v>
      </c>
      <c r="I70" s="7" t="s">
        <v>338</v>
      </c>
      <c r="J70" s="8">
        <v>16</v>
      </c>
      <c r="K70" s="101">
        <v>1</v>
      </c>
      <c r="L70" s="102">
        <f>(9.06*1160000*55.97%)+(9.06*1160000*44.03%/9*1)</f>
        <v>6396376.1066666665</v>
      </c>
      <c r="M70" s="102">
        <f>+(V$9*55.97%)+(V9*44.03%/9*1)</f>
        <v>197.79613600000002</v>
      </c>
      <c r="N70" s="102">
        <f t="shared" si="33"/>
        <v>511725.91222421336</v>
      </c>
      <c r="O70" s="102">
        <f t="shared" si="0"/>
        <v>3684426.6666666665</v>
      </c>
      <c r="P70" s="116">
        <f t="shared" si="34"/>
        <v>368442.66666666669</v>
      </c>
      <c r="Q70" s="102">
        <f t="shared" si="35"/>
        <v>70004.106666666674</v>
      </c>
      <c r="R70" s="102">
        <f t="shared" si="3"/>
        <v>3754431</v>
      </c>
      <c r="S70" s="105"/>
      <c r="T70" s="33"/>
      <c r="U70" s="33"/>
      <c r="V70" s="35"/>
      <c r="W70" s="35"/>
      <c r="X70" s="108">
        <v>10636447.008159766</v>
      </c>
      <c r="Y70" s="109">
        <f t="shared" si="4"/>
        <v>6882016.008159766</v>
      </c>
      <c r="Z70" s="34"/>
      <c r="AA70" s="108">
        <f t="shared" si="36"/>
        <v>3754431</v>
      </c>
      <c r="AB70" s="110">
        <v>7737445.0613655103</v>
      </c>
      <c r="AC70" s="110">
        <f t="shared" si="37"/>
        <v>3983014.0613655103</v>
      </c>
      <c r="AD70" s="41">
        <f t="shared" si="38"/>
        <v>6189956.0490924083</v>
      </c>
      <c r="AE70" s="41">
        <f t="shared" si="39"/>
        <v>-2435525.0490924083</v>
      </c>
    </row>
    <row r="71" spans="2:31" ht="15.75" hidden="1" customHeight="1" x14ac:dyDescent="0.25">
      <c r="B71" s="278"/>
      <c r="C71" s="278"/>
      <c r="D71" s="301" t="s">
        <v>278</v>
      </c>
      <c r="E71" s="7" t="s">
        <v>286</v>
      </c>
      <c r="F71" s="7" t="s">
        <v>287</v>
      </c>
      <c r="G71" s="7" t="s">
        <v>354</v>
      </c>
      <c r="H71" s="7" t="s">
        <v>355</v>
      </c>
      <c r="I71" s="7" t="s">
        <v>338</v>
      </c>
      <c r="J71" s="8">
        <v>16</v>
      </c>
      <c r="K71" s="101">
        <v>1</v>
      </c>
      <c r="L71" s="102">
        <f>(9.06*1160000*55.97%)+(9.06*1160000*44.03%/9*1)+2</f>
        <v>6396378.1066666665</v>
      </c>
      <c r="M71" s="102">
        <f>+(V$9*55.97%)+(V9*44.03%/9*1)</f>
        <v>197.79613600000002</v>
      </c>
      <c r="N71" s="102">
        <f t="shared" si="33"/>
        <v>511726.07222421333</v>
      </c>
      <c r="O71" s="102">
        <f t="shared" si="0"/>
        <v>3684427.7333333334</v>
      </c>
      <c r="P71" s="116">
        <f t="shared" si="34"/>
        <v>368442.77333333337</v>
      </c>
      <c r="Q71" s="102">
        <f t="shared" si="35"/>
        <v>70004.126933333348</v>
      </c>
      <c r="R71" s="102">
        <f t="shared" si="3"/>
        <v>3754432</v>
      </c>
      <c r="S71" s="105"/>
      <c r="T71" s="33"/>
      <c r="U71" s="33"/>
      <c r="V71" s="35"/>
      <c r="W71" s="35"/>
      <c r="X71" s="108">
        <v>106364470.08159767</v>
      </c>
      <c r="Y71" s="109">
        <f t="shared" si="4"/>
        <v>102610038.08159767</v>
      </c>
      <c r="Z71" s="34"/>
      <c r="AA71" s="108">
        <f t="shared" si="36"/>
        <v>3754432</v>
      </c>
      <c r="AB71" s="110">
        <v>6230950.2164377533</v>
      </c>
      <c r="AC71" s="110">
        <f t="shared" si="37"/>
        <v>2476518.2164377533</v>
      </c>
      <c r="AD71" s="41">
        <f t="shared" si="38"/>
        <v>4984760.1731502032</v>
      </c>
      <c r="AE71" s="41">
        <f t="shared" si="39"/>
        <v>-1230328.1731502032</v>
      </c>
    </row>
    <row r="72" spans="2:31" ht="15.75" hidden="1" customHeight="1" x14ac:dyDescent="0.25">
      <c r="B72" s="278"/>
      <c r="C72" s="278"/>
      <c r="D72" s="276"/>
      <c r="E72" s="7"/>
      <c r="F72" s="7"/>
      <c r="G72" s="7" t="s">
        <v>340</v>
      </c>
      <c r="H72" s="7" t="s">
        <v>356</v>
      </c>
      <c r="I72" s="7" t="s">
        <v>338</v>
      </c>
      <c r="J72" s="8">
        <v>16</v>
      </c>
      <c r="K72" s="101">
        <v>1</v>
      </c>
      <c r="L72" s="102">
        <f t="shared" ref="L72:L74" si="42">9.06*1160000+2+450000</f>
        <v>10959602</v>
      </c>
      <c r="M72" s="102">
        <f t="shared" ref="M72:M76" si="43">+V$9</f>
        <v>324.99</v>
      </c>
      <c r="N72" s="102">
        <f t="shared" si="33"/>
        <v>876794.15919999999</v>
      </c>
      <c r="O72" s="102">
        <f t="shared" si="0"/>
        <v>6312917.8666666662</v>
      </c>
      <c r="P72" s="116">
        <f t="shared" si="34"/>
        <v>631291.78666666662</v>
      </c>
      <c r="Q72" s="102">
        <f t="shared" si="35"/>
        <v>119945.43946666666</v>
      </c>
      <c r="R72" s="102">
        <f t="shared" si="3"/>
        <v>6432863</v>
      </c>
      <c r="S72" s="105"/>
      <c r="T72" s="33"/>
      <c r="U72" s="33"/>
      <c r="V72" s="35"/>
      <c r="W72" s="35"/>
      <c r="X72" s="108">
        <v>10636447.008159766</v>
      </c>
      <c r="Y72" s="109">
        <f t="shared" si="4"/>
        <v>4203584.008159766</v>
      </c>
      <c r="Z72" s="34"/>
      <c r="AA72" s="108">
        <f t="shared" si="36"/>
        <v>6432863</v>
      </c>
      <c r="AB72" s="110">
        <v>10636447.008159766</v>
      </c>
      <c r="AC72" s="110">
        <f t="shared" si="37"/>
        <v>4203584.008159766</v>
      </c>
      <c r="AD72" s="41">
        <f t="shared" si="38"/>
        <v>8509157.6065278128</v>
      </c>
      <c r="AE72" s="41">
        <f t="shared" si="39"/>
        <v>-2076294.6065278128</v>
      </c>
    </row>
    <row r="73" spans="2:31" ht="15.75" hidden="1" customHeight="1" x14ac:dyDescent="0.25">
      <c r="B73" s="278"/>
      <c r="C73" s="278"/>
      <c r="D73" s="301" t="s">
        <v>140</v>
      </c>
      <c r="E73" s="7" t="s">
        <v>141</v>
      </c>
      <c r="F73" s="7" t="s">
        <v>289</v>
      </c>
      <c r="G73" s="7" t="s">
        <v>340</v>
      </c>
      <c r="H73" s="7" t="s">
        <v>357</v>
      </c>
      <c r="I73" s="7" t="s">
        <v>338</v>
      </c>
      <c r="J73" s="8">
        <v>16</v>
      </c>
      <c r="K73" s="101">
        <v>1</v>
      </c>
      <c r="L73" s="102">
        <f t="shared" si="42"/>
        <v>10959602</v>
      </c>
      <c r="M73" s="102">
        <f t="shared" si="43"/>
        <v>324.99</v>
      </c>
      <c r="N73" s="102">
        <f t="shared" si="33"/>
        <v>876794.15919999999</v>
      </c>
      <c r="O73" s="102">
        <f t="shared" si="0"/>
        <v>6312917.8666666662</v>
      </c>
      <c r="P73" s="118">
        <v>0</v>
      </c>
      <c r="Q73" s="119">
        <v>0</v>
      </c>
      <c r="R73" s="102">
        <f t="shared" si="3"/>
        <v>6312918</v>
      </c>
      <c r="S73" s="105"/>
      <c r="T73" s="33"/>
      <c r="U73" s="33"/>
      <c r="V73" s="35"/>
      <c r="W73" s="35"/>
      <c r="X73" s="108">
        <v>7737445.0613655103</v>
      </c>
      <c r="Y73" s="109">
        <f t="shared" si="4"/>
        <v>1424527.0613655103</v>
      </c>
      <c r="Z73" s="34"/>
      <c r="AA73" s="108">
        <f t="shared" si="36"/>
        <v>6312918</v>
      </c>
      <c r="AB73" s="110">
        <v>10438122.677291233</v>
      </c>
      <c r="AC73" s="110">
        <f t="shared" si="37"/>
        <v>4125204.6772912331</v>
      </c>
      <c r="AD73" s="41">
        <f t="shared" si="38"/>
        <v>8350498.1418329868</v>
      </c>
      <c r="AE73" s="41">
        <f t="shared" si="39"/>
        <v>-2037580.1418329868</v>
      </c>
    </row>
    <row r="74" spans="2:31" ht="15.75" hidden="1" customHeight="1" x14ac:dyDescent="0.25">
      <c r="B74" s="278"/>
      <c r="C74" s="278"/>
      <c r="D74" s="276"/>
      <c r="E74" s="7"/>
      <c r="F74" s="7"/>
      <c r="G74" s="7" t="s">
        <v>358</v>
      </c>
      <c r="H74" s="7" t="s">
        <v>359</v>
      </c>
      <c r="I74" s="7" t="s">
        <v>338</v>
      </c>
      <c r="J74" s="8">
        <v>16</v>
      </c>
      <c r="K74" s="101">
        <v>2</v>
      </c>
      <c r="L74" s="102">
        <f t="shared" si="42"/>
        <v>10959602</v>
      </c>
      <c r="M74" s="102">
        <f t="shared" si="43"/>
        <v>324.99</v>
      </c>
      <c r="N74" s="102">
        <f t="shared" si="33"/>
        <v>876794.15919999999</v>
      </c>
      <c r="O74" s="102">
        <f t="shared" si="0"/>
        <v>12625835.733333332</v>
      </c>
      <c r="P74" s="118">
        <v>0</v>
      </c>
      <c r="Q74" s="119">
        <v>0</v>
      </c>
      <c r="R74" s="102">
        <f t="shared" si="3"/>
        <v>12625836</v>
      </c>
      <c r="S74" s="105"/>
      <c r="T74" s="33"/>
      <c r="U74" s="33"/>
      <c r="V74" s="35"/>
      <c r="W74" s="35"/>
      <c r="X74" s="108">
        <v>6230950.2164377533</v>
      </c>
      <c r="Y74" s="109">
        <f t="shared" si="4"/>
        <v>-6394885.7835622467</v>
      </c>
      <c r="Z74" s="34"/>
      <c r="AA74" s="108">
        <f t="shared" si="36"/>
        <v>12625836</v>
      </c>
      <c r="AB74" s="110">
        <v>20876245.354582466</v>
      </c>
      <c r="AC74" s="110">
        <f t="shared" si="37"/>
        <v>8250409.3545824662</v>
      </c>
      <c r="AD74" s="41">
        <f t="shared" si="38"/>
        <v>16700996.283665974</v>
      </c>
      <c r="AE74" s="41">
        <f t="shared" si="39"/>
        <v>-4075160.2836659737</v>
      </c>
    </row>
    <row r="75" spans="2:31" ht="15.75" hidden="1" customHeight="1" x14ac:dyDescent="0.25">
      <c r="B75" s="278"/>
      <c r="C75" s="278"/>
      <c r="D75" s="301" t="s">
        <v>292</v>
      </c>
      <c r="E75" s="7" t="s">
        <v>293</v>
      </c>
      <c r="F75" s="7" t="s">
        <v>294</v>
      </c>
      <c r="G75" s="7" t="s">
        <v>360</v>
      </c>
      <c r="H75" s="7" t="s">
        <v>361</v>
      </c>
      <c r="I75" s="7" t="s">
        <v>338</v>
      </c>
      <c r="J75" s="8">
        <v>16</v>
      </c>
      <c r="K75" s="101">
        <v>1</v>
      </c>
      <c r="L75" s="102">
        <f>9.06*1160000+2</f>
        <v>10509602</v>
      </c>
      <c r="M75" s="102">
        <f t="shared" si="43"/>
        <v>324.99</v>
      </c>
      <c r="N75" s="102">
        <f t="shared" si="33"/>
        <v>840794.15919999999</v>
      </c>
      <c r="O75" s="102">
        <f t="shared" si="0"/>
        <v>6053717.8666666662</v>
      </c>
      <c r="P75" s="116">
        <f t="shared" ref="P75:P83" si="44">+O75*10%</f>
        <v>605371.78666666662</v>
      </c>
      <c r="Q75" s="102">
        <f t="shared" ref="Q75:Q83" si="45">+P75*19%</f>
        <v>115020.63946666666</v>
      </c>
      <c r="R75" s="102">
        <f t="shared" si="3"/>
        <v>6168739</v>
      </c>
      <c r="S75" s="105"/>
      <c r="T75" s="33"/>
      <c r="U75" s="33"/>
      <c r="V75" s="35"/>
      <c r="W75" s="35"/>
      <c r="X75" s="108">
        <v>10636447.008159766</v>
      </c>
      <c r="Y75" s="109">
        <f t="shared" si="4"/>
        <v>4467708.008159766</v>
      </c>
      <c r="Z75" s="34"/>
      <c r="AA75" s="108">
        <f t="shared" si="36"/>
        <v>6168739</v>
      </c>
      <c r="AB75" s="110">
        <v>10636447.008159766</v>
      </c>
      <c r="AC75" s="110">
        <f t="shared" si="37"/>
        <v>4467708.008159766</v>
      </c>
      <c r="AD75" s="41">
        <f t="shared" si="38"/>
        <v>8509157.6065278128</v>
      </c>
      <c r="AE75" s="41">
        <f t="shared" si="39"/>
        <v>-2340418.6065278128</v>
      </c>
    </row>
    <row r="76" spans="2:31" ht="15.75" hidden="1" customHeight="1" x14ac:dyDescent="0.25">
      <c r="B76" s="278"/>
      <c r="C76" s="278"/>
      <c r="D76" s="278"/>
      <c r="E76" s="7"/>
      <c r="F76" s="7"/>
      <c r="G76" s="7" t="s">
        <v>340</v>
      </c>
      <c r="H76" s="7" t="s">
        <v>362</v>
      </c>
      <c r="I76" s="7" t="s">
        <v>338</v>
      </c>
      <c r="J76" s="8">
        <v>16</v>
      </c>
      <c r="K76" s="101">
        <v>1</v>
      </c>
      <c r="L76" s="102">
        <f>9.06*1160000+2+450000</f>
        <v>10959602</v>
      </c>
      <c r="M76" s="102">
        <f t="shared" si="43"/>
        <v>324.99</v>
      </c>
      <c r="N76" s="102">
        <f t="shared" si="33"/>
        <v>876794.15919999999</v>
      </c>
      <c r="O76" s="102">
        <f t="shared" si="0"/>
        <v>6312917.8666666662</v>
      </c>
      <c r="P76" s="116">
        <f t="shared" si="44"/>
        <v>631291.78666666662</v>
      </c>
      <c r="Q76" s="102">
        <f t="shared" si="45"/>
        <v>119945.43946666666</v>
      </c>
      <c r="R76" s="102">
        <f t="shared" si="3"/>
        <v>6432863</v>
      </c>
      <c r="S76" s="105"/>
      <c r="T76" s="33"/>
      <c r="U76" s="33"/>
      <c r="V76" s="35"/>
      <c r="W76" s="35"/>
      <c r="X76" s="108">
        <v>10438122.677291233</v>
      </c>
      <c r="Y76" s="109">
        <f t="shared" si="4"/>
        <v>4005259.6772912331</v>
      </c>
      <c r="Z76" s="34"/>
      <c r="AA76" s="108">
        <f t="shared" si="36"/>
        <v>6432863</v>
      </c>
      <c r="AB76" s="110">
        <v>10636447.008159766</v>
      </c>
      <c r="AC76" s="110">
        <f t="shared" si="37"/>
        <v>4203584.008159766</v>
      </c>
      <c r="AD76" s="41">
        <f t="shared" si="38"/>
        <v>8509157.6065278128</v>
      </c>
      <c r="AE76" s="41">
        <f t="shared" si="39"/>
        <v>-2076294.6065278128</v>
      </c>
    </row>
    <row r="77" spans="2:31" ht="15.75" hidden="1" customHeight="1" x14ac:dyDescent="0.25">
      <c r="B77" s="278"/>
      <c r="C77" s="278"/>
      <c r="D77" s="276"/>
      <c r="E77" s="7" t="s">
        <v>296</v>
      </c>
      <c r="F77" s="7" t="s">
        <v>363</v>
      </c>
      <c r="G77" s="7" t="s">
        <v>364</v>
      </c>
      <c r="H77" s="7" t="s">
        <v>365</v>
      </c>
      <c r="I77" s="7" t="s">
        <v>338</v>
      </c>
      <c r="J77" s="8">
        <v>16</v>
      </c>
      <c r="K77" s="101">
        <v>1</v>
      </c>
      <c r="L77" s="102">
        <f t="shared" ref="L77:L78" si="46">9.06*1160000*55.97%/15*12+2</f>
        <v>4705780.4959999993</v>
      </c>
      <c r="M77" s="102">
        <f t="shared" ref="M77:M78" si="47">+V$9*55.97%/15*12</f>
        <v>145.51752240000002</v>
      </c>
      <c r="N77" s="102">
        <f t="shared" si="33"/>
        <v>376474.08108179196</v>
      </c>
      <c r="O77" s="102">
        <f t="shared" si="0"/>
        <v>2710613.3333333335</v>
      </c>
      <c r="P77" s="116">
        <f t="shared" si="44"/>
        <v>271061.33333333337</v>
      </c>
      <c r="Q77" s="102">
        <f t="shared" si="45"/>
        <v>51501.653333333343</v>
      </c>
      <c r="R77" s="102">
        <f t="shared" si="3"/>
        <v>2762115</v>
      </c>
      <c r="S77" s="105"/>
      <c r="T77" s="33"/>
      <c r="U77" s="33"/>
      <c r="V77" s="35"/>
      <c r="W77" s="35"/>
      <c r="X77" s="108">
        <v>20876245.354582466</v>
      </c>
      <c r="Y77" s="109">
        <f t="shared" si="4"/>
        <v>18114130.354582466</v>
      </c>
      <c r="Z77" s="34"/>
      <c r="AA77" s="108">
        <f t="shared" si="36"/>
        <v>2762115</v>
      </c>
      <c r="AB77" s="110">
        <v>5202345.3234609812</v>
      </c>
      <c r="AC77" s="110">
        <f t="shared" si="37"/>
        <v>2440230.3234609812</v>
      </c>
      <c r="AD77" s="41">
        <f t="shared" si="38"/>
        <v>4161876.2587687853</v>
      </c>
      <c r="AE77" s="41">
        <f t="shared" si="39"/>
        <v>-1399761.2587687853</v>
      </c>
    </row>
    <row r="78" spans="2:31" ht="15.75" hidden="1" customHeight="1" x14ac:dyDescent="0.25">
      <c r="B78" s="278"/>
      <c r="C78" s="278"/>
      <c r="D78" s="301" t="s">
        <v>300</v>
      </c>
      <c r="E78" s="7" t="s">
        <v>301</v>
      </c>
      <c r="F78" s="7" t="s">
        <v>302</v>
      </c>
      <c r="G78" s="7" t="s">
        <v>366</v>
      </c>
      <c r="H78" s="7" t="s">
        <v>367</v>
      </c>
      <c r="I78" s="7" t="s">
        <v>338</v>
      </c>
      <c r="J78" s="8">
        <v>16</v>
      </c>
      <c r="K78" s="101">
        <v>1</v>
      </c>
      <c r="L78" s="102">
        <f t="shared" si="46"/>
        <v>4705780.4959999993</v>
      </c>
      <c r="M78" s="102">
        <f t="shared" si="47"/>
        <v>145.51752240000002</v>
      </c>
      <c r="N78" s="102">
        <f t="shared" si="33"/>
        <v>376474.08108179196</v>
      </c>
      <c r="O78" s="102">
        <f t="shared" si="0"/>
        <v>2710613.3333333335</v>
      </c>
      <c r="P78" s="116">
        <f t="shared" si="44"/>
        <v>271061.33333333337</v>
      </c>
      <c r="Q78" s="102">
        <f t="shared" si="45"/>
        <v>51501.653333333343</v>
      </c>
      <c r="R78" s="102">
        <f t="shared" si="3"/>
        <v>2762115</v>
      </c>
      <c r="S78" s="105"/>
      <c r="T78" s="33"/>
      <c r="U78" s="33"/>
      <c r="V78" s="35"/>
      <c r="W78" s="35"/>
      <c r="X78" s="108">
        <v>10636447.008159766</v>
      </c>
      <c r="Y78" s="109">
        <f t="shared" si="4"/>
        <v>7874332.008159766</v>
      </c>
      <c r="Z78" s="34"/>
      <c r="AA78" s="108">
        <f t="shared" si="36"/>
        <v>2762115</v>
      </c>
      <c r="AB78" s="110">
        <v>4703841.6785409814</v>
      </c>
      <c r="AC78" s="110">
        <f t="shared" si="37"/>
        <v>1941726.6785409814</v>
      </c>
      <c r="AD78" s="41">
        <f t="shared" si="38"/>
        <v>3763073.3428327851</v>
      </c>
      <c r="AE78" s="41">
        <f t="shared" si="39"/>
        <v>-1000958.3428327851</v>
      </c>
    </row>
    <row r="79" spans="2:31" ht="15.75" hidden="1" customHeight="1" x14ac:dyDescent="0.25">
      <c r="B79" s="278"/>
      <c r="C79" s="278"/>
      <c r="D79" s="276"/>
      <c r="E79" s="7"/>
      <c r="F79" s="7"/>
      <c r="G79" s="7" t="s">
        <v>368</v>
      </c>
      <c r="H79" s="7" t="s">
        <v>369</v>
      </c>
      <c r="I79" s="7" t="s">
        <v>338</v>
      </c>
      <c r="J79" s="8">
        <v>16</v>
      </c>
      <c r="K79" s="101">
        <v>1</v>
      </c>
      <c r="L79" s="102">
        <f>9.06*1160000+2+450000</f>
        <v>10959602</v>
      </c>
      <c r="M79" s="102">
        <f>+V$9</f>
        <v>324.99</v>
      </c>
      <c r="N79" s="102">
        <f t="shared" si="33"/>
        <v>876794.15919999999</v>
      </c>
      <c r="O79" s="102">
        <f t="shared" si="0"/>
        <v>6312917.8666666662</v>
      </c>
      <c r="P79" s="116">
        <f t="shared" si="44"/>
        <v>631291.78666666662</v>
      </c>
      <c r="Q79" s="102">
        <f t="shared" si="45"/>
        <v>119945.43946666666</v>
      </c>
      <c r="R79" s="102">
        <f t="shared" si="3"/>
        <v>6432863</v>
      </c>
      <c r="S79" s="105"/>
      <c r="T79" s="33"/>
      <c r="U79" s="33"/>
      <c r="V79" s="35"/>
      <c r="W79" s="35"/>
      <c r="X79" s="108">
        <v>10636447.008159766</v>
      </c>
      <c r="Y79" s="109">
        <f t="shared" si="4"/>
        <v>4203584.008159766</v>
      </c>
      <c r="Z79" s="34"/>
      <c r="AA79" s="108">
        <f t="shared" si="36"/>
        <v>6432863</v>
      </c>
      <c r="AB79" s="110">
        <v>10636447.008159766</v>
      </c>
      <c r="AC79" s="110">
        <f t="shared" si="37"/>
        <v>4203584.008159766</v>
      </c>
      <c r="AD79" s="41">
        <f t="shared" si="38"/>
        <v>8509157.6065278128</v>
      </c>
      <c r="AE79" s="41">
        <f t="shared" si="39"/>
        <v>-2076294.6065278128</v>
      </c>
    </row>
    <row r="80" spans="2:31" ht="15.75" hidden="1" customHeight="1" x14ac:dyDescent="0.25">
      <c r="B80" s="278"/>
      <c r="C80" s="278"/>
      <c r="D80" s="7" t="s">
        <v>279</v>
      </c>
      <c r="E80" s="7" t="s">
        <v>303</v>
      </c>
      <c r="F80" s="7" t="s">
        <v>304</v>
      </c>
      <c r="G80" s="7" t="s">
        <v>370</v>
      </c>
      <c r="H80" s="7" t="s">
        <v>371</v>
      </c>
      <c r="I80" s="7" t="s">
        <v>338</v>
      </c>
      <c r="J80" s="8">
        <v>16</v>
      </c>
      <c r="K80" s="101">
        <v>1</v>
      </c>
      <c r="L80" s="102">
        <f t="shared" ref="L80:L83" si="48">9.06*1160000*55.97%/15*12+2</f>
        <v>4705780.4959999993</v>
      </c>
      <c r="M80" s="102">
        <f t="shared" ref="M80:M83" si="49">+V$9*55.97%/15*12</f>
        <v>145.51752240000002</v>
      </c>
      <c r="N80" s="102">
        <f t="shared" si="33"/>
        <v>376474.08108179196</v>
      </c>
      <c r="O80" s="102">
        <f t="shared" si="0"/>
        <v>2710613.3333333335</v>
      </c>
      <c r="P80" s="116">
        <f t="shared" si="44"/>
        <v>271061.33333333337</v>
      </c>
      <c r="Q80" s="102">
        <f t="shared" si="45"/>
        <v>51501.653333333343</v>
      </c>
      <c r="R80" s="102">
        <f t="shared" si="3"/>
        <v>2762115</v>
      </c>
      <c r="S80" s="105"/>
      <c r="T80" s="33"/>
      <c r="U80" s="33"/>
      <c r="V80" s="35"/>
      <c r="W80" s="35"/>
      <c r="X80" s="108">
        <v>5202345.3234609812</v>
      </c>
      <c r="Y80" s="109">
        <f t="shared" si="4"/>
        <v>2440230.3234609812</v>
      </c>
      <c r="Z80" s="34"/>
      <c r="AA80" s="108">
        <f t="shared" si="36"/>
        <v>2762115</v>
      </c>
      <c r="AB80" s="110">
        <v>4703841.6785409814</v>
      </c>
      <c r="AC80" s="110">
        <f t="shared" si="37"/>
        <v>1941726.6785409814</v>
      </c>
      <c r="AD80" s="41">
        <f t="shared" si="38"/>
        <v>3763073.3428327851</v>
      </c>
      <c r="AE80" s="41">
        <f t="shared" si="39"/>
        <v>-1000958.3428327851</v>
      </c>
    </row>
    <row r="81" spans="2:31" ht="15.75" hidden="1" customHeight="1" x14ac:dyDescent="0.25">
      <c r="B81" s="278"/>
      <c r="C81" s="278"/>
      <c r="D81" s="301" t="s">
        <v>16</v>
      </c>
      <c r="E81" s="7" t="s">
        <v>275</v>
      </c>
      <c r="F81" s="7" t="s">
        <v>372</v>
      </c>
      <c r="G81" s="7" t="s">
        <v>370</v>
      </c>
      <c r="H81" s="7" t="s">
        <v>373</v>
      </c>
      <c r="I81" s="7" t="s">
        <v>338</v>
      </c>
      <c r="J81" s="8">
        <v>16</v>
      </c>
      <c r="K81" s="101">
        <v>1</v>
      </c>
      <c r="L81" s="102">
        <f t="shared" si="48"/>
        <v>4705780.4959999993</v>
      </c>
      <c r="M81" s="102">
        <f t="shared" si="49"/>
        <v>145.51752240000002</v>
      </c>
      <c r="N81" s="102">
        <f t="shared" si="33"/>
        <v>376474.08108179196</v>
      </c>
      <c r="O81" s="102">
        <f t="shared" si="0"/>
        <v>2710613.3333333335</v>
      </c>
      <c r="P81" s="116">
        <f t="shared" si="44"/>
        <v>271061.33333333337</v>
      </c>
      <c r="Q81" s="102">
        <f t="shared" si="45"/>
        <v>51501.653333333343</v>
      </c>
      <c r="R81" s="102">
        <f t="shared" si="3"/>
        <v>2762115</v>
      </c>
      <c r="S81" s="105"/>
      <c r="T81" s="33"/>
      <c r="U81" s="33"/>
      <c r="V81" s="35"/>
      <c r="W81" s="35"/>
      <c r="X81" s="108">
        <v>4703841.6785409814</v>
      </c>
      <c r="Y81" s="109">
        <f t="shared" si="4"/>
        <v>1941726.6785409814</v>
      </c>
      <c r="Z81" s="34"/>
      <c r="AA81" s="108">
        <f t="shared" si="36"/>
        <v>2762115</v>
      </c>
      <c r="AB81" s="110">
        <v>4703841.6785409814</v>
      </c>
      <c r="AC81" s="110">
        <f t="shared" si="37"/>
        <v>1941726.6785409814</v>
      </c>
      <c r="AD81" s="41">
        <f t="shared" si="38"/>
        <v>3763073.3428327851</v>
      </c>
      <c r="AE81" s="41">
        <f t="shared" si="39"/>
        <v>-1000958.3428327851</v>
      </c>
    </row>
    <row r="82" spans="2:31" ht="15.75" hidden="1" customHeight="1" x14ac:dyDescent="0.25">
      <c r="B82" s="278"/>
      <c r="C82" s="278"/>
      <c r="D82" s="276"/>
      <c r="E82" s="7" t="s">
        <v>170</v>
      </c>
      <c r="F82" s="7" t="s">
        <v>305</v>
      </c>
      <c r="G82" s="7" t="s">
        <v>370</v>
      </c>
      <c r="H82" s="7" t="s">
        <v>374</v>
      </c>
      <c r="I82" s="7" t="s">
        <v>338</v>
      </c>
      <c r="J82" s="8">
        <v>16</v>
      </c>
      <c r="K82" s="101">
        <v>1</v>
      </c>
      <c r="L82" s="102">
        <f t="shared" si="48"/>
        <v>4705780.4959999993</v>
      </c>
      <c r="M82" s="102">
        <f t="shared" si="49"/>
        <v>145.51752240000002</v>
      </c>
      <c r="N82" s="102">
        <f t="shared" si="33"/>
        <v>376474.08108179196</v>
      </c>
      <c r="O82" s="102">
        <f t="shared" si="0"/>
        <v>2710613.3333333335</v>
      </c>
      <c r="P82" s="116">
        <f t="shared" si="44"/>
        <v>271061.33333333337</v>
      </c>
      <c r="Q82" s="102">
        <f t="shared" si="45"/>
        <v>51501.653333333343</v>
      </c>
      <c r="R82" s="102">
        <f t="shared" si="3"/>
        <v>2762115</v>
      </c>
      <c r="S82" s="105"/>
      <c r="T82" s="33"/>
      <c r="U82" s="33"/>
      <c r="V82" s="35"/>
      <c r="W82" s="35"/>
      <c r="X82" s="108">
        <v>10636447.008159766</v>
      </c>
      <c r="Y82" s="109">
        <f t="shared" si="4"/>
        <v>7874332.008159766</v>
      </c>
      <c r="Z82" s="34"/>
      <c r="AA82" s="108">
        <f t="shared" si="36"/>
        <v>2762115</v>
      </c>
      <c r="AB82" s="110">
        <v>4703841.6785409814</v>
      </c>
      <c r="AC82" s="110">
        <f t="shared" si="37"/>
        <v>1941726.6785409814</v>
      </c>
      <c r="AD82" s="41">
        <f t="shared" si="38"/>
        <v>3763073.3428327851</v>
      </c>
      <c r="AE82" s="41">
        <f t="shared" si="39"/>
        <v>-1000958.3428327851</v>
      </c>
    </row>
    <row r="83" spans="2:31" ht="15.75" hidden="1" customHeight="1" x14ac:dyDescent="0.25">
      <c r="B83" s="278"/>
      <c r="C83" s="276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16</v>
      </c>
      <c r="K83" s="101">
        <v>1</v>
      </c>
      <c r="L83" s="102">
        <f t="shared" si="48"/>
        <v>4705780.4959999993</v>
      </c>
      <c r="M83" s="102">
        <f t="shared" si="49"/>
        <v>145.51752240000002</v>
      </c>
      <c r="N83" s="102">
        <f t="shared" si="33"/>
        <v>376474.08108179196</v>
      </c>
      <c r="O83" s="102">
        <f t="shared" si="0"/>
        <v>2710613.3333333335</v>
      </c>
      <c r="P83" s="116">
        <f t="shared" si="44"/>
        <v>271061.33333333337</v>
      </c>
      <c r="Q83" s="102">
        <f t="shared" si="45"/>
        <v>51501.653333333343</v>
      </c>
      <c r="R83" s="102">
        <f t="shared" si="3"/>
        <v>2762115</v>
      </c>
      <c r="S83" s="105"/>
      <c r="T83" s="33"/>
      <c r="U83" s="33"/>
      <c r="V83" s="35"/>
      <c r="W83" s="35"/>
      <c r="X83" s="108">
        <v>4703841.6785409814</v>
      </c>
      <c r="Y83" s="109">
        <f t="shared" si="4"/>
        <v>1941726.6785409814</v>
      </c>
      <c r="Z83" s="34"/>
      <c r="AA83" s="108">
        <f t="shared" si="36"/>
        <v>2762115</v>
      </c>
      <c r="AB83" s="110">
        <v>4703841.6785409814</v>
      </c>
      <c r="AC83" s="110">
        <f t="shared" si="37"/>
        <v>1941726.6785409814</v>
      </c>
      <c r="AD83" s="41">
        <f t="shared" si="38"/>
        <v>3763073.3428327851</v>
      </c>
      <c r="AE83" s="41">
        <f t="shared" si="39"/>
        <v>-1000958.3428327851</v>
      </c>
    </row>
    <row r="84" spans="2:31" ht="24" hidden="1" customHeight="1" x14ac:dyDescent="0.25">
      <c r="B84" s="278"/>
      <c r="C84" s="308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16</v>
      </c>
      <c r="K84" s="101">
        <v>1</v>
      </c>
      <c r="L84" s="102">
        <f>9.06*1160000+2+1500000</f>
        <v>12009602</v>
      </c>
      <c r="M84" s="103">
        <v>0</v>
      </c>
      <c r="N84" s="102">
        <f t="shared" si="33"/>
        <v>960768.16</v>
      </c>
      <c r="O84" s="102">
        <f t="shared" si="0"/>
        <v>6917530.666666667</v>
      </c>
      <c r="P84" s="118"/>
      <c r="Q84" s="102">
        <f t="shared" ref="Q84:Q86" si="50">+O84*19%</f>
        <v>1314330.8266666667</v>
      </c>
      <c r="R84" s="102">
        <f t="shared" si="3"/>
        <v>8231861</v>
      </c>
      <c r="S84" s="105"/>
      <c r="T84" s="33"/>
      <c r="U84" s="33"/>
      <c r="V84" s="35"/>
      <c r="W84" s="35"/>
      <c r="X84" s="108">
        <v>4703841.6785409814</v>
      </c>
      <c r="Y84" s="109">
        <f t="shared" si="4"/>
        <v>-3528019.3214590186</v>
      </c>
      <c r="Z84" s="34"/>
      <c r="AA84" s="108">
        <f t="shared" si="36"/>
        <v>8231861</v>
      </c>
      <c r="AB84" s="110">
        <v>15132691.2335071</v>
      </c>
      <c r="AC84" s="110">
        <f t="shared" si="37"/>
        <v>6900830.2335071005</v>
      </c>
      <c r="AD84" s="41">
        <f t="shared" si="38"/>
        <v>12106152.986805681</v>
      </c>
      <c r="AE84" s="41">
        <f t="shared" si="39"/>
        <v>-3874291.9868056811</v>
      </c>
    </row>
    <row r="85" spans="2:31" ht="15.75" hidden="1" customHeight="1" x14ac:dyDescent="0.25">
      <c r="B85" s="278"/>
      <c r="C85" s="278"/>
      <c r="D85" s="7" t="s">
        <v>279</v>
      </c>
      <c r="E85" s="5" t="s">
        <v>280</v>
      </c>
      <c r="F85" s="7" t="s">
        <v>383</v>
      </c>
      <c r="G85" s="302" t="s">
        <v>384</v>
      </c>
      <c r="H85" s="259"/>
      <c r="I85" s="260"/>
      <c r="J85" s="101">
        <v>0</v>
      </c>
      <c r="K85" s="101">
        <v>2</v>
      </c>
      <c r="L85" s="102">
        <f t="shared" ref="L85:L92" si="51">1867283.82</f>
        <v>1867283.82</v>
      </c>
      <c r="M85" s="103"/>
      <c r="N85" s="103"/>
      <c r="O85" s="102">
        <f t="shared" si="0"/>
        <v>0</v>
      </c>
      <c r="P85" s="103"/>
      <c r="Q85" s="103">
        <f t="shared" si="50"/>
        <v>0</v>
      </c>
      <c r="R85" s="104">
        <f t="shared" ref="R85:R92" si="52">+O85+Q85</f>
        <v>0</v>
      </c>
      <c r="S85" s="105"/>
      <c r="T85" s="33"/>
      <c r="U85" s="106"/>
      <c r="V85" s="107"/>
      <c r="W85" s="35"/>
      <c r="X85" s="108">
        <v>4703841.6785409814</v>
      </c>
      <c r="Y85" s="109">
        <f t="shared" si="4"/>
        <v>4703841.6785409814</v>
      </c>
      <c r="Z85" s="34"/>
      <c r="AA85" s="108">
        <f t="shared" si="36"/>
        <v>0</v>
      </c>
      <c r="AB85" s="110">
        <v>4284000</v>
      </c>
      <c r="AC85" s="110">
        <f t="shared" si="37"/>
        <v>4284000</v>
      </c>
      <c r="AD85" s="41">
        <f t="shared" si="38"/>
        <v>3427200</v>
      </c>
      <c r="AE85" s="41">
        <f t="shared" si="39"/>
        <v>-3427200</v>
      </c>
    </row>
    <row r="86" spans="2:31" ht="15.75" hidden="1" customHeight="1" x14ac:dyDescent="0.25">
      <c r="B86" s="278"/>
      <c r="C86" s="278"/>
      <c r="D86" s="5" t="s">
        <v>278</v>
      </c>
      <c r="E86" s="5" t="s">
        <v>286</v>
      </c>
      <c r="F86" s="7" t="s">
        <v>383</v>
      </c>
      <c r="G86" s="302" t="s">
        <v>384</v>
      </c>
      <c r="H86" s="259"/>
      <c r="I86" s="260"/>
      <c r="J86" s="101">
        <v>0</v>
      </c>
      <c r="K86" s="101">
        <v>2</v>
      </c>
      <c r="L86" s="102">
        <f t="shared" si="51"/>
        <v>1867283.82</v>
      </c>
      <c r="M86" s="103"/>
      <c r="N86" s="103"/>
      <c r="O86" s="102">
        <f t="shared" si="0"/>
        <v>0</v>
      </c>
      <c r="P86" s="103"/>
      <c r="Q86" s="103">
        <f t="shared" si="50"/>
        <v>0</v>
      </c>
      <c r="R86" s="104">
        <f t="shared" si="52"/>
        <v>0</v>
      </c>
      <c r="S86" s="105"/>
      <c r="T86" s="33"/>
      <c r="U86" s="35"/>
      <c r="V86" s="107"/>
      <c r="W86" s="35"/>
      <c r="X86" s="108">
        <v>4703841.6785409814</v>
      </c>
      <c r="Y86" s="109">
        <f t="shared" si="4"/>
        <v>4703841.6785409814</v>
      </c>
      <c r="Z86" s="34"/>
      <c r="AA86" s="108">
        <f t="shared" si="36"/>
        <v>0</v>
      </c>
      <c r="AB86" s="110">
        <v>4284000</v>
      </c>
      <c r="AC86" s="110">
        <f t="shared" si="37"/>
        <v>4284000</v>
      </c>
      <c r="AD86" s="41">
        <f t="shared" si="38"/>
        <v>3427200</v>
      </c>
      <c r="AE86" s="41">
        <f t="shared" si="39"/>
        <v>-3427200</v>
      </c>
    </row>
    <row r="87" spans="2:31" ht="15.75" hidden="1" customHeight="1" x14ac:dyDescent="0.25">
      <c r="B87" s="278"/>
      <c r="C87" s="278"/>
      <c r="D87" s="7" t="s">
        <v>140</v>
      </c>
      <c r="E87" s="5" t="s">
        <v>141</v>
      </c>
      <c r="F87" s="7" t="s">
        <v>383</v>
      </c>
      <c r="G87" s="302" t="s">
        <v>384</v>
      </c>
      <c r="H87" s="259"/>
      <c r="I87" s="260"/>
      <c r="J87" s="101">
        <v>0</v>
      </c>
      <c r="K87" s="101">
        <v>2</v>
      </c>
      <c r="L87" s="102">
        <f t="shared" si="51"/>
        <v>1867283.82</v>
      </c>
      <c r="M87" s="103"/>
      <c r="N87" s="103"/>
      <c r="O87" s="102">
        <f t="shared" si="0"/>
        <v>0</v>
      </c>
      <c r="P87" s="103"/>
      <c r="Q87" s="103"/>
      <c r="R87" s="104">
        <f t="shared" si="52"/>
        <v>0</v>
      </c>
      <c r="S87" s="105"/>
      <c r="T87" s="33"/>
      <c r="U87" s="35"/>
      <c r="V87" s="107"/>
      <c r="W87" s="35"/>
      <c r="X87" s="108">
        <v>15132691.2335071</v>
      </c>
      <c r="Y87" s="109">
        <f t="shared" si="4"/>
        <v>15132691.2335071</v>
      </c>
      <c r="Z87" s="34"/>
      <c r="AA87" s="108">
        <f t="shared" si="36"/>
        <v>0</v>
      </c>
      <c r="AB87" s="110">
        <v>4284000</v>
      </c>
      <c r="AC87" s="110">
        <f t="shared" si="37"/>
        <v>4284000</v>
      </c>
      <c r="AD87" s="41">
        <f t="shared" si="38"/>
        <v>3427200</v>
      </c>
      <c r="AE87" s="41">
        <f t="shared" si="39"/>
        <v>-3427200</v>
      </c>
    </row>
    <row r="88" spans="2:31" ht="15.75" hidden="1" customHeight="1" x14ac:dyDescent="0.25">
      <c r="B88" s="278"/>
      <c r="C88" s="278"/>
      <c r="D88" s="5" t="s">
        <v>292</v>
      </c>
      <c r="E88" s="5" t="s">
        <v>293</v>
      </c>
      <c r="F88" s="7" t="s">
        <v>383</v>
      </c>
      <c r="G88" s="302" t="s">
        <v>384</v>
      </c>
      <c r="H88" s="259"/>
      <c r="I88" s="260"/>
      <c r="J88" s="101">
        <v>0</v>
      </c>
      <c r="K88" s="101">
        <v>2</v>
      </c>
      <c r="L88" s="102">
        <f t="shared" si="51"/>
        <v>1867283.82</v>
      </c>
      <c r="M88" s="103"/>
      <c r="N88" s="103"/>
      <c r="O88" s="102">
        <f t="shared" si="0"/>
        <v>0</v>
      </c>
      <c r="P88" s="103"/>
      <c r="Q88" s="103">
        <f t="shared" ref="Q88:Q92" si="53">+O88*19%</f>
        <v>0</v>
      </c>
      <c r="R88" s="104">
        <f t="shared" si="52"/>
        <v>0</v>
      </c>
      <c r="S88" s="105"/>
      <c r="T88" s="33"/>
      <c r="U88" s="35"/>
      <c r="V88" s="107"/>
      <c r="W88" s="35"/>
      <c r="X88" s="108">
        <v>4284000</v>
      </c>
      <c r="Y88" s="109">
        <f t="shared" si="4"/>
        <v>4284000</v>
      </c>
      <c r="Z88" s="34"/>
      <c r="AA88" s="108">
        <f t="shared" si="36"/>
        <v>0</v>
      </c>
      <c r="AB88" s="110">
        <v>4284000</v>
      </c>
      <c r="AC88" s="110">
        <f t="shared" si="37"/>
        <v>4284000</v>
      </c>
      <c r="AD88" s="41">
        <f t="shared" si="38"/>
        <v>3427200</v>
      </c>
      <c r="AE88" s="41">
        <f t="shared" si="39"/>
        <v>-3427200</v>
      </c>
    </row>
    <row r="89" spans="2:31" ht="15.75" hidden="1" customHeight="1" x14ac:dyDescent="0.25">
      <c r="B89" s="278"/>
      <c r="C89" s="278"/>
      <c r="D89" s="7" t="s">
        <v>292</v>
      </c>
      <c r="E89" s="5" t="s">
        <v>296</v>
      </c>
      <c r="F89" s="7" t="s">
        <v>383</v>
      </c>
      <c r="G89" s="302" t="s">
        <v>384</v>
      </c>
      <c r="H89" s="259"/>
      <c r="I89" s="260"/>
      <c r="J89" s="101">
        <v>0</v>
      </c>
      <c r="K89" s="101">
        <v>2</v>
      </c>
      <c r="L89" s="102">
        <f t="shared" si="51"/>
        <v>1867283.82</v>
      </c>
      <c r="M89" s="103"/>
      <c r="N89" s="103"/>
      <c r="O89" s="102">
        <f t="shared" si="0"/>
        <v>0</v>
      </c>
      <c r="P89" s="103"/>
      <c r="Q89" s="103">
        <f t="shared" si="53"/>
        <v>0</v>
      </c>
      <c r="R89" s="104">
        <f t="shared" si="52"/>
        <v>0</v>
      </c>
      <c r="S89" s="105"/>
      <c r="T89" s="33"/>
      <c r="U89" s="35"/>
      <c r="V89" s="107"/>
      <c r="W89" s="35"/>
      <c r="X89" s="108">
        <v>4284000</v>
      </c>
      <c r="Y89" s="109">
        <f t="shared" si="4"/>
        <v>4284000</v>
      </c>
      <c r="Z89" s="34"/>
      <c r="AA89" s="108">
        <f t="shared" si="36"/>
        <v>0</v>
      </c>
      <c r="AB89" s="110">
        <v>4284000</v>
      </c>
      <c r="AC89" s="110">
        <f t="shared" si="37"/>
        <v>4284000</v>
      </c>
      <c r="AD89" s="41">
        <f t="shared" si="38"/>
        <v>3427200</v>
      </c>
      <c r="AE89" s="41">
        <f t="shared" si="39"/>
        <v>-3427200</v>
      </c>
    </row>
    <row r="90" spans="2:31" ht="15.75" hidden="1" customHeight="1" x14ac:dyDescent="0.25">
      <c r="B90" s="278"/>
      <c r="C90" s="278"/>
      <c r="D90" s="5" t="s">
        <v>300</v>
      </c>
      <c r="E90" s="5" t="s">
        <v>390</v>
      </c>
      <c r="F90" s="7" t="s">
        <v>383</v>
      </c>
      <c r="G90" s="302" t="s">
        <v>384</v>
      </c>
      <c r="H90" s="259"/>
      <c r="I90" s="260"/>
      <c r="J90" s="101">
        <v>0</v>
      </c>
      <c r="K90" s="101">
        <v>2</v>
      </c>
      <c r="L90" s="102">
        <f t="shared" si="51"/>
        <v>1867283.82</v>
      </c>
      <c r="M90" s="103"/>
      <c r="N90" s="103"/>
      <c r="O90" s="102">
        <f t="shared" si="0"/>
        <v>0</v>
      </c>
      <c r="P90" s="103"/>
      <c r="Q90" s="103">
        <f t="shared" si="53"/>
        <v>0</v>
      </c>
      <c r="R90" s="104">
        <f t="shared" si="52"/>
        <v>0</v>
      </c>
      <c r="S90" s="105"/>
      <c r="T90" s="33"/>
      <c r="U90" s="35"/>
      <c r="V90" s="107"/>
      <c r="W90" s="35"/>
      <c r="X90" s="108">
        <v>4284000</v>
      </c>
      <c r="Y90" s="109">
        <f t="shared" si="4"/>
        <v>4284000</v>
      </c>
      <c r="Z90" s="34"/>
      <c r="AA90" s="108">
        <f t="shared" si="36"/>
        <v>0</v>
      </c>
      <c r="AB90" s="110">
        <v>4284000</v>
      </c>
      <c r="AC90" s="110">
        <f t="shared" si="37"/>
        <v>4284000</v>
      </c>
      <c r="AD90" s="41">
        <f t="shared" si="38"/>
        <v>3427200</v>
      </c>
      <c r="AE90" s="41">
        <f t="shared" si="39"/>
        <v>-3427200</v>
      </c>
    </row>
    <row r="91" spans="2:31" ht="15.75" hidden="1" customHeight="1" x14ac:dyDescent="0.25">
      <c r="B91" s="278"/>
      <c r="C91" s="278"/>
      <c r="D91" s="7" t="s">
        <v>279</v>
      </c>
      <c r="E91" s="5" t="s">
        <v>303</v>
      </c>
      <c r="F91" s="7" t="s">
        <v>383</v>
      </c>
      <c r="G91" s="302" t="s">
        <v>384</v>
      </c>
      <c r="H91" s="259"/>
      <c r="I91" s="260"/>
      <c r="J91" s="101">
        <v>0</v>
      </c>
      <c r="K91" s="101">
        <v>2</v>
      </c>
      <c r="L91" s="102">
        <f t="shared" si="51"/>
        <v>1867283.82</v>
      </c>
      <c r="M91" s="103"/>
      <c r="N91" s="103"/>
      <c r="O91" s="102">
        <f t="shared" si="0"/>
        <v>0</v>
      </c>
      <c r="P91" s="103"/>
      <c r="Q91" s="103">
        <f t="shared" si="53"/>
        <v>0</v>
      </c>
      <c r="R91" s="104">
        <f t="shared" si="52"/>
        <v>0</v>
      </c>
      <c r="S91" s="105"/>
      <c r="T91" s="33"/>
      <c r="U91" s="35"/>
      <c r="V91" s="107"/>
      <c r="W91" s="35"/>
      <c r="X91" s="108">
        <v>4284000</v>
      </c>
      <c r="Y91" s="109">
        <f t="shared" si="4"/>
        <v>4284000</v>
      </c>
      <c r="Z91" s="34"/>
      <c r="AA91" s="108">
        <f t="shared" si="36"/>
        <v>0</v>
      </c>
      <c r="AB91" s="110">
        <v>4284000</v>
      </c>
      <c r="AC91" s="110">
        <f t="shared" si="37"/>
        <v>4284000</v>
      </c>
      <c r="AD91" s="41">
        <f t="shared" si="38"/>
        <v>3427200</v>
      </c>
      <c r="AE91" s="41">
        <f t="shared" si="39"/>
        <v>-3427200</v>
      </c>
    </row>
    <row r="92" spans="2:31" ht="15.75" hidden="1" customHeight="1" x14ac:dyDescent="0.25">
      <c r="B92" s="276"/>
      <c r="C92" s="276"/>
      <c r="D92" s="5" t="s">
        <v>300</v>
      </c>
      <c r="E92" s="5" t="s">
        <v>308</v>
      </c>
      <c r="F92" s="7" t="s">
        <v>383</v>
      </c>
      <c r="G92" s="302" t="s">
        <v>384</v>
      </c>
      <c r="H92" s="259"/>
      <c r="I92" s="260"/>
      <c r="J92" s="101">
        <v>0</v>
      </c>
      <c r="K92" s="101">
        <v>2</v>
      </c>
      <c r="L92" s="102">
        <f t="shared" si="51"/>
        <v>1867283.82</v>
      </c>
      <c r="M92" s="103"/>
      <c r="N92" s="103"/>
      <c r="O92" s="102">
        <f t="shared" si="0"/>
        <v>0</v>
      </c>
      <c r="P92" s="103"/>
      <c r="Q92" s="103">
        <f t="shared" si="53"/>
        <v>0</v>
      </c>
      <c r="R92" s="104">
        <f t="shared" si="52"/>
        <v>0</v>
      </c>
      <c r="S92" s="105"/>
      <c r="T92" s="33"/>
      <c r="U92" s="35"/>
      <c r="V92" s="107"/>
      <c r="W92" s="35"/>
      <c r="X92" s="108">
        <v>4284000</v>
      </c>
      <c r="Y92" s="109">
        <f t="shared" si="4"/>
        <v>4284000</v>
      </c>
      <c r="Z92" s="34"/>
      <c r="AA92" s="108">
        <f t="shared" si="36"/>
        <v>0</v>
      </c>
      <c r="AB92" s="110">
        <v>4284000</v>
      </c>
      <c r="AC92" s="110">
        <f t="shared" si="37"/>
        <v>4284000</v>
      </c>
      <c r="AD92" s="41">
        <f t="shared" si="38"/>
        <v>3427200</v>
      </c>
      <c r="AE92" s="41">
        <f t="shared" si="39"/>
        <v>-3427200</v>
      </c>
    </row>
    <row r="93" spans="2:31" ht="15.75" hidden="1" customHeight="1" x14ac:dyDescent="0.25">
      <c r="B93" s="113" t="s">
        <v>203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4">
        <f t="shared" ref="L93:R93" si="54">SUM(L9:L92)</f>
        <v>663417974.53653395</v>
      </c>
      <c r="M93" s="114">
        <f t="shared" si="54"/>
        <v>19542.505518080012</v>
      </c>
      <c r="N93" s="114">
        <f t="shared" si="54"/>
        <v>56579600.876792453</v>
      </c>
      <c r="O93" s="114">
        <f t="shared" si="54"/>
        <v>1081540573.6666672</v>
      </c>
      <c r="P93" s="114">
        <f t="shared" si="54"/>
        <v>93486262.486666605</v>
      </c>
      <c r="Q93" s="114">
        <f t="shared" si="54"/>
        <v>19076720.699133337</v>
      </c>
      <c r="R93" s="114">
        <f t="shared" si="54"/>
        <v>1100617302</v>
      </c>
      <c r="S93" s="114"/>
      <c r="T93" s="33"/>
      <c r="U93" s="33"/>
      <c r="V93" s="33"/>
      <c r="W93" s="33"/>
      <c r="X93" s="33"/>
      <c r="Y93" s="33"/>
      <c r="Z93" s="30"/>
      <c r="AA93" s="30"/>
      <c r="AB93" s="30"/>
      <c r="AC93" s="30"/>
      <c r="AD93" s="30"/>
      <c r="AE93" s="30"/>
    </row>
    <row r="101" spans="15:18" ht="15.75" customHeight="1" x14ac:dyDescent="0.25">
      <c r="O101" s="299" t="s">
        <v>403</v>
      </c>
      <c r="P101" s="270"/>
      <c r="Q101" s="303" t="s">
        <v>404</v>
      </c>
      <c r="R101" s="288"/>
    </row>
    <row r="102" spans="15:18" ht="15.75" customHeight="1" x14ac:dyDescent="0.25">
      <c r="O102" s="299" t="s">
        <v>405</v>
      </c>
      <c r="P102" s="270"/>
      <c r="Q102" s="300" t="s">
        <v>406</v>
      </c>
      <c r="R102" s="259"/>
    </row>
    <row r="103" spans="15:18" ht="15.75" customHeight="1" x14ac:dyDescent="0.25">
      <c r="O103" s="299" t="s">
        <v>407</v>
      </c>
      <c r="P103" s="270"/>
      <c r="Q103" s="300" t="s">
        <v>408</v>
      </c>
      <c r="R103" s="259"/>
    </row>
    <row r="104" spans="15:18" ht="15.75" customHeight="1" x14ac:dyDescent="0.25">
      <c r="O104" s="299" t="s">
        <v>409</v>
      </c>
      <c r="P104" s="270"/>
      <c r="Q104" s="300" t="s">
        <v>410</v>
      </c>
      <c r="R104" s="259"/>
    </row>
    <row r="105" spans="15:18" ht="15.75" customHeight="1" x14ac:dyDescent="0.25">
      <c r="O105" s="299" t="s">
        <v>411</v>
      </c>
      <c r="P105" s="270"/>
      <c r="Q105" s="300">
        <v>7433277</v>
      </c>
      <c r="R105" s="259"/>
    </row>
    <row r="106" spans="15:18" ht="15.75" customHeight="1" x14ac:dyDescent="0.25">
      <c r="O106" s="299" t="s">
        <v>412</v>
      </c>
      <c r="P106" s="270"/>
      <c r="Q106" s="309" t="s">
        <v>413</v>
      </c>
      <c r="R106" s="259"/>
    </row>
    <row r="107" spans="15:18" ht="15.75" customHeight="1" x14ac:dyDescent="0.25">
      <c r="O107" s="299" t="s">
        <v>414</v>
      </c>
      <c r="P107" s="270"/>
      <c r="Q107" s="300">
        <v>3202641687</v>
      </c>
      <c r="R107" s="259"/>
    </row>
    <row r="108" spans="15:18" ht="15.75" customHeight="1" x14ac:dyDescent="0.25">
      <c r="O108" s="299" t="s">
        <v>260</v>
      </c>
      <c r="P108" s="270"/>
      <c r="Q108" s="303" t="s">
        <v>415</v>
      </c>
      <c r="R108" s="288"/>
    </row>
  </sheetData>
  <autoFilter ref="E8:W93" xr:uid="{00000000-0009-0000-0000-000009000000}">
    <filterColumn colId="4">
      <filters>
        <filter val="SERVICIO SIN ARMA"/>
      </filters>
    </filterColumn>
  </autoFilter>
  <mergeCells count="51">
    <mergeCell ref="O106:P106"/>
    <mergeCell ref="O107:P107"/>
    <mergeCell ref="O108:P108"/>
    <mergeCell ref="Q107:R107"/>
    <mergeCell ref="Q108:R108"/>
    <mergeCell ref="Q106:R106"/>
    <mergeCell ref="O103:P103"/>
    <mergeCell ref="Q103:R103"/>
    <mergeCell ref="O104:P104"/>
    <mergeCell ref="Q104:R104"/>
    <mergeCell ref="O105:P105"/>
    <mergeCell ref="Q105:R105"/>
    <mergeCell ref="B2:F7"/>
    <mergeCell ref="G2:S2"/>
    <mergeCell ref="G3:P3"/>
    <mergeCell ref="Q3:R6"/>
    <mergeCell ref="G4:M6"/>
    <mergeCell ref="N4:P6"/>
    <mergeCell ref="G7:W7"/>
    <mergeCell ref="D53:D54"/>
    <mergeCell ref="D55:D56"/>
    <mergeCell ref="B9:B62"/>
    <mergeCell ref="B63:B92"/>
    <mergeCell ref="D57:D58"/>
    <mergeCell ref="D64:D68"/>
    <mergeCell ref="D69:D70"/>
    <mergeCell ref="D71:D72"/>
    <mergeCell ref="C9:C42"/>
    <mergeCell ref="D13:D14"/>
    <mergeCell ref="D38:D39"/>
    <mergeCell ref="C43:C47"/>
    <mergeCell ref="C48:C62"/>
    <mergeCell ref="D48:D52"/>
    <mergeCell ref="C63:C83"/>
    <mergeCell ref="C84:C92"/>
    <mergeCell ref="O102:P102"/>
    <mergeCell ref="Q102:R102"/>
    <mergeCell ref="D73:D74"/>
    <mergeCell ref="D75:D77"/>
    <mergeCell ref="G92:I92"/>
    <mergeCell ref="O101:P101"/>
    <mergeCell ref="Q101:R101"/>
    <mergeCell ref="G90:I90"/>
    <mergeCell ref="G91:I91"/>
    <mergeCell ref="D78:D79"/>
    <mergeCell ref="D81:D82"/>
    <mergeCell ref="G85:I85"/>
    <mergeCell ref="G86:I86"/>
    <mergeCell ref="G87:I87"/>
    <mergeCell ref="G88:I88"/>
    <mergeCell ref="G89:I89"/>
  </mergeCells>
  <hyperlinks>
    <hyperlink ref="Q106" r:id="rId1" xr:uid="{00000000-0004-0000-09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8"/>
  <dimension ref="A2:AR109"/>
  <sheetViews>
    <sheetView showGridLines="0" topLeftCell="H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43.140625" hidden="1" customWidth="1"/>
    <col min="8" max="8" width="20" customWidth="1"/>
    <col min="9" max="9" width="22.28515625" hidden="1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3.42578125" customWidth="1"/>
    <col min="17" max="17" width="22.42578125" hidden="1" customWidth="1"/>
    <col min="18" max="18" width="23.85546875" hidden="1" customWidth="1"/>
    <col min="19" max="19" width="15.28515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14.42578125" hidden="1"/>
    <col min="37" max="37" width="34.7109375" hidden="1" customWidth="1"/>
    <col min="38" max="38" width="20.85546875" hidden="1" customWidth="1"/>
    <col min="39" max="39" width="15.140625" hidden="1" customWidth="1"/>
    <col min="40" max="40" width="16.85546875" hidden="1" customWidth="1"/>
    <col min="41" max="43" width="11.42578125" hidden="1" customWidth="1"/>
    <col min="44" max="44" width="15.42578125" customWidth="1"/>
  </cols>
  <sheetData>
    <row r="2" spans="2:44" ht="29.25" hidden="1" customHeight="1" x14ac:dyDescent="0.25">
      <c r="B2" s="282"/>
      <c r="C2" s="283"/>
      <c r="D2" s="283"/>
      <c r="E2" s="283"/>
      <c r="F2" s="284"/>
      <c r="G2" s="290" t="s">
        <v>254</v>
      </c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60"/>
      <c r="U2" s="32"/>
      <c r="V2" s="32"/>
      <c r="W2" s="32"/>
      <c r="X2" s="32"/>
      <c r="Y2" s="33"/>
      <c r="Z2" s="33"/>
      <c r="AA2" s="34"/>
      <c r="AB2" s="35"/>
      <c r="AC2" s="35"/>
      <c r="AD2" s="35"/>
      <c r="AE2" s="35"/>
      <c r="AF2" s="35"/>
      <c r="AG2" s="35"/>
      <c r="AH2" s="31"/>
      <c r="AI2" s="30"/>
      <c r="AJ2" s="30"/>
      <c r="AK2" s="30"/>
      <c r="AL2" s="30"/>
      <c r="AM2" s="30"/>
      <c r="AN2" s="30"/>
      <c r="AO2" s="30"/>
      <c r="AP2" s="30"/>
      <c r="AQ2" s="30"/>
      <c r="AR2" s="120"/>
    </row>
    <row r="3" spans="2:44" ht="29.25" hidden="1" customHeight="1" x14ac:dyDescent="0.25">
      <c r="B3" s="285"/>
      <c r="C3" s="270"/>
      <c r="D3" s="270"/>
      <c r="E3" s="270"/>
      <c r="F3" s="286"/>
      <c r="G3" s="290" t="s">
        <v>255</v>
      </c>
      <c r="H3" s="259"/>
      <c r="I3" s="259"/>
      <c r="J3" s="259"/>
      <c r="K3" s="259"/>
      <c r="L3" s="259"/>
      <c r="M3" s="259"/>
      <c r="N3" s="259"/>
      <c r="O3" s="259"/>
      <c r="P3" s="259"/>
      <c r="Q3" s="260"/>
      <c r="R3" s="291" t="s">
        <v>416</v>
      </c>
      <c r="S3" s="284"/>
      <c r="T3" s="37"/>
      <c r="U3" s="32"/>
      <c r="V3" s="32"/>
      <c r="W3" s="32"/>
      <c r="X3" s="32"/>
      <c r="Y3" s="33"/>
      <c r="Z3" s="33"/>
      <c r="AA3" s="34"/>
      <c r="AB3" s="35"/>
      <c r="AC3" s="35"/>
      <c r="AD3" s="35"/>
      <c r="AE3" s="35"/>
      <c r="AF3" s="35"/>
      <c r="AG3" s="35"/>
      <c r="AH3" s="31"/>
      <c r="AI3" s="30"/>
      <c r="AJ3" s="30"/>
      <c r="AK3" s="30"/>
      <c r="AL3" s="30"/>
      <c r="AM3" s="30"/>
      <c r="AN3" s="30"/>
      <c r="AO3" s="30"/>
      <c r="AP3" s="30"/>
      <c r="AQ3" s="30"/>
      <c r="AR3" s="120"/>
    </row>
    <row r="4" spans="2:44" ht="15" hidden="1" customHeight="1" x14ac:dyDescent="0.25">
      <c r="B4" s="285"/>
      <c r="C4" s="270"/>
      <c r="D4" s="270"/>
      <c r="E4" s="270"/>
      <c r="F4" s="286"/>
      <c r="G4" s="292" t="s">
        <v>417</v>
      </c>
      <c r="H4" s="283"/>
      <c r="I4" s="283"/>
      <c r="J4" s="283"/>
      <c r="K4" s="283"/>
      <c r="L4" s="283"/>
      <c r="M4" s="284"/>
      <c r="N4" s="293" t="s">
        <v>418</v>
      </c>
      <c r="O4" s="283"/>
      <c r="P4" s="283"/>
      <c r="Q4" s="284"/>
      <c r="R4" s="285"/>
      <c r="S4" s="286"/>
      <c r="T4" s="37"/>
      <c r="U4" s="37"/>
      <c r="V4" s="37"/>
      <c r="W4" s="37"/>
      <c r="X4" s="37"/>
      <c r="Y4" s="33"/>
      <c r="Z4" s="33"/>
      <c r="AA4" s="34"/>
      <c r="AB4" s="35"/>
      <c r="AC4" s="35"/>
      <c r="AD4" s="35"/>
      <c r="AE4" s="35"/>
      <c r="AF4" s="35"/>
      <c r="AG4" s="35"/>
      <c r="AH4" s="31"/>
      <c r="AI4" s="30"/>
      <c r="AJ4" s="30"/>
      <c r="AK4" s="30"/>
      <c r="AL4" s="30"/>
      <c r="AM4" s="30"/>
      <c r="AN4" s="30"/>
      <c r="AO4" s="30"/>
      <c r="AP4" s="30"/>
      <c r="AQ4" s="30"/>
      <c r="AR4" s="120"/>
    </row>
    <row r="5" spans="2:44" ht="15" hidden="1" customHeight="1" x14ac:dyDescent="0.25">
      <c r="B5" s="285"/>
      <c r="C5" s="270"/>
      <c r="D5" s="270"/>
      <c r="E5" s="270"/>
      <c r="F5" s="286"/>
      <c r="G5" s="285"/>
      <c r="H5" s="270"/>
      <c r="I5" s="270"/>
      <c r="J5" s="270"/>
      <c r="K5" s="270"/>
      <c r="L5" s="270"/>
      <c r="M5" s="286"/>
      <c r="N5" s="285"/>
      <c r="O5" s="270"/>
      <c r="P5" s="270"/>
      <c r="Q5" s="286"/>
      <c r="R5" s="285"/>
      <c r="S5" s="286"/>
      <c r="T5" s="37"/>
      <c r="U5" s="37"/>
      <c r="V5" s="37"/>
      <c r="W5" s="37"/>
      <c r="X5" s="37"/>
      <c r="Y5" s="33"/>
      <c r="Z5" s="33"/>
      <c r="AA5" s="34"/>
      <c r="AB5" s="35"/>
      <c r="AC5" s="35"/>
      <c r="AD5" s="35"/>
      <c r="AE5" s="35"/>
      <c r="AF5" s="35"/>
      <c r="AG5" s="35"/>
      <c r="AH5" s="31"/>
      <c r="AI5" s="30"/>
      <c r="AJ5" s="30"/>
      <c r="AK5" s="30"/>
      <c r="AL5" s="30"/>
      <c r="AM5" s="30"/>
      <c r="AN5" s="30"/>
      <c r="AO5" s="30"/>
      <c r="AP5" s="30"/>
      <c r="AQ5" s="30"/>
      <c r="AR5" s="120"/>
    </row>
    <row r="6" spans="2:44" ht="15" hidden="1" customHeight="1" x14ac:dyDescent="0.25">
      <c r="B6" s="285"/>
      <c r="C6" s="270"/>
      <c r="D6" s="270"/>
      <c r="E6" s="270"/>
      <c r="F6" s="286"/>
      <c r="G6" s="287"/>
      <c r="H6" s="288"/>
      <c r="I6" s="288"/>
      <c r="J6" s="288"/>
      <c r="K6" s="288"/>
      <c r="L6" s="288"/>
      <c r="M6" s="289"/>
      <c r="N6" s="287"/>
      <c r="O6" s="288"/>
      <c r="P6" s="288"/>
      <c r="Q6" s="289"/>
      <c r="R6" s="287"/>
      <c r="S6" s="289"/>
      <c r="T6" s="37"/>
      <c r="U6" s="37"/>
      <c r="V6" s="37"/>
      <c r="W6" s="37"/>
      <c r="X6" s="37"/>
      <c r="Y6" s="33"/>
      <c r="Z6" s="33"/>
      <c r="AA6" s="34"/>
      <c r="AB6" s="35"/>
      <c r="AC6" s="35"/>
      <c r="AD6" s="35"/>
      <c r="AE6" s="35"/>
      <c r="AF6" s="35"/>
      <c r="AG6" s="35"/>
      <c r="AH6" s="31"/>
      <c r="AI6" s="30"/>
      <c r="AJ6" s="30"/>
      <c r="AK6" s="30"/>
      <c r="AL6" s="30"/>
      <c r="AM6" s="30"/>
      <c r="AN6" s="30"/>
      <c r="AO6" s="30"/>
      <c r="AP6" s="30"/>
      <c r="AQ6" s="30"/>
      <c r="AR6" s="120"/>
    </row>
    <row r="7" spans="2:44" ht="34.5" hidden="1" customHeight="1" x14ac:dyDescent="0.25">
      <c r="B7" s="287"/>
      <c r="C7" s="288"/>
      <c r="D7" s="288"/>
      <c r="E7" s="288"/>
      <c r="F7" s="289"/>
      <c r="G7" s="294" t="s">
        <v>259</v>
      </c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259"/>
      <c r="V7" s="259"/>
      <c r="W7" s="259"/>
      <c r="X7" s="260"/>
      <c r="Y7" s="33"/>
      <c r="Z7" s="33"/>
      <c r="AA7" s="34"/>
      <c r="AB7" s="35"/>
      <c r="AC7" s="35"/>
      <c r="AD7" s="35"/>
      <c r="AE7" s="35"/>
      <c r="AF7" s="35"/>
      <c r="AG7" s="35"/>
      <c r="AH7" s="31"/>
      <c r="AI7" s="30"/>
      <c r="AJ7" s="30"/>
      <c r="AK7" s="30"/>
      <c r="AL7" s="30"/>
      <c r="AM7" s="30"/>
      <c r="AN7" s="30"/>
      <c r="AO7" s="30"/>
      <c r="AP7" s="30"/>
      <c r="AQ7" s="30"/>
      <c r="AR7" s="120"/>
    </row>
    <row r="8" spans="2:44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4"/>
      <c r="Q8" s="2" t="s">
        <v>13</v>
      </c>
      <c r="R8" s="2" t="s">
        <v>14</v>
      </c>
      <c r="S8" s="4" t="s">
        <v>263</v>
      </c>
      <c r="T8" s="2"/>
      <c r="U8" s="33"/>
      <c r="V8" s="33"/>
      <c r="W8" s="35"/>
      <c r="X8" s="35"/>
      <c r="Y8" s="35"/>
      <c r="Z8" s="35"/>
      <c r="AA8" s="34"/>
      <c r="AB8" s="35"/>
      <c r="AC8" s="35"/>
      <c r="AD8" s="35"/>
      <c r="AE8" s="41"/>
      <c r="AF8" s="42"/>
      <c r="AG8" s="33"/>
      <c r="AH8" s="14"/>
      <c r="AI8" s="30"/>
      <c r="AJ8" s="30"/>
      <c r="AK8" s="30"/>
      <c r="AL8" s="30"/>
      <c r="AM8" s="30"/>
      <c r="AN8" s="30"/>
      <c r="AO8" s="30"/>
      <c r="AP8" s="30"/>
      <c r="AQ8" s="30"/>
      <c r="AR8" s="120"/>
    </row>
    <row r="9" spans="2:44" ht="24" customHeight="1" x14ac:dyDescent="0.25">
      <c r="B9" s="305" t="s">
        <v>264</v>
      </c>
      <c r="C9" s="307" t="s">
        <v>265</v>
      </c>
      <c r="D9" s="121" t="s">
        <v>16</v>
      </c>
      <c r="E9" s="312" t="s">
        <v>266</v>
      </c>
      <c r="F9" s="312" t="s">
        <v>267</v>
      </c>
      <c r="G9" s="5" t="s">
        <v>268</v>
      </c>
      <c r="H9" s="5" t="s">
        <v>21</v>
      </c>
      <c r="I9" s="7" t="s">
        <v>269</v>
      </c>
      <c r="J9" s="8">
        <v>30</v>
      </c>
      <c r="K9" s="8">
        <v>5</v>
      </c>
      <c r="L9" s="102">
        <f>9.06*1160000*55.97%/15*12+2</f>
        <v>4705780.4959999993</v>
      </c>
      <c r="M9" s="102">
        <f>+W$9*55.97%/15*12</f>
        <v>145.51752240000002</v>
      </c>
      <c r="N9" s="102">
        <f>+(L9+M9)*8%</f>
        <v>376474.08108179196</v>
      </c>
      <c r="O9" s="102">
        <f t="shared" ref="O9:O93" si="0">(((ROUND(N9+M9+L9,0)*K9))/30)*J9</f>
        <v>25412000</v>
      </c>
      <c r="P9" s="9">
        <f t="shared" ref="P9:P93" si="1">+O9/K9</f>
        <v>5082400</v>
      </c>
      <c r="Q9" s="116">
        <f t="shared" ref="Q9:Q21" si="2">+O9*10%</f>
        <v>2541200</v>
      </c>
      <c r="R9" s="102">
        <f t="shared" ref="R9:R21" si="3">+Q9*19%</f>
        <v>482828</v>
      </c>
      <c r="S9" s="9">
        <f t="shared" ref="S9:S85" si="4">+ROUND(O9+R9,0)</f>
        <v>25894828</v>
      </c>
      <c r="T9" s="105"/>
      <c r="U9" s="33"/>
      <c r="V9" s="33"/>
      <c r="W9" s="107">
        <f>108.33*3</f>
        <v>324.99</v>
      </c>
      <c r="X9" s="35"/>
      <c r="Y9" s="108">
        <v>21688707.040683702</v>
      </c>
      <c r="Z9" s="109">
        <f t="shared" ref="Z9:Z81" si="5">+Y9-S9</f>
        <v>-4206120.9593162984</v>
      </c>
      <c r="AA9" s="34"/>
      <c r="AB9" s="35"/>
      <c r="AC9" s="35"/>
      <c r="AD9" s="35"/>
      <c r="AE9" s="41"/>
      <c r="AF9" s="42"/>
      <c r="AG9" s="33"/>
      <c r="AH9" s="115">
        <f>+S9</f>
        <v>25894828</v>
      </c>
      <c r="AI9" s="30"/>
      <c r="AJ9" s="30"/>
      <c r="AK9" s="30"/>
      <c r="AL9" s="30"/>
      <c r="AM9" s="30"/>
      <c r="AN9" s="30"/>
      <c r="AO9" s="30"/>
      <c r="AP9" s="30"/>
      <c r="AQ9" s="30"/>
      <c r="AR9" s="120">
        <f>+S9</f>
        <v>25894828</v>
      </c>
    </row>
    <row r="10" spans="2:44" ht="36" x14ac:dyDescent="0.25">
      <c r="B10" s="278"/>
      <c r="C10" s="278"/>
      <c r="D10" s="121" t="s">
        <v>16</v>
      </c>
      <c r="E10" s="278"/>
      <c r="F10" s="278"/>
      <c r="G10" s="5" t="s">
        <v>270</v>
      </c>
      <c r="H10" s="5" t="s">
        <v>23</v>
      </c>
      <c r="I10" s="7" t="s">
        <v>271</v>
      </c>
      <c r="J10" s="8">
        <v>30</v>
      </c>
      <c r="K10" s="8">
        <v>1</v>
      </c>
      <c r="L10" s="102">
        <f t="shared" ref="L10:L13" si="6">9.06*1160000+2</f>
        <v>10509602</v>
      </c>
      <c r="M10" s="102">
        <f t="shared" ref="M10:M13" si="7">+W$9</f>
        <v>324.99</v>
      </c>
      <c r="N10" s="102">
        <f>+(L10+M10)*10%</f>
        <v>1050992.699</v>
      </c>
      <c r="O10" s="102">
        <f t="shared" si="0"/>
        <v>11560920</v>
      </c>
      <c r="P10" s="9">
        <f t="shared" si="1"/>
        <v>11560920</v>
      </c>
      <c r="Q10" s="116">
        <f t="shared" si="2"/>
        <v>1156092</v>
      </c>
      <c r="R10" s="102">
        <f t="shared" si="3"/>
        <v>219657.48</v>
      </c>
      <c r="S10" s="9">
        <f t="shared" si="4"/>
        <v>11780577</v>
      </c>
      <c r="T10" s="105"/>
      <c r="U10" s="33"/>
      <c r="V10" s="33"/>
      <c r="W10" s="35"/>
      <c r="X10" s="35"/>
      <c r="Y10" s="108">
        <v>48440488.413540453</v>
      </c>
      <c r="Z10" s="109">
        <f t="shared" si="5"/>
        <v>36659911.413540453</v>
      </c>
      <c r="AA10" s="34"/>
      <c r="AB10" s="35"/>
      <c r="AC10" s="35"/>
      <c r="AD10" s="35"/>
      <c r="AE10" s="41"/>
      <c r="AF10" s="42"/>
      <c r="AG10" s="33"/>
      <c r="AH10" s="115">
        <f>+AH9+S10</f>
        <v>37675405</v>
      </c>
      <c r="AI10" s="30"/>
      <c r="AJ10" s="30"/>
      <c r="AK10" s="30"/>
      <c r="AL10" s="30"/>
      <c r="AM10" s="30"/>
      <c r="AN10" s="30"/>
      <c r="AO10" s="30"/>
      <c r="AP10" s="30"/>
      <c r="AQ10" s="30"/>
      <c r="AR10" s="120">
        <f t="shared" ref="AR10:AR93" si="8">+AR9+S10</f>
        <v>37675405</v>
      </c>
    </row>
    <row r="11" spans="2:44" ht="36" x14ac:dyDescent="0.25">
      <c r="B11" s="278"/>
      <c r="C11" s="278"/>
      <c r="D11" s="121" t="s">
        <v>16</v>
      </c>
      <c r="E11" s="278"/>
      <c r="F11" s="278"/>
      <c r="G11" s="5" t="s">
        <v>272</v>
      </c>
      <c r="H11" s="5" t="s">
        <v>74</v>
      </c>
      <c r="I11" s="7" t="s">
        <v>269</v>
      </c>
      <c r="J11" s="8">
        <v>30</v>
      </c>
      <c r="K11" s="8">
        <v>6</v>
      </c>
      <c r="L11" s="102">
        <f t="shared" si="6"/>
        <v>10509602</v>
      </c>
      <c r="M11" s="102">
        <f t="shared" si="7"/>
        <v>324.99</v>
      </c>
      <c r="N11" s="102">
        <f t="shared" ref="N11:N12" si="9">+(L11+M11)*8%</f>
        <v>840794.15919999999</v>
      </c>
      <c r="O11" s="102">
        <f t="shared" si="0"/>
        <v>68104326</v>
      </c>
      <c r="P11" s="9">
        <f t="shared" si="1"/>
        <v>11350721</v>
      </c>
      <c r="Q11" s="116">
        <f t="shared" si="2"/>
        <v>6810432.6000000006</v>
      </c>
      <c r="R11" s="102">
        <f t="shared" si="3"/>
        <v>1293982.1940000001</v>
      </c>
      <c r="S11" s="9">
        <f t="shared" si="4"/>
        <v>69398308</v>
      </c>
      <c r="T11" s="105"/>
      <c r="U11" s="33"/>
      <c r="V11" s="33"/>
      <c r="W11" s="35"/>
      <c r="X11" s="35"/>
      <c r="Y11" s="108">
        <v>9867506.8990545366</v>
      </c>
      <c r="Z11" s="109">
        <f t="shared" si="5"/>
        <v>-59530801.100945465</v>
      </c>
      <c r="AA11" s="34"/>
      <c r="AB11" s="35"/>
      <c r="AC11" s="35"/>
      <c r="AD11" s="35"/>
      <c r="AE11" s="41"/>
      <c r="AF11" s="42"/>
      <c r="AG11" s="33"/>
      <c r="AH11" s="115">
        <f t="shared" ref="AH11:AH72" si="10">++S11++AH10</f>
        <v>107073713</v>
      </c>
      <c r="AI11" s="30"/>
      <c r="AJ11" s="30"/>
      <c r="AK11" s="30"/>
      <c r="AL11" s="30"/>
      <c r="AM11" s="30"/>
      <c r="AN11" s="30"/>
      <c r="AO11" s="30"/>
      <c r="AP11" s="30"/>
      <c r="AQ11" s="30"/>
      <c r="AR11" s="120">
        <f t="shared" si="8"/>
        <v>107073713</v>
      </c>
    </row>
    <row r="12" spans="2:44" ht="36" x14ac:dyDescent="0.25">
      <c r="B12" s="278"/>
      <c r="C12" s="278"/>
      <c r="D12" s="121" t="s">
        <v>16</v>
      </c>
      <c r="E12" s="276"/>
      <c r="F12" s="276"/>
      <c r="G12" s="5" t="s">
        <v>273</v>
      </c>
      <c r="H12" s="5" t="s">
        <v>274</v>
      </c>
      <c r="I12" s="7" t="s">
        <v>269</v>
      </c>
      <c r="J12" s="8">
        <v>30</v>
      </c>
      <c r="K12" s="8">
        <v>9</v>
      </c>
      <c r="L12" s="102">
        <f t="shared" si="6"/>
        <v>10509602</v>
      </c>
      <c r="M12" s="102">
        <f t="shared" si="7"/>
        <v>324.99</v>
      </c>
      <c r="N12" s="102">
        <f t="shared" si="9"/>
        <v>840794.15919999999</v>
      </c>
      <c r="O12" s="102">
        <f t="shared" si="0"/>
        <v>102156489</v>
      </c>
      <c r="P12" s="9">
        <f t="shared" si="1"/>
        <v>11350721</v>
      </c>
      <c r="Q12" s="116">
        <f t="shared" si="2"/>
        <v>10215648.9</v>
      </c>
      <c r="R12" s="102">
        <f t="shared" si="3"/>
        <v>1940973.2910000002</v>
      </c>
      <c r="S12" s="9">
        <f t="shared" si="4"/>
        <v>104097462</v>
      </c>
      <c r="T12" s="105"/>
      <c r="U12" s="33"/>
      <c r="V12" s="33"/>
      <c r="W12" s="35"/>
      <c r="X12" s="35"/>
      <c r="Y12" s="108">
        <v>9688097.682708092</v>
      </c>
      <c r="Z12" s="109">
        <f t="shared" si="5"/>
        <v>-94409364.317291915</v>
      </c>
      <c r="AA12" s="34"/>
      <c r="AB12" s="35"/>
      <c r="AC12" s="35"/>
      <c r="AD12" s="35"/>
      <c r="AE12" s="41"/>
      <c r="AF12" s="42"/>
      <c r="AG12" s="33"/>
      <c r="AH12" s="122">
        <f t="shared" si="10"/>
        <v>211171175</v>
      </c>
      <c r="AI12" s="123">
        <f>S9+S10+S11+S12+S43+S44+S45+S46+S47+S48+S49+S50+S51+S52+S53+S55+S56+S57+S58+S59+S60+S61+S62+S84+S64+S65+S66+S67+S68</f>
        <v>722215172</v>
      </c>
      <c r="AJ12" s="124"/>
      <c r="AK12" s="125"/>
      <c r="AL12" s="30"/>
      <c r="AM12" s="30"/>
      <c r="AN12" s="30"/>
      <c r="AO12" s="30"/>
      <c r="AP12" s="30"/>
      <c r="AQ12" s="30"/>
      <c r="AR12" s="120">
        <f t="shared" si="8"/>
        <v>211171175</v>
      </c>
    </row>
    <row r="13" spans="2:44" ht="36" x14ac:dyDescent="0.25">
      <c r="B13" s="278"/>
      <c r="C13" s="278"/>
      <c r="D13" s="281" t="s">
        <v>16</v>
      </c>
      <c r="E13" s="281" t="s">
        <v>275</v>
      </c>
      <c r="F13" s="281" t="s">
        <v>275</v>
      </c>
      <c r="G13" s="5" t="s">
        <v>272</v>
      </c>
      <c r="H13" s="5" t="s">
        <v>276</v>
      </c>
      <c r="I13" s="7" t="s">
        <v>271</v>
      </c>
      <c r="J13" s="8">
        <v>30</v>
      </c>
      <c r="K13" s="8">
        <v>3</v>
      </c>
      <c r="L13" s="102">
        <f t="shared" si="6"/>
        <v>10509602</v>
      </c>
      <c r="M13" s="102">
        <f t="shared" si="7"/>
        <v>324.99</v>
      </c>
      <c r="N13" s="102">
        <f>+(L13+M13)*10%</f>
        <v>1050992.699</v>
      </c>
      <c r="O13" s="102">
        <f t="shared" si="0"/>
        <v>34682760</v>
      </c>
      <c r="P13" s="9">
        <f t="shared" si="1"/>
        <v>11560920</v>
      </c>
      <c r="Q13" s="116">
        <f t="shared" si="2"/>
        <v>3468276</v>
      </c>
      <c r="R13" s="102">
        <f t="shared" si="3"/>
        <v>658972.44000000006</v>
      </c>
      <c r="S13" s="126">
        <f t="shared" si="4"/>
        <v>35341732</v>
      </c>
      <c r="T13" s="127"/>
      <c r="U13" s="128"/>
      <c r="V13" s="128"/>
      <c r="W13" s="129"/>
      <c r="X13" s="129"/>
      <c r="Y13" s="130">
        <v>38752390.730832368</v>
      </c>
      <c r="Z13" s="131">
        <f t="shared" si="5"/>
        <v>3410658.7308323681</v>
      </c>
      <c r="AA13" s="132"/>
      <c r="AB13" s="129"/>
      <c r="AC13" s="129"/>
      <c r="AD13" s="129"/>
      <c r="AE13" s="133"/>
      <c r="AF13" s="134"/>
      <c r="AG13" s="128"/>
      <c r="AH13" s="115">
        <f t="shared" si="10"/>
        <v>246512907</v>
      </c>
      <c r="AI13" s="30"/>
      <c r="AJ13" s="30"/>
      <c r="AK13" s="30"/>
      <c r="AL13" s="30"/>
      <c r="AM13" s="30"/>
      <c r="AN13" s="30"/>
      <c r="AO13" s="30"/>
      <c r="AP13" s="30"/>
      <c r="AQ13" s="30"/>
      <c r="AR13" s="120">
        <f t="shared" si="8"/>
        <v>246512907</v>
      </c>
    </row>
    <row r="14" spans="2:44" ht="36" x14ac:dyDescent="0.25">
      <c r="B14" s="278"/>
      <c r="C14" s="278"/>
      <c r="D14" s="276"/>
      <c r="E14" s="276"/>
      <c r="F14" s="276"/>
      <c r="G14" s="5" t="s">
        <v>268</v>
      </c>
      <c r="H14" s="5" t="s">
        <v>80</v>
      </c>
      <c r="I14" s="7" t="s">
        <v>277</v>
      </c>
      <c r="J14" s="8">
        <v>30</v>
      </c>
      <c r="K14" s="8">
        <v>1</v>
      </c>
      <c r="L14" s="102">
        <f t="shared" ref="L14:L15" si="11">9.06*1160000*55.97%/15*12+2</f>
        <v>4705780.4959999993</v>
      </c>
      <c r="M14" s="102">
        <f t="shared" ref="M14:M15" si="12">+W$9*55.97%/15*12</f>
        <v>145.51752240000002</v>
      </c>
      <c r="N14" s="102">
        <f>+(L14+M14)*11%</f>
        <v>517651.86148746393</v>
      </c>
      <c r="O14" s="102">
        <f t="shared" si="0"/>
        <v>5223578</v>
      </c>
      <c r="P14" s="9">
        <f t="shared" si="1"/>
        <v>5223578</v>
      </c>
      <c r="Q14" s="116">
        <f t="shared" si="2"/>
        <v>522357.80000000005</v>
      </c>
      <c r="R14" s="102">
        <f t="shared" si="3"/>
        <v>99247.982000000004</v>
      </c>
      <c r="S14" s="9">
        <f t="shared" si="4"/>
        <v>5322826</v>
      </c>
      <c r="T14" s="105"/>
      <c r="U14" s="33"/>
      <c r="V14" s="33"/>
      <c r="W14" s="35"/>
      <c r="X14" s="35"/>
      <c r="Y14" s="108">
        <v>48440488.413540453</v>
      </c>
      <c r="Z14" s="109">
        <f t="shared" si="5"/>
        <v>43117662.413540453</v>
      </c>
      <c r="AA14" s="34"/>
      <c r="AB14" s="35"/>
      <c r="AC14" s="35"/>
      <c r="AD14" s="35"/>
      <c r="AE14" s="41"/>
      <c r="AF14" s="42"/>
      <c r="AG14" s="33"/>
      <c r="AH14" s="115">
        <f t="shared" si="10"/>
        <v>251835733</v>
      </c>
      <c r="AI14" s="30"/>
      <c r="AJ14" s="86">
        <f>S13+S14+S80</f>
        <v>45843524</v>
      </c>
      <c r="AK14" s="125"/>
      <c r="AL14" s="125"/>
      <c r="AM14" s="125"/>
      <c r="AN14" s="125"/>
      <c r="AO14" s="125"/>
      <c r="AP14" s="30"/>
      <c r="AQ14" s="30"/>
      <c r="AR14" s="120">
        <f t="shared" si="8"/>
        <v>251835733</v>
      </c>
    </row>
    <row r="15" spans="2:44" ht="24" x14ac:dyDescent="0.25">
      <c r="B15" s="278"/>
      <c r="C15" s="278"/>
      <c r="D15" s="135" t="s">
        <v>278</v>
      </c>
      <c r="E15" s="310" t="s">
        <v>88</v>
      </c>
      <c r="F15" s="310" t="s">
        <v>88</v>
      </c>
      <c r="G15" s="5" t="s">
        <v>268</v>
      </c>
      <c r="H15" s="5" t="s">
        <v>83</v>
      </c>
      <c r="I15" s="7" t="s">
        <v>269</v>
      </c>
      <c r="J15" s="8">
        <v>30</v>
      </c>
      <c r="K15" s="8">
        <v>1</v>
      </c>
      <c r="L15" s="102">
        <f t="shared" si="11"/>
        <v>4705780.4959999993</v>
      </c>
      <c r="M15" s="102">
        <f t="shared" si="12"/>
        <v>145.51752240000002</v>
      </c>
      <c r="N15" s="102">
        <f>+(L15+M15)*8%</f>
        <v>376474.08108179196</v>
      </c>
      <c r="O15" s="102">
        <f t="shared" si="0"/>
        <v>5082400</v>
      </c>
      <c r="P15" s="9">
        <f t="shared" si="1"/>
        <v>5082400</v>
      </c>
      <c r="Q15" s="116">
        <f t="shared" si="2"/>
        <v>508240</v>
      </c>
      <c r="R15" s="102">
        <f t="shared" si="3"/>
        <v>96565.6</v>
      </c>
      <c r="S15" s="9">
        <f t="shared" si="4"/>
        <v>5178966</v>
      </c>
      <c r="T15" s="105"/>
      <c r="U15" s="33"/>
      <c r="V15" s="33"/>
      <c r="W15" s="35"/>
      <c r="X15" s="35"/>
      <c r="Y15" s="108">
        <v>29602520.697163612</v>
      </c>
      <c r="Z15" s="109">
        <f t="shared" si="5"/>
        <v>24423554.697163612</v>
      </c>
      <c r="AA15" s="34"/>
      <c r="AB15" s="35"/>
      <c r="AC15" s="35"/>
      <c r="AD15" s="35"/>
      <c r="AE15" s="41"/>
      <c r="AF15" s="42"/>
      <c r="AG15" s="33"/>
      <c r="AH15" s="115">
        <f t="shared" si="10"/>
        <v>257014699</v>
      </c>
      <c r="AI15" s="30"/>
      <c r="AJ15" s="30"/>
      <c r="AK15" s="30"/>
      <c r="AL15" s="30"/>
      <c r="AM15" s="30"/>
      <c r="AN15" s="30"/>
      <c r="AO15" s="30"/>
      <c r="AP15" s="30"/>
      <c r="AQ15" s="30"/>
      <c r="AR15" s="120">
        <f t="shared" si="8"/>
        <v>257014699</v>
      </c>
    </row>
    <row r="16" spans="2:44" ht="24" x14ac:dyDescent="0.25">
      <c r="B16" s="278"/>
      <c r="C16" s="278"/>
      <c r="D16" s="135" t="s">
        <v>278</v>
      </c>
      <c r="E16" s="276"/>
      <c r="F16" s="276"/>
      <c r="G16" s="5" t="s">
        <v>272</v>
      </c>
      <c r="H16" s="5" t="s">
        <v>86</v>
      </c>
      <c r="I16" s="7" t="s">
        <v>271</v>
      </c>
      <c r="J16" s="8">
        <v>30</v>
      </c>
      <c r="K16" s="8">
        <v>3</v>
      </c>
      <c r="L16" s="102">
        <f t="shared" ref="L16:L17" si="13">9.06*1160000+2</f>
        <v>10509602</v>
      </c>
      <c r="M16" s="102">
        <f t="shared" ref="M16:M17" si="14">+W$9</f>
        <v>324.99</v>
      </c>
      <c r="N16" s="102">
        <f t="shared" ref="N16:N17" si="15">+(L16+M16)*10%</f>
        <v>1050992.699</v>
      </c>
      <c r="O16" s="102">
        <f t="shared" si="0"/>
        <v>34682760</v>
      </c>
      <c r="P16" s="9">
        <f t="shared" si="1"/>
        <v>11560920</v>
      </c>
      <c r="Q16" s="116">
        <f t="shared" si="2"/>
        <v>3468276</v>
      </c>
      <c r="R16" s="102">
        <f t="shared" si="3"/>
        <v>658972.44000000006</v>
      </c>
      <c r="S16" s="9">
        <f t="shared" si="4"/>
        <v>35341732</v>
      </c>
      <c r="T16" s="105"/>
      <c r="U16" s="33"/>
      <c r="V16" s="33"/>
      <c r="W16" s="35"/>
      <c r="X16" s="35"/>
      <c r="Y16" s="108">
        <v>4540767.9355263505</v>
      </c>
      <c r="Z16" s="109">
        <f t="shared" si="5"/>
        <v>-30800964.064473651</v>
      </c>
      <c r="AA16" s="34"/>
      <c r="AB16" s="35"/>
      <c r="AC16" s="35"/>
      <c r="AD16" s="35"/>
      <c r="AE16" s="41"/>
      <c r="AF16" s="42"/>
      <c r="AG16" s="33"/>
      <c r="AH16" s="115">
        <f t="shared" si="10"/>
        <v>292356431</v>
      </c>
      <c r="AI16" s="30"/>
      <c r="AJ16" s="30"/>
      <c r="AK16" s="30"/>
      <c r="AL16" s="30"/>
      <c r="AM16" s="30"/>
      <c r="AN16" s="30"/>
      <c r="AO16" s="30"/>
      <c r="AP16" s="30"/>
      <c r="AQ16" s="30"/>
      <c r="AR16" s="120">
        <f t="shared" si="8"/>
        <v>292356431</v>
      </c>
    </row>
    <row r="17" spans="2:44" ht="36" x14ac:dyDescent="0.25">
      <c r="B17" s="278"/>
      <c r="C17" s="278"/>
      <c r="D17" s="135" t="s">
        <v>279</v>
      </c>
      <c r="E17" s="310" t="s">
        <v>280</v>
      </c>
      <c r="F17" s="310" t="s">
        <v>281</v>
      </c>
      <c r="G17" s="5" t="s">
        <v>272</v>
      </c>
      <c r="H17" s="5" t="s">
        <v>282</v>
      </c>
      <c r="I17" s="7" t="s">
        <v>271</v>
      </c>
      <c r="J17" s="8">
        <v>30</v>
      </c>
      <c r="K17" s="8">
        <v>9</v>
      </c>
      <c r="L17" s="102">
        <f t="shared" si="13"/>
        <v>10509602</v>
      </c>
      <c r="M17" s="102">
        <f t="shared" si="14"/>
        <v>324.99</v>
      </c>
      <c r="N17" s="102">
        <f t="shared" si="15"/>
        <v>1050992.699</v>
      </c>
      <c r="O17" s="102">
        <f t="shared" si="0"/>
        <v>104048280</v>
      </c>
      <c r="P17" s="9">
        <f t="shared" si="1"/>
        <v>11560920</v>
      </c>
      <c r="Q17" s="116">
        <f t="shared" si="2"/>
        <v>10404828</v>
      </c>
      <c r="R17" s="102">
        <f t="shared" si="3"/>
        <v>1976917.32</v>
      </c>
      <c r="S17" s="9">
        <f t="shared" si="4"/>
        <v>106025197</v>
      </c>
      <c r="T17" s="105"/>
      <c r="U17" s="33"/>
      <c r="V17" s="33"/>
      <c r="W17" s="35"/>
      <c r="X17" s="35"/>
      <c r="Y17" s="108">
        <v>4337741.4081367375</v>
      </c>
      <c r="Z17" s="109">
        <f t="shared" si="5"/>
        <v>-101687455.59186326</v>
      </c>
      <c r="AA17" s="34"/>
      <c r="AB17" s="35"/>
      <c r="AC17" s="35"/>
      <c r="AD17" s="35"/>
      <c r="AE17" s="41"/>
      <c r="AF17" s="42"/>
      <c r="AG17" s="33"/>
      <c r="AH17" s="115">
        <f t="shared" si="10"/>
        <v>398381628</v>
      </c>
      <c r="AI17" s="30"/>
      <c r="AJ17" s="30"/>
      <c r="AK17" s="30"/>
      <c r="AL17" s="30"/>
      <c r="AM17" s="30"/>
      <c r="AN17" s="30"/>
      <c r="AO17" s="30"/>
      <c r="AP17" s="30"/>
      <c r="AQ17" s="30"/>
      <c r="AR17" s="120">
        <f t="shared" si="8"/>
        <v>398381628</v>
      </c>
    </row>
    <row r="18" spans="2:44" ht="36" x14ac:dyDescent="0.25">
      <c r="B18" s="278"/>
      <c r="C18" s="278"/>
      <c r="D18" s="135" t="s">
        <v>279</v>
      </c>
      <c r="E18" s="278"/>
      <c r="F18" s="278"/>
      <c r="G18" s="5" t="s">
        <v>283</v>
      </c>
      <c r="H18" s="5" t="s">
        <v>284</v>
      </c>
      <c r="I18" s="7" t="s">
        <v>269</v>
      </c>
      <c r="J18" s="8">
        <v>30</v>
      </c>
      <c r="K18" s="8">
        <v>5</v>
      </c>
      <c r="L18" s="102">
        <f>(9.06*1160000*55.97%)+(9.06*1160000*44.03%/9*1)+2</f>
        <v>6396378.1066666665</v>
      </c>
      <c r="M18" s="102">
        <f>+(W$9*55.97%)+(W9*44.03%/9*1)</f>
        <v>197.79613600000002</v>
      </c>
      <c r="N18" s="102">
        <f>+(L18+M18)*8%</f>
        <v>511726.07222421333</v>
      </c>
      <c r="O18" s="102">
        <f t="shared" si="0"/>
        <v>34541510</v>
      </c>
      <c r="P18" s="9">
        <f t="shared" si="1"/>
        <v>6908302</v>
      </c>
      <c r="Q18" s="116">
        <f t="shared" si="2"/>
        <v>3454151</v>
      </c>
      <c r="R18" s="102">
        <f t="shared" si="3"/>
        <v>656288.69000000006</v>
      </c>
      <c r="S18" s="9">
        <f t="shared" si="4"/>
        <v>35197799</v>
      </c>
      <c r="T18" s="105"/>
      <c r="U18" s="33"/>
      <c r="V18" s="33"/>
      <c r="W18" s="35"/>
      <c r="X18" s="35"/>
      <c r="Y18" s="108">
        <v>29602520.697163612</v>
      </c>
      <c r="Z18" s="109">
        <f t="shared" si="5"/>
        <v>-5595278.3028363883</v>
      </c>
      <c r="AA18" s="34"/>
      <c r="AB18" s="35"/>
      <c r="AC18" s="35"/>
      <c r="AD18" s="35"/>
      <c r="AE18" s="41"/>
      <c r="AF18" s="42"/>
      <c r="AG18" s="33"/>
      <c r="AH18" s="115">
        <f t="shared" si="10"/>
        <v>433579427</v>
      </c>
      <c r="AI18" s="30"/>
      <c r="AJ18" s="30"/>
      <c r="AK18" s="30"/>
      <c r="AL18" s="30"/>
      <c r="AM18" s="30"/>
      <c r="AN18" s="30"/>
      <c r="AO18" s="30"/>
      <c r="AP18" s="30"/>
      <c r="AQ18" s="30"/>
      <c r="AR18" s="120">
        <f t="shared" si="8"/>
        <v>433579427</v>
      </c>
    </row>
    <row r="19" spans="2:44" ht="36" x14ac:dyDescent="0.25">
      <c r="B19" s="278"/>
      <c r="C19" s="278"/>
      <c r="D19" s="135" t="s">
        <v>279</v>
      </c>
      <c r="E19" s="276"/>
      <c r="F19" s="276"/>
      <c r="G19" s="5" t="s">
        <v>285</v>
      </c>
      <c r="H19" s="5" t="s">
        <v>92</v>
      </c>
      <c r="I19" s="7" t="s">
        <v>277</v>
      </c>
      <c r="J19" s="8">
        <v>30</v>
      </c>
      <c r="K19" s="8">
        <v>1</v>
      </c>
      <c r="L19" s="102">
        <f>9.06*1160000*55.97%/15*12+2</f>
        <v>4705780.4959999993</v>
      </c>
      <c r="M19" s="102">
        <f>+W$9*55.97%/15*12</f>
        <v>145.51752240000002</v>
      </c>
      <c r="N19" s="102">
        <f>+(L19+M19)*11%</f>
        <v>517651.86148746393</v>
      </c>
      <c r="O19" s="102">
        <f t="shared" si="0"/>
        <v>5223578</v>
      </c>
      <c r="P19" s="9">
        <f t="shared" si="1"/>
        <v>5223578</v>
      </c>
      <c r="Q19" s="116">
        <f t="shared" si="2"/>
        <v>522357.80000000005</v>
      </c>
      <c r="R19" s="102">
        <f t="shared" si="3"/>
        <v>99247.982000000004</v>
      </c>
      <c r="S19" s="9">
        <f t="shared" si="4"/>
        <v>5322826</v>
      </c>
      <c r="T19" s="105"/>
      <c r="U19" s="33"/>
      <c r="V19" s="33"/>
      <c r="W19" s="35"/>
      <c r="X19" s="35"/>
      <c r="Y19" s="108">
        <v>88807562.09149085</v>
      </c>
      <c r="Z19" s="109">
        <f t="shared" si="5"/>
        <v>83484736.09149085</v>
      </c>
      <c r="AA19" s="34"/>
      <c r="AB19" s="35"/>
      <c r="AC19" s="35"/>
      <c r="AD19" s="35"/>
      <c r="AE19" s="41"/>
      <c r="AF19" s="42"/>
      <c r="AG19" s="33"/>
      <c r="AH19" s="115">
        <f t="shared" si="10"/>
        <v>438902253</v>
      </c>
      <c r="AI19" s="30"/>
      <c r="AJ19" s="30"/>
      <c r="AK19" s="30"/>
      <c r="AL19" s="30"/>
      <c r="AM19" s="30"/>
      <c r="AN19" s="125" t="e">
        <f>AI12+AJ14+AK21+AL24</f>
        <v>#REF!</v>
      </c>
      <c r="AO19" s="30"/>
      <c r="AP19" s="30"/>
      <c r="AQ19" s="30"/>
      <c r="AR19" s="120">
        <f t="shared" si="8"/>
        <v>438902253</v>
      </c>
    </row>
    <row r="20" spans="2:44" ht="24" x14ac:dyDescent="0.25">
      <c r="B20" s="278"/>
      <c r="C20" s="278"/>
      <c r="D20" s="135" t="s">
        <v>278</v>
      </c>
      <c r="E20" s="310" t="s">
        <v>286</v>
      </c>
      <c r="F20" s="310" t="s">
        <v>287</v>
      </c>
      <c r="G20" s="5" t="s">
        <v>272</v>
      </c>
      <c r="H20" s="5" t="s">
        <v>93</v>
      </c>
      <c r="I20" s="7" t="s">
        <v>271</v>
      </c>
      <c r="J20" s="8">
        <v>30</v>
      </c>
      <c r="K20" s="8">
        <v>11</v>
      </c>
      <c r="L20" s="102">
        <f>9.06*1160000+2</f>
        <v>10509602</v>
      </c>
      <c r="M20" s="102">
        <f>+W$9</f>
        <v>324.99</v>
      </c>
      <c r="N20" s="102">
        <f>+(L20+M20)*10%</f>
        <v>1050992.699</v>
      </c>
      <c r="O20" s="102">
        <f t="shared" si="0"/>
        <v>127170120</v>
      </c>
      <c r="P20" s="9">
        <f t="shared" si="1"/>
        <v>11560920</v>
      </c>
      <c r="Q20" s="116">
        <f t="shared" si="2"/>
        <v>12717012</v>
      </c>
      <c r="R20" s="102">
        <f t="shared" si="3"/>
        <v>2416232.2800000003</v>
      </c>
      <c r="S20" s="9">
        <f t="shared" si="4"/>
        <v>129586352</v>
      </c>
      <c r="T20" s="105"/>
      <c r="U20" s="33"/>
      <c r="V20" s="33"/>
      <c r="W20" s="35"/>
      <c r="X20" s="35"/>
      <c r="Y20" s="108">
        <v>29483347.424130812</v>
      </c>
      <c r="Z20" s="109">
        <f t="shared" si="5"/>
        <v>-100103004.57586919</v>
      </c>
      <c r="AA20" s="34"/>
      <c r="AB20" s="35"/>
      <c r="AC20" s="35"/>
      <c r="AD20" s="35"/>
      <c r="AE20" s="41"/>
      <c r="AF20" s="42"/>
      <c r="AG20" s="33"/>
      <c r="AH20" s="115">
        <f t="shared" si="10"/>
        <v>568488605</v>
      </c>
      <c r="AI20" s="30"/>
      <c r="AJ20" s="30"/>
      <c r="AK20" s="30"/>
      <c r="AL20" s="30"/>
      <c r="AM20" s="30"/>
      <c r="AN20" s="30"/>
      <c r="AO20" s="30"/>
      <c r="AP20" s="30"/>
      <c r="AQ20" s="30"/>
      <c r="AR20" s="120">
        <f t="shared" si="8"/>
        <v>568488605</v>
      </c>
    </row>
    <row r="21" spans="2:44" ht="15.75" customHeight="1" x14ac:dyDescent="0.25">
      <c r="B21" s="278"/>
      <c r="C21" s="278"/>
      <c r="D21" s="135" t="s">
        <v>278</v>
      </c>
      <c r="E21" s="276"/>
      <c r="F21" s="276"/>
      <c r="G21" s="5" t="s">
        <v>283</v>
      </c>
      <c r="H21" s="5" t="s">
        <v>288</v>
      </c>
      <c r="I21" s="7" t="s">
        <v>269</v>
      </c>
      <c r="J21" s="8">
        <v>30</v>
      </c>
      <c r="K21" s="8">
        <v>5</v>
      </c>
      <c r="L21" s="102">
        <f>(9.06*1160000*55.97%)+(9.06*1160000*44.03%/9*1)+2</f>
        <v>6396378.1066666665</v>
      </c>
      <c r="M21" s="102">
        <f>+(W$9*55.97%)+(W9*44.03%/9*1)</f>
        <v>197.79613600000002</v>
      </c>
      <c r="N21" s="102">
        <f>+(L21+M21)*8%</f>
        <v>511726.07222421333</v>
      </c>
      <c r="O21" s="102">
        <f t="shared" si="0"/>
        <v>34541510</v>
      </c>
      <c r="P21" s="9">
        <f t="shared" si="1"/>
        <v>6908302</v>
      </c>
      <c r="Q21" s="116">
        <f t="shared" si="2"/>
        <v>3454151</v>
      </c>
      <c r="R21" s="102">
        <f t="shared" si="3"/>
        <v>656288.69000000006</v>
      </c>
      <c r="S21" s="9">
        <f t="shared" si="4"/>
        <v>35197799</v>
      </c>
      <c r="T21" s="105"/>
      <c r="U21" s="33"/>
      <c r="V21" s="33"/>
      <c r="W21" s="35"/>
      <c r="X21" s="35"/>
      <c r="Y21" s="108">
        <v>4458234.2250294229</v>
      </c>
      <c r="Z21" s="109">
        <f t="shared" si="5"/>
        <v>-30739564.774970576</v>
      </c>
      <c r="AA21" s="34"/>
      <c r="AB21" s="35"/>
      <c r="AC21" s="35"/>
      <c r="AD21" s="35"/>
      <c r="AE21" s="41"/>
      <c r="AF21" s="42"/>
      <c r="AG21" s="33"/>
      <c r="AH21" s="115">
        <f t="shared" si="10"/>
        <v>603686404</v>
      </c>
      <c r="AI21" s="125"/>
      <c r="AJ21" s="30"/>
      <c r="AK21" s="136">
        <f>S15+S16+S17+S18+S19+S20+S21+S26+S27+S28+S29+S30+S31+S32+S33+S34+S35+S36+S37+S38+S39+S40+S41+S42+S63+S69+S70+S71+S72+S74+S75+S76+S77+S78+S79+S81+S83</f>
        <v>1033549672</v>
      </c>
      <c r="AL21" s="125"/>
      <c r="AM21" s="30"/>
      <c r="AN21" s="30"/>
      <c r="AO21" s="30"/>
      <c r="AP21" s="30"/>
      <c r="AQ21" s="30"/>
      <c r="AR21" s="120">
        <f t="shared" si="8"/>
        <v>603686404</v>
      </c>
    </row>
    <row r="22" spans="2:44" ht="15.75" customHeight="1" x14ac:dyDescent="0.25">
      <c r="B22" s="278"/>
      <c r="C22" s="278"/>
      <c r="D22" s="137" t="s">
        <v>140</v>
      </c>
      <c r="E22" s="313" t="s">
        <v>141</v>
      </c>
      <c r="F22" s="313" t="s">
        <v>289</v>
      </c>
      <c r="G22" s="5" t="s">
        <v>272</v>
      </c>
      <c r="H22" s="73" t="s">
        <v>97</v>
      </c>
      <c r="I22" s="7" t="s">
        <v>271</v>
      </c>
      <c r="J22" s="8">
        <v>30</v>
      </c>
      <c r="K22" s="8">
        <v>14</v>
      </c>
      <c r="L22" s="102">
        <f>9.06*1160000+2</f>
        <v>10509602</v>
      </c>
      <c r="M22" s="102">
        <f>+W$9</f>
        <v>324.99</v>
      </c>
      <c r="N22" s="102">
        <f>+(L22+M22)*10%</f>
        <v>1050992.699</v>
      </c>
      <c r="O22" s="102">
        <f t="shared" si="0"/>
        <v>161852880</v>
      </c>
      <c r="P22" s="9">
        <f t="shared" si="1"/>
        <v>11560920</v>
      </c>
      <c r="Q22" s="118">
        <v>0</v>
      </c>
      <c r="R22" s="119">
        <v>0</v>
      </c>
      <c r="S22" s="9">
        <f t="shared" si="4"/>
        <v>161852880</v>
      </c>
      <c r="T22" s="105"/>
      <c r="U22" s="33"/>
      <c r="V22" s="33"/>
      <c r="W22" s="35"/>
      <c r="X22" s="35"/>
      <c r="Y22" s="108">
        <v>108542575.88959992</v>
      </c>
      <c r="Z22" s="109">
        <f t="shared" si="5"/>
        <v>-53310304.110400081</v>
      </c>
      <c r="AA22" s="34"/>
      <c r="AB22" s="35"/>
      <c r="AC22" s="35"/>
      <c r="AD22" s="35"/>
      <c r="AE22" s="41"/>
      <c r="AF22" s="42"/>
      <c r="AG22" s="33"/>
      <c r="AH22" s="115">
        <f t="shared" si="10"/>
        <v>765539284</v>
      </c>
      <c r="AI22" s="30"/>
      <c r="AJ22" s="30"/>
      <c r="AK22" s="30"/>
      <c r="AL22" s="30"/>
      <c r="AM22" s="30"/>
      <c r="AN22" s="30"/>
      <c r="AO22" s="30"/>
      <c r="AP22" s="30"/>
      <c r="AQ22" s="30"/>
      <c r="AR22" s="120">
        <f t="shared" si="8"/>
        <v>765539284</v>
      </c>
    </row>
    <row r="23" spans="2:44" ht="15.75" customHeight="1" x14ac:dyDescent="0.25">
      <c r="B23" s="278"/>
      <c r="C23" s="278"/>
      <c r="D23" s="137" t="s">
        <v>140</v>
      </c>
      <c r="E23" s="278"/>
      <c r="F23" s="278"/>
      <c r="G23" s="5" t="s">
        <v>268</v>
      </c>
      <c r="H23" s="73" t="s">
        <v>290</v>
      </c>
      <c r="I23" s="7" t="s">
        <v>269</v>
      </c>
      <c r="J23" s="8">
        <v>30</v>
      </c>
      <c r="K23" s="8">
        <v>5</v>
      </c>
      <c r="L23" s="102">
        <f t="shared" ref="L23:L24" si="16">9.06*1160000*55.97%/15*12+2</f>
        <v>4705780.4959999993</v>
      </c>
      <c r="M23" s="102">
        <f t="shared" ref="M23:M24" si="17">+W$9*55.97%/15*12</f>
        <v>145.51752240000002</v>
      </c>
      <c r="N23" s="102">
        <f>+(L23+M23)*8%</f>
        <v>376474.08108179196</v>
      </c>
      <c r="O23" s="102">
        <f t="shared" si="0"/>
        <v>25412000</v>
      </c>
      <c r="P23" s="9">
        <f t="shared" si="1"/>
        <v>5082400</v>
      </c>
      <c r="Q23" s="118">
        <v>0</v>
      </c>
      <c r="R23" s="119">
        <v>0</v>
      </c>
      <c r="S23" s="9">
        <f t="shared" si="4"/>
        <v>25412000</v>
      </c>
      <c r="T23" s="105"/>
      <c r="U23" s="33"/>
      <c r="V23" s="33"/>
      <c r="W23" s="35"/>
      <c r="X23" s="35"/>
      <c r="Y23" s="108">
        <v>29483347.424130812</v>
      </c>
      <c r="Z23" s="109">
        <f t="shared" si="5"/>
        <v>4071347.4241308123</v>
      </c>
      <c r="AA23" s="34"/>
      <c r="AB23" s="35"/>
      <c r="AC23" s="35"/>
      <c r="AD23" s="35"/>
      <c r="AE23" s="41"/>
      <c r="AF23" s="42"/>
      <c r="AG23" s="33"/>
      <c r="AH23" s="115">
        <f t="shared" si="10"/>
        <v>790951284</v>
      </c>
      <c r="AI23" s="30"/>
      <c r="AJ23" s="30"/>
      <c r="AK23" s="30"/>
      <c r="AL23" s="30"/>
      <c r="AM23" s="30"/>
      <c r="AN23" s="30"/>
      <c r="AO23" s="30"/>
      <c r="AP23" s="30"/>
      <c r="AQ23" s="30"/>
      <c r="AR23" s="120">
        <f t="shared" si="8"/>
        <v>790951284</v>
      </c>
    </row>
    <row r="24" spans="2:44" ht="15.75" customHeight="1" x14ac:dyDescent="0.25">
      <c r="B24" s="278"/>
      <c r="C24" s="278"/>
      <c r="D24" s="137" t="s">
        <v>140</v>
      </c>
      <c r="E24" s="278"/>
      <c r="F24" s="278"/>
      <c r="G24" s="5" t="s">
        <v>268</v>
      </c>
      <c r="H24" s="73" t="s">
        <v>291</v>
      </c>
      <c r="I24" s="7" t="s">
        <v>277</v>
      </c>
      <c r="J24" s="8">
        <v>30</v>
      </c>
      <c r="K24" s="8">
        <v>1</v>
      </c>
      <c r="L24" s="102">
        <f t="shared" si="16"/>
        <v>4705780.4959999993</v>
      </c>
      <c r="M24" s="102">
        <f t="shared" si="17"/>
        <v>145.51752240000002</v>
      </c>
      <c r="N24" s="102">
        <f>+(L24+M24)*11%</f>
        <v>517651.86148746393</v>
      </c>
      <c r="O24" s="102">
        <f t="shared" si="0"/>
        <v>5223578</v>
      </c>
      <c r="P24" s="9">
        <f t="shared" si="1"/>
        <v>5223578</v>
      </c>
      <c r="Q24" s="118">
        <v>0</v>
      </c>
      <c r="R24" s="119">
        <v>0</v>
      </c>
      <c r="S24" s="9">
        <f t="shared" si="4"/>
        <v>5223578</v>
      </c>
      <c r="T24" s="105"/>
      <c r="U24" s="33"/>
      <c r="V24" s="33"/>
      <c r="W24" s="35"/>
      <c r="X24" s="35"/>
      <c r="Y24" s="108">
        <v>144603946.95463517</v>
      </c>
      <c r="Z24" s="109">
        <f t="shared" si="5"/>
        <v>139380368.95463517</v>
      </c>
      <c r="AA24" s="34"/>
      <c r="AB24" s="35"/>
      <c r="AC24" s="35"/>
      <c r="AD24" s="35"/>
      <c r="AE24" s="41"/>
      <c r="AF24" s="42"/>
      <c r="AG24" s="33"/>
      <c r="AH24" s="115">
        <f t="shared" si="10"/>
        <v>796174862</v>
      </c>
      <c r="AI24" s="30"/>
      <c r="AJ24" s="30"/>
      <c r="AK24" s="30"/>
      <c r="AL24" s="138" t="e">
        <f>S22+S23+S24+S25+#REF!+S73</f>
        <v>#REF!</v>
      </c>
      <c r="AM24" s="30"/>
      <c r="AN24" s="30"/>
      <c r="AO24" s="30"/>
      <c r="AP24" s="30"/>
      <c r="AQ24" s="30"/>
      <c r="AR24" s="120">
        <f t="shared" si="8"/>
        <v>796174862</v>
      </c>
    </row>
    <row r="25" spans="2:44" ht="15.75" customHeight="1" x14ac:dyDescent="0.25">
      <c r="B25" s="278"/>
      <c r="C25" s="278"/>
      <c r="D25" s="137" t="s">
        <v>140</v>
      </c>
      <c r="E25" s="276"/>
      <c r="F25" s="276"/>
      <c r="G25" s="5" t="s">
        <v>272</v>
      </c>
      <c r="H25" s="73" t="s">
        <v>101</v>
      </c>
      <c r="I25" s="7" t="s">
        <v>269</v>
      </c>
      <c r="J25" s="8">
        <v>30</v>
      </c>
      <c r="K25" s="8">
        <v>2</v>
      </c>
      <c r="L25" s="102">
        <f t="shared" ref="L25:L26" si="18">9.06*1160000+2</f>
        <v>10509602</v>
      </c>
      <c r="M25" s="102">
        <f t="shared" ref="M25:M26" si="19">+W$9</f>
        <v>324.99</v>
      </c>
      <c r="N25" s="102">
        <f>+(L25+M25)*8%</f>
        <v>840794.15919999999</v>
      </c>
      <c r="O25" s="102">
        <f t="shared" si="0"/>
        <v>22701442</v>
      </c>
      <c r="P25" s="9">
        <f t="shared" si="1"/>
        <v>11350721</v>
      </c>
      <c r="Q25" s="118">
        <v>0</v>
      </c>
      <c r="R25" s="119">
        <v>0</v>
      </c>
      <c r="S25" s="9">
        <f t="shared" si="4"/>
        <v>22701442</v>
      </c>
      <c r="T25" s="105"/>
      <c r="U25" s="33"/>
      <c r="V25" s="33"/>
      <c r="W25" s="35"/>
      <c r="X25" s="35"/>
      <c r="Y25" s="108">
        <v>21284305.241102733</v>
      </c>
      <c r="Z25" s="109">
        <f t="shared" si="5"/>
        <v>-1417136.7588972673</v>
      </c>
      <c r="AA25" s="34"/>
      <c r="AB25" s="35"/>
      <c r="AC25" s="35"/>
      <c r="AD25" s="35"/>
      <c r="AE25" s="41"/>
      <c r="AF25" s="42"/>
      <c r="AG25" s="33"/>
      <c r="AH25" s="115">
        <f t="shared" si="10"/>
        <v>818876304</v>
      </c>
      <c r="AI25" s="30"/>
      <c r="AJ25" s="30"/>
      <c r="AK25" s="30"/>
      <c r="AL25" s="30"/>
      <c r="AM25" s="125"/>
      <c r="AN25" s="30"/>
      <c r="AO25" s="30"/>
      <c r="AP25" s="30"/>
      <c r="AQ25" s="30"/>
      <c r="AR25" s="120">
        <f t="shared" si="8"/>
        <v>818876304</v>
      </c>
    </row>
    <row r="26" spans="2:44" ht="15.75" customHeight="1" x14ac:dyDescent="0.25">
      <c r="B26" s="278"/>
      <c r="C26" s="278"/>
      <c r="D26" s="135" t="s">
        <v>292</v>
      </c>
      <c r="E26" s="310" t="s">
        <v>293</v>
      </c>
      <c r="F26" s="310" t="s">
        <v>294</v>
      </c>
      <c r="G26" s="5" t="s">
        <v>272</v>
      </c>
      <c r="H26" s="5" t="s">
        <v>104</v>
      </c>
      <c r="I26" s="7" t="s">
        <v>271</v>
      </c>
      <c r="J26" s="8">
        <v>30</v>
      </c>
      <c r="K26" s="8">
        <v>13</v>
      </c>
      <c r="L26" s="102">
        <f t="shared" si="18"/>
        <v>10509602</v>
      </c>
      <c r="M26" s="102">
        <f t="shared" si="19"/>
        <v>324.99</v>
      </c>
      <c r="N26" s="102">
        <f>+(L26+M26)*10%</f>
        <v>1050992.699</v>
      </c>
      <c r="O26" s="102">
        <f t="shared" si="0"/>
        <v>150291960</v>
      </c>
      <c r="P26" s="9">
        <f t="shared" si="1"/>
        <v>11560920</v>
      </c>
      <c r="Q26" s="116">
        <f t="shared" ref="Q26:Q61" si="20">+O26*10%</f>
        <v>15029196</v>
      </c>
      <c r="R26" s="102">
        <f t="shared" ref="R26:R61" si="21">+Q26*19%</f>
        <v>2855547.24</v>
      </c>
      <c r="S26" s="9">
        <f t="shared" si="4"/>
        <v>153147507</v>
      </c>
      <c r="T26" s="105"/>
      <c r="U26" s="33"/>
      <c r="V26" s="33"/>
      <c r="W26" s="35"/>
      <c r="X26" s="35"/>
      <c r="Y26" s="108">
        <v>4375107.1884488938</v>
      </c>
      <c r="Z26" s="109">
        <f t="shared" si="5"/>
        <v>-148772399.81155109</v>
      </c>
      <c r="AA26" s="34"/>
      <c r="AB26" s="35"/>
      <c r="AC26" s="35"/>
      <c r="AD26" s="35"/>
      <c r="AE26" s="41"/>
      <c r="AF26" s="42"/>
      <c r="AG26" s="33"/>
      <c r="AH26" s="115">
        <f t="shared" si="10"/>
        <v>972023811</v>
      </c>
      <c r="AI26" s="30"/>
      <c r="AJ26" s="30"/>
      <c r="AK26" s="30"/>
      <c r="AL26" s="30"/>
      <c r="AM26" s="30"/>
      <c r="AN26" s="30"/>
      <c r="AO26" s="30"/>
      <c r="AP26" s="30"/>
      <c r="AQ26" s="30"/>
      <c r="AR26" s="120">
        <f t="shared" si="8"/>
        <v>972023811</v>
      </c>
    </row>
    <row r="27" spans="2:44" ht="15.75" customHeight="1" x14ac:dyDescent="0.25">
      <c r="B27" s="278"/>
      <c r="C27" s="278"/>
      <c r="D27" s="135" t="s">
        <v>292</v>
      </c>
      <c r="E27" s="278"/>
      <c r="F27" s="278"/>
      <c r="G27" s="5" t="s">
        <v>283</v>
      </c>
      <c r="H27" s="5" t="s">
        <v>295</v>
      </c>
      <c r="I27" s="7" t="s">
        <v>269</v>
      </c>
      <c r="J27" s="8">
        <v>30</v>
      </c>
      <c r="K27" s="8">
        <v>7</v>
      </c>
      <c r="L27" s="102">
        <f>(9.06*1160000*55.97%)+(9.06*1160000*44.03%/9*1)+2</f>
        <v>6396378.1066666665</v>
      </c>
      <c r="M27" s="102">
        <f>+(W$9*55.97%)+(W9*44.03%/9)</f>
        <v>197.79613600000002</v>
      </c>
      <c r="N27" s="102">
        <f>+(L27+M27)*8%</f>
        <v>511726.07222421333</v>
      </c>
      <c r="O27" s="102">
        <f t="shared" si="0"/>
        <v>48358114</v>
      </c>
      <c r="P27" s="9">
        <f t="shared" si="1"/>
        <v>6908302</v>
      </c>
      <c r="Q27" s="116">
        <f t="shared" si="20"/>
        <v>4835811.4000000004</v>
      </c>
      <c r="R27" s="102">
        <f t="shared" si="21"/>
        <v>918804.16600000008</v>
      </c>
      <c r="S27" s="9">
        <f t="shared" si="4"/>
        <v>49276918</v>
      </c>
      <c r="T27" s="105"/>
      <c r="U27" s="33"/>
      <c r="V27" s="33"/>
      <c r="W27" s="35"/>
      <c r="X27" s="35"/>
      <c r="Y27" s="108">
        <v>19367040.037398506</v>
      </c>
      <c r="Z27" s="109">
        <f t="shared" si="5"/>
        <v>-29909877.962601494</v>
      </c>
      <c r="AA27" s="34"/>
      <c r="AB27" s="35"/>
      <c r="AC27" s="35"/>
      <c r="AD27" s="35"/>
      <c r="AE27" s="41"/>
      <c r="AF27" s="42"/>
      <c r="AG27" s="33"/>
      <c r="AH27" s="115">
        <f t="shared" si="10"/>
        <v>1021300729</v>
      </c>
      <c r="AI27" s="30"/>
      <c r="AJ27" s="30"/>
      <c r="AK27" s="30"/>
      <c r="AL27" s="30"/>
      <c r="AM27" s="30"/>
      <c r="AN27" s="30"/>
      <c r="AO27" s="30"/>
      <c r="AP27" s="30"/>
      <c r="AQ27" s="30"/>
      <c r="AR27" s="120">
        <f t="shared" si="8"/>
        <v>1021300729</v>
      </c>
    </row>
    <row r="28" spans="2:44" ht="15.75" customHeight="1" x14ac:dyDescent="0.25">
      <c r="B28" s="278"/>
      <c r="C28" s="278"/>
      <c r="D28" s="135" t="s">
        <v>292</v>
      </c>
      <c r="E28" s="276"/>
      <c r="F28" s="276"/>
      <c r="G28" s="5" t="s">
        <v>268</v>
      </c>
      <c r="H28" s="5" t="s">
        <v>25</v>
      </c>
      <c r="I28" s="7" t="s">
        <v>277</v>
      </c>
      <c r="J28" s="8">
        <v>30</v>
      </c>
      <c r="K28" s="8">
        <v>1</v>
      </c>
      <c r="L28" s="102">
        <f>9.06*1160000*55.97%/15*12+2</f>
        <v>4705780.4959999993</v>
      </c>
      <c r="M28" s="102">
        <f>+W$9*55.97%/15*12</f>
        <v>145.51752240000002</v>
      </c>
      <c r="N28" s="102">
        <f>+(L28+M28)*11%</f>
        <v>517651.86148746393</v>
      </c>
      <c r="O28" s="102">
        <f t="shared" si="0"/>
        <v>5223578</v>
      </c>
      <c r="P28" s="9">
        <f t="shared" si="1"/>
        <v>5223578</v>
      </c>
      <c r="Q28" s="116">
        <f t="shared" si="20"/>
        <v>522357.80000000005</v>
      </c>
      <c r="R28" s="102">
        <f t="shared" si="21"/>
        <v>99247.982000000004</v>
      </c>
      <c r="S28" s="9">
        <f t="shared" si="4"/>
        <v>5322826</v>
      </c>
      <c r="T28" s="105"/>
      <c r="U28" s="33"/>
      <c r="V28" s="33"/>
      <c r="W28" s="35"/>
      <c r="X28" s="35"/>
      <c r="Y28" s="108">
        <v>128277589.68770899</v>
      </c>
      <c r="Z28" s="109">
        <f t="shared" si="5"/>
        <v>122954763.68770899</v>
      </c>
      <c r="AA28" s="34"/>
      <c r="AB28" s="35"/>
      <c r="AC28" s="35"/>
      <c r="AD28" s="35"/>
      <c r="AE28" s="41"/>
      <c r="AF28" s="42"/>
      <c r="AG28" s="33"/>
      <c r="AH28" s="115">
        <f t="shared" si="10"/>
        <v>1026623555</v>
      </c>
      <c r="AI28" s="30"/>
      <c r="AJ28" s="30"/>
      <c r="AK28" s="30"/>
      <c r="AL28" s="30"/>
      <c r="AM28" s="30"/>
      <c r="AN28" s="30"/>
      <c r="AO28" s="30"/>
      <c r="AP28" s="30"/>
      <c r="AQ28" s="30"/>
      <c r="AR28" s="120">
        <f t="shared" si="8"/>
        <v>1026623555</v>
      </c>
    </row>
    <row r="29" spans="2:44" ht="15.75" customHeight="1" x14ac:dyDescent="0.25">
      <c r="B29" s="278"/>
      <c r="C29" s="278"/>
      <c r="D29" s="135" t="s">
        <v>292</v>
      </c>
      <c r="E29" s="310" t="s">
        <v>296</v>
      </c>
      <c r="F29" s="310" t="s">
        <v>297</v>
      </c>
      <c r="G29" s="5" t="s">
        <v>272</v>
      </c>
      <c r="H29" s="5" t="s">
        <v>111</v>
      </c>
      <c r="I29" s="7" t="s">
        <v>271</v>
      </c>
      <c r="J29" s="8">
        <v>30</v>
      </c>
      <c r="K29" s="8">
        <v>3</v>
      </c>
      <c r="L29" s="102">
        <f>9.06*1160000+2</f>
        <v>10509602</v>
      </c>
      <c r="M29" s="102">
        <f>+W$9</f>
        <v>324.99</v>
      </c>
      <c r="N29" s="102">
        <f>+(L29+M29)*10%</f>
        <v>1050992.699</v>
      </c>
      <c r="O29" s="102">
        <f t="shared" si="0"/>
        <v>34682760</v>
      </c>
      <c r="P29" s="9">
        <f t="shared" si="1"/>
        <v>11560920</v>
      </c>
      <c r="Q29" s="116">
        <f t="shared" si="20"/>
        <v>3468276</v>
      </c>
      <c r="R29" s="102">
        <f t="shared" si="21"/>
        <v>658972.44000000006</v>
      </c>
      <c r="S29" s="9">
        <f t="shared" si="4"/>
        <v>35341732</v>
      </c>
      <c r="T29" s="105"/>
      <c r="U29" s="33"/>
      <c r="V29" s="33"/>
      <c r="W29" s="35"/>
      <c r="X29" s="35"/>
      <c r="Y29" s="108">
        <v>41276686.393783145</v>
      </c>
      <c r="Z29" s="109">
        <f t="shared" si="5"/>
        <v>5934954.3937831447</v>
      </c>
      <c r="AA29" s="34"/>
      <c r="AB29" s="35"/>
      <c r="AC29" s="35"/>
      <c r="AD29" s="35"/>
      <c r="AE29" s="41"/>
      <c r="AF29" s="42"/>
      <c r="AG29" s="33"/>
      <c r="AH29" s="115">
        <f t="shared" si="10"/>
        <v>1061965287</v>
      </c>
      <c r="AI29" s="30"/>
      <c r="AJ29" s="30"/>
      <c r="AK29" s="30"/>
      <c r="AL29" s="30"/>
      <c r="AM29" s="30"/>
      <c r="AN29" s="30"/>
      <c r="AO29" s="30"/>
      <c r="AP29" s="30"/>
      <c r="AQ29" s="30"/>
      <c r="AR29" s="120">
        <f t="shared" si="8"/>
        <v>1061965287</v>
      </c>
    </row>
    <row r="30" spans="2:44" ht="15.75" customHeight="1" x14ac:dyDescent="0.25">
      <c r="B30" s="278"/>
      <c r="C30" s="278"/>
      <c r="D30" s="135" t="s">
        <v>292</v>
      </c>
      <c r="E30" s="276"/>
      <c r="F30" s="276"/>
      <c r="G30" s="5" t="s">
        <v>268</v>
      </c>
      <c r="H30" s="5" t="s">
        <v>112</v>
      </c>
      <c r="I30" s="7" t="s">
        <v>269</v>
      </c>
      <c r="J30" s="8">
        <v>30</v>
      </c>
      <c r="K30" s="8">
        <v>5</v>
      </c>
      <c r="L30" s="102">
        <f>9.06*1160000*55.97%/15*12+2</f>
        <v>4705780.4959999993</v>
      </c>
      <c r="M30" s="102">
        <f>+(W$9*55.97%/15*12)</f>
        <v>145.51752240000002</v>
      </c>
      <c r="N30" s="102">
        <f t="shared" ref="N30:N37" si="22">+(L30+M30)*8%</f>
        <v>376474.08108179196</v>
      </c>
      <c r="O30" s="102">
        <f t="shared" si="0"/>
        <v>25412000</v>
      </c>
      <c r="P30" s="9">
        <f t="shared" si="1"/>
        <v>5082400</v>
      </c>
      <c r="Q30" s="116">
        <f t="shared" si="20"/>
        <v>2541200</v>
      </c>
      <c r="R30" s="102">
        <f t="shared" si="21"/>
        <v>482828</v>
      </c>
      <c r="S30" s="9">
        <f t="shared" si="4"/>
        <v>25894828</v>
      </c>
      <c r="T30" s="105"/>
      <c r="U30" s="33"/>
      <c r="V30" s="33"/>
      <c r="W30" s="35"/>
      <c r="X30" s="35"/>
      <c r="Y30" s="108">
        <v>4458234.2250294229</v>
      </c>
      <c r="Z30" s="109">
        <f t="shared" si="5"/>
        <v>-21436593.774970576</v>
      </c>
      <c r="AA30" s="34"/>
      <c r="AB30" s="35"/>
      <c r="AC30" s="35"/>
      <c r="AD30" s="35"/>
      <c r="AE30" s="41"/>
      <c r="AF30" s="42"/>
      <c r="AG30" s="33"/>
      <c r="AH30" s="115">
        <f t="shared" si="10"/>
        <v>1087860115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120">
        <f t="shared" si="8"/>
        <v>1087860115</v>
      </c>
    </row>
    <row r="31" spans="2:44" ht="15.75" customHeight="1" x14ac:dyDescent="0.25">
      <c r="B31" s="278"/>
      <c r="C31" s="278"/>
      <c r="D31" s="135" t="s">
        <v>278</v>
      </c>
      <c r="E31" s="135" t="s">
        <v>298</v>
      </c>
      <c r="F31" s="135" t="s">
        <v>299</v>
      </c>
      <c r="G31" s="5" t="s">
        <v>272</v>
      </c>
      <c r="H31" s="5" t="s">
        <v>115</v>
      </c>
      <c r="I31" s="7" t="s">
        <v>269</v>
      </c>
      <c r="J31" s="8">
        <v>30</v>
      </c>
      <c r="K31" s="8">
        <v>3</v>
      </c>
      <c r="L31" s="102">
        <f>9.06*1160000+2</f>
        <v>10509602</v>
      </c>
      <c r="M31" s="102">
        <f>+W$9</f>
        <v>324.99</v>
      </c>
      <c r="N31" s="102">
        <f t="shared" si="22"/>
        <v>840794.15919999999</v>
      </c>
      <c r="O31" s="102">
        <f t="shared" si="0"/>
        <v>34052163</v>
      </c>
      <c r="P31" s="9">
        <f t="shared" si="1"/>
        <v>11350721</v>
      </c>
      <c r="Q31" s="116">
        <f t="shared" si="20"/>
        <v>3405216.3000000003</v>
      </c>
      <c r="R31" s="102">
        <f t="shared" si="21"/>
        <v>646991.09700000007</v>
      </c>
      <c r="S31" s="9">
        <f t="shared" si="4"/>
        <v>34699154</v>
      </c>
      <c r="T31" s="105"/>
      <c r="U31" s="33"/>
      <c r="V31" s="33"/>
      <c r="W31" s="35"/>
      <c r="X31" s="35"/>
      <c r="Y31" s="108">
        <v>29602520.697163612</v>
      </c>
      <c r="Z31" s="109">
        <f t="shared" si="5"/>
        <v>-5096633.3028363883</v>
      </c>
      <c r="AA31" s="34"/>
      <c r="AB31" s="35"/>
      <c r="AC31" s="35"/>
      <c r="AD31" s="35"/>
      <c r="AE31" s="41"/>
      <c r="AF31" s="42"/>
      <c r="AG31" s="33"/>
      <c r="AH31" s="115">
        <f t="shared" si="10"/>
        <v>1122559269</v>
      </c>
      <c r="AI31" s="30"/>
      <c r="AJ31" s="30"/>
      <c r="AK31" s="30"/>
      <c r="AL31" s="30"/>
      <c r="AM31" s="30"/>
      <c r="AN31" s="30"/>
      <c r="AO31" s="30"/>
      <c r="AP31" s="30"/>
      <c r="AQ31" s="30"/>
      <c r="AR31" s="120">
        <f t="shared" si="8"/>
        <v>1122559269</v>
      </c>
    </row>
    <row r="32" spans="2:44" ht="15.75" customHeight="1" x14ac:dyDescent="0.25">
      <c r="B32" s="278"/>
      <c r="C32" s="278"/>
      <c r="D32" s="135" t="s">
        <v>300</v>
      </c>
      <c r="E32" s="310" t="s">
        <v>301</v>
      </c>
      <c r="F32" s="310" t="s">
        <v>302</v>
      </c>
      <c r="G32" s="5" t="s">
        <v>268</v>
      </c>
      <c r="H32" s="5" t="s">
        <v>118</v>
      </c>
      <c r="I32" s="7" t="s">
        <v>269</v>
      </c>
      <c r="J32" s="8">
        <v>30</v>
      </c>
      <c r="K32" s="8">
        <v>6</v>
      </c>
      <c r="L32" s="102">
        <f>9.06*1160000*55.97%/15*12+2</f>
        <v>4705780.4959999993</v>
      </c>
      <c r="M32" s="102">
        <f>+W$9*55.97%/15*12</f>
        <v>145.51752240000002</v>
      </c>
      <c r="N32" s="102">
        <f t="shared" si="22"/>
        <v>376474.08108179196</v>
      </c>
      <c r="O32" s="102">
        <f t="shared" si="0"/>
        <v>30494400</v>
      </c>
      <c r="P32" s="9">
        <f t="shared" si="1"/>
        <v>5082400</v>
      </c>
      <c r="Q32" s="116">
        <f t="shared" si="20"/>
        <v>3049440</v>
      </c>
      <c r="R32" s="102">
        <f t="shared" si="21"/>
        <v>579393.6</v>
      </c>
      <c r="S32" s="9">
        <f t="shared" si="4"/>
        <v>31073794</v>
      </c>
      <c r="T32" s="105"/>
      <c r="U32" s="33"/>
      <c r="V32" s="33"/>
      <c r="W32" s="35"/>
      <c r="X32" s="35"/>
      <c r="Y32" s="108">
        <v>17350965.63254695</v>
      </c>
      <c r="Z32" s="109">
        <f t="shared" si="5"/>
        <v>-13722828.36745305</v>
      </c>
      <c r="AA32" s="34"/>
      <c r="AB32" s="35"/>
      <c r="AC32" s="35"/>
      <c r="AD32" s="35"/>
      <c r="AE32" s="41"/>
      <c r="AF32" s="42"/>
      <c r="AG32" s="33"/>
      <c r="AH32" s="115">
        <f t="shared" si="10"/>
        <v>1153633063</v>
      </c>
      <c r="AI32" s="30"/>
      <c r="AJ32" s="30"/>
      <c r="AK32" s="30"/>
      <c r="AL32" s="30"/>
      <c r="AM32" s="30"/>
      <c r="AN32" s="30"/>
      <c r="AO32" s="30"/>
      <c r="AP32" s="30"/>
      <c r="AQ32" s="30"/>
      <c r="AR32" s="120">
        <f t="shared" si="8"/>
        <v>1153633063</v>
      </c>
    </row>
    <row r="33" spans="2:44" ht="15.75" customHeight="1" x14ac:dyDescent="0.25">
      <c r="B33" s="278"/>
      <c r="C33" s="278"/>
      <c r="D33" s="135" t="s">
        <v>300</v>
      </c>
      <c r="E33" s="278"/>
      <c r="F33" s="278"/>
      <c r="G33" s="5" t="s">
        <v>272</v>
      </c>
      <c r="H33" s="5" t="s">
        <v>121</v>
      </c>
      <c r="I33" s="7" t="s">
        <v>269</v>
      </c>
      <c r="J33" s="8">
        <v>30</v>
      </c>
      <c r="K33" s="8">
        <f>8-1-1</f>
        <v>6</v>
      </c>
      <c r="L33" s="102">
        <f t="shared" ref="L33:L35" si="23">9.06*1160000+2</f>
        <v>10509602</v>
      </c>
      <c r="M33" s="102">
        <f t="shared" ref="M33:M35" si="24">+W$9</f>
        <v>324.99</v>
      </c>
      <c r="N33" s="102">
        <f t="shared" si="22"/>
        <v>840794.15919999999</v>
      </c>
      <c r="O33" s="102">
        <f t="shared" si="0"/>
        <v>68104326</v>
      </c>
      <c r="P33" s="9">
        <f t="shared" si="1"/>
        <v>11350721</v>
      </c>
      <c r="Q33" s="116">
        <f t="shared" si="20"/>
        <v>6810432.6000000006</v>
      </c>
      <c r="R33" s="102">
        <f t="shared" si="21"/>
        <v>1293982.1940000001</v>
      </c>
      <c r="S33" s="9">
        <f t="shared" si="4"/>
        <v>69398308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-65060566.59186326</v>
      </c>
      <c r="AA33" s="34"/>
      <c r="AB33" s="35"/>
      <c r="AC33" s="35"/>
      <c r="AD33" s="35"/>
      <c r="AE33" s="41"/>
      <c r="AF33" s="42"/>
      <c r="AG33" s="33"/>
      <c r="AH33" s="115">
        <f t="shared" si="10"/>
        <v>1223031371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120">
        <f t="shared" si="8"/>
        <v>1223031371</v>
      </c>
    </row>
    <row r="34" spans="2:44" ht="15.75" customHeight="1" x14ac:dyDescent="0.25">
      <c r="B34" s="278"/>
      <c r="C34" s="278"/>
      <c r="D34" s="135" t="s">
        <v>300</v>
      </c>
      <c r="E34" s="276"/>
      <c r="F34" s="276"/>
      <c r="G34" s="5" t="s">
        <v>272</v>
      </c>
      <c r="H34" s="5" t="s">
        <v>121</v>
      </c>
      <c r="I34" s="7" t="s">
        <v>269</v>
      </c>
      <c r="J34" s="8">
        <v>30</v>
      </c>
      <c r="K34" s="8">
        <v>1</v>
      </c>
      <c r="L34" s="102">
        <f t="shared" si="23"/>
        <v>10509602</v>
      </c>
      <c r="M34" s="102">
        <f t="shared" si="24"/>
        <v>324.99</v>
      </c>
      <c r="N34" s="102">
        <f t="shared" si="22"/>
        <v>840794.15919999999</v>
      </c>
      <c r="O34" s="102">
        <f t="shared" si="0"/>
        <v>11350721</v>
      </c>
      <c r="P34" s="9">
        <f t="shared" si="1"/>
        <v>11350721</v>
      </c>
      <c r="Q34" s="116">
        <f t="shared" si="20"/>
        <v>1135072.1000000001</v>
      </c>
      <c r="R34" s="102">
        <f t="shared" si="21"/>
        <v>215663.69900000002</v>
      </c>
      <c r="S34" s="9">
        <f t="shared" si="4"/>
        <v>11566385</v>
      </c>
      <c r="T34" s="105"/>
      <c r="U34" s="33"/>
      <c r="V34" s="33"/>
      <c r="W34" s="35"/>
      <c r="X34" s="35"/>
      <c r="Y34" s="108">
        <v>29064293.048124272</v>
      </c>
      <c r="Z34" s="109">
        <f t="shared" si="5"/>
        <v>17497908.048124272</v>
      </c>
      <c r="AA34" s="34"/>
      <c r="AB34" s="35"/>
      <c r="AC34" s="35"/>
      <c r="AD34" s="35"/>
      <c r="AE34" s="41"/>
      <c r="AF34" s="42"/>
      <c r="AG34" s="33"/>
      <c r="AH34" s="115">
        <f t="shared" si="10"/>
        <v>1234597756</v>
      </c>
      <c r="AI34" s="30"/>
      <c r="AJ34" s="30"/>
      <c r="AK34" s="30"/>
      <c r="AL34" s="30"/>
      <c r="AM34" s="30"/>
      <c r="AN34" s="30"/>
      <c r="AO34" s="30"/>
      <c r="AP34" s="30"/>
      <c r="AQ34" s="30"/>
      <c r="AR34" s="120">
        <f t="shared" si="8"/>
        <v>1234597756</v>
      </c>
    </row>
    <row r="35" spans="2:44" ht="24" customHeight="1" x14ac:dyDescent="0.25">
      <c r="B35" s="278"/>
      <c r="C35" s="278"/>
      <c r="D35" s="135" t="s">
        <v>279</v>
      </c>
      <c r="E35" s="310" t="s">
        <v>303</v>
      </c>
      <c r="F35" s="310" t="s">
        <v>304</v>
      </c>
      <c r="G35" s="5" t="s">
        <v>272</v>
      </c>
      <c r="H35" s="5" t="s">
        <v>47</v>
      </c>
      <c r="I35" s="7" t="s">
        <v>269</v>
      </c>
      <c r="J35" s="8">
        <v>30</v>
      </c>
      <c r="K35" s="8">
        <f>5-2</f>
        <v>3</v>
      </c>
      <c r="L35" s="102">
        <f t="shared" si="23"/>
        <v>10509602</v>
      </c>
      <c r="M35" s="102">
        <f t="shared" si="24"/>
        <v>324.99</v>
      </c>
      <c r="N35" s="102">
        <f t="shared" si="22"/>
        <v>840794.15919999999</v>
      </c>
      <c r="O35" s="102">
        <f t="shared" si="0"/>
        <v>34052163</v>
      </c>
      <c r="P35" s="9">
        <f t="shared" si="1"/>
        <v>11350721</v>
      </c>
      <c r="Q35" s="116">
        <f t="shared" si="20"/>
        <v>3405216.3000000003</v>
      </c>
      <c r="R35" s="102">
        <f t="shared" si="21"/>
        <v>646991.09700000007</v>
      </c>
      <c r="S35" s="9">
        <f t="shared" si="4"/>
        <v>34699154</v>
      </c>
      <c r="T35" s="105"/>
      <c r="U35" s="33"/>
      <c r="V35" s="33"/>
      <c r="W35" s="35"/>
      <c r="X35" s="35"/>
      <c r="Y35" s="108">
        <v>26026448.448820423</v>
      </c>
      <c r="Z35" s="109">
        <f t="shared" si="5"/>
        <v>-8672705.5511795767</v>
      </c>
      <c r="AA35" s="34"/>
      <c r="AB35" s="35"/>
      <c r="AC35" s="35"/>
      <c r="AD35" s="35"/>
      <c r="AE35" s="41"/>
      <c r="AF35" s="42"/>
      <c r="AG35" s="33"/>
      <c r="AH35" s="115">
        <f t="shared" si="10"/>
        <v>1269296910</v>
      </c>
      <c r="AI35" s="30"/>
      <c r="AJ35" s="30"/>
      <c r="AK35" s="30"/>
      <c r="AL35" s="30"/>
      <c r="AM35" s="30"/>
      <c r="AN35" s="30"/>
      <c r="AO35" s="30"/>
      <c r="AP35" s="30"/>
      <c r="AQ35" s="30"/>
      <c r="AR35" s="120">
        <f t="shared" si="8"/>
        <v>1269296910</v>
      </c>
    </row>
    <row r="36" spans="2:44" ht="15.75" customHeight="1" x14ac:dyDescent="0.25">
      <c r="B36" s="278"/>
      <c r="C36" s="278"/>
      <c r="D36" s="135" t="s">
        <v>279</v>
      </c>
      <c r="E36" s="278"/>
      <c r="F36" s="278"/>
      <c r="G36" s="5" t="s">
        <v>268</v>
      </c>
      <c r="H36" s="5" t="s">
        <v>127</v>
      </c>
      <c r="I36" s="7" t="s">
        <v>269</v>
      </c>
      <c r="J36" s="8">
        <v>30</v>
      </c>
      <c r="K36" s="8">
        <v>1</v>
      </c>
      <c r="L36" s="102">
        <f t="shared" ref="L36:L37" si="25">9.06*1160000*55.97%/15*12+2</f>
        <v>4705780.4959999993</v>
      </c>
      <c r="M36" s="102">
        <f t="shared" ref="M36:M37" si="26">+W$9*55.97%/15*12</f>
        <v>145.51752240000002</v>
      </c>
      <c r="N36" s="102">
        <f t="shared" si="22"/>
        <v>376474.08108179196</v>
      </c>
      <c r="O36" s="102">
        <f t="shared" si="0"/>
        <v>5082400</v>
      </c>
      <c r="P36" s="9">
        <f t="shared" si="1"/>
        <v>5082400</v>
      </c>
      <c r="Q36" s="116">
        <f t="shared" si="20"/>
        <v>508240</v>
      </c>
      <c r="R36" s="102">
        <f t="shared" si="21"/>
        <v>96565.6</v>
      </c>
      <c r="S36" s="9">
        <f t="shared" si="4"/>
        <v>5178966</v>
      </c>
      <c r="T36" s="105"/>
      <c r="U36" s="33"/>
      <c r="V36" s="33"/>
      <c r="W36" s="35"/>
      <c r="X36" s="35"/>
      <c r="Y36" s="108">
        <v>58128586.096248545</v>
      </c>
      <c r="Z36" s="109">
        <f t="shared" si="5"/>
        <v>52949620.096248545</v>
      </c>
      <c r="AA36" s="34"/>
      <c r="AB36" s="35"/>
      <c r="AC36" s="35"/>
      <c r="AD36" s="35"/>
      <c r="AE36" s="41"/>
      <c r="AF36" s="42"/>
      <c r="AG36" s="33"/>
      <c r="AH36" s="115">
        <f t="shared" si="10"/>
        <v>1274475876</v>
      </c>
      <c r="AI36" s="30"/>
      <c r="AJ36" s="30"/>
      <c r="AK36" s="30"/>
      <c r="AL36" s="30"/>
      <c r="AM36" s="30"/>
      <c r="AN36" s="30"/>
      <c r="AO36" s="30"/>
      <c r="AP36" s="30"/>
      <c r="AQ36" s="30"/>
      <c r="AR36" s="120">
        <f t="shared" si="8"/>
        <v>1274475876</v>
      </c>
    </row>
    <row r="37" spans="2:44" ht="15.75" customHeight="1" x14ac:dyDescent="0.25">
      <c r="B37" s="278"/>
      <c r="C37" s="278"/>
      <c r="D37" s="135" t="s">
        <v>279</v>
      </c>
      <c r="E37" s="276"/>
      <c r="F37" s="276"/>
      <c r="G37" s="5" t="s">
        <v>268</v>
      </c>
      <c r="H37" s="5" t="s">
        <v>127</v>
      </c>
      <c r="I37" s="7" t="s">
        <v>269</v>
      </c>
      <c r="J37" s="8">
        <v>30</v>
      </c>
      <c r="K37" s="8">
        <v>1</v>
      </c>
      <c r="L37" s="102">
        <f t="shared" si="25"/>
        <v>4705780.4959999993</v>
      </c>
      <c r="M37" s="102">
        <f t="shared" si="26"/>
        <v>145.51752240000002</v>
      </c>
      <c r="N37" s="102">
        <f t="shared" si="22"/>
        <v>376474.08108179196</v>
      </c>
      <c r="O37" s="102">
        <f t="shared" si="0"/>
        <v>5082400</v>
      </c>
      <c r="P37" s="9">
        <f t="shared" si="1"/>
        <v>5082400</v>
      </c>
      <c r="Q37" s="116">
        <f t="shared" si="20"/>
        <v>508240</v>
      </c>
      <c r="R37" s="102">
        <f t="shared" si="21"/>
        <v>96565.6</v>
      </c>
      <c r="S37" s="9">
        <f t="shared" si="4"/>
        <v>5178966</v>
      </c>
      <c r="T37" s="105"/>
      <c r="U37" s="33"/>
      <c r="V37" s="33"/>
      <c r="W37" s="35"/>
      <c r="X37" s="35"/>
      <c r="Y37" s="108">
        <v>9688097.682708092</v>
      </c>
      <c r="Z37" s="109">
        <f t="shared" si="5"/>
        <v>4509131.682708092</v>
      </c>
      <c r="AA37" s="34"/>
      <c r="AB37" s="35"/>
      <c r="AC37" s="35"/>
      <c r="AD37" s="35"/>
      <c r="AE37" s="41"/>
      <c r="AF37" s="42"/>
      <c r="AG37" s="33"/>
      <c r="AH37" s="115">
        <f t="shared" si="10"/>
        <v>1279654842</v>
      </c>
      <c r="AI37" s="30"/>
      <c r="AJ37" s="30"/>
      <c r="AK37" s="30"/>
      <c r="AL37" s="30"/>
      <c r="AM37" s="30"/>
      <c r="AN37" s="30"/>
      <c r="AO37" s="30"/>
      <c r="AP37" s="30"/>
      <c r="AQ37" s="30"/>
      <c r="AR37" s="120">
        <f t="shared" si="8"/>
        <v>1279654842</v>
      </c>
    </row>
    <row r="38" spans="2:44" ht="15.75" customHeight="1" x14ac:dyDescent="0.25">
      <c r="B38" s="278"/>
      <c r="C38" s="278"/>
      <c r="D38" s="310" t="s">
        <v>146</v>
      </c>
      <c r="E38" s="310" t="s">
        <v>170</v>
      </c>
      <c r="F38" s="310" t="s">
        <v>305</v>
      </c>
      <c r="G38" s="5" t="s">
        <v>272</v>
      </c>
      <c r="H38" s="5" t="s">
        <v>306</v>
      </c>
      <c r="I38" s="7" t="s">
        <v>271</v>
      </c>
      <c r="J38" s="8">
        <v>30</v>
      </c>
      <c r="K38" s="8">
        <v>3</v>
      </c>
      <c r="L38" s="102">
        <f>9.06*1160000+2</f>
        <v>10509602</v>
      </c>
      <c r="M38" s="102">
        <f>+W$9</f>
        <v>324.99</v>
      </c>
      <c r="N38" s="102">
        <f>+(L38+M38)*10%</f>
        <v>1050992.699</v>
      </c>
      <c r="O38" s="102">
        <f t="shared" si="0"/>
        <v>34682760</v>
      </c>
      <c r="P38" s="9">
        <f t="shared" si="1"/>
        <v>11560920</v>
      </c>
      <c r="Q38" s="116">
        <f t="shared" si="20"/>
        <v>3468276</v>
      </c>
      <c r="R38" s="102">
        <f t="shared" si="21"/>
        <v>658972.44000000006</v>
      </c>
      <c r="S38" s="9">
        <f t="shared" si="4"/>
        <v>35341732</v>
      </c>
      <c r="T38" s="105"/>
      <c r="U38" s="33"/>
      <c r="V38" s="33"/>
      <c r="W38" s="35"/>
      <c r="X38" s="35"/>
      <c r="Y38" s="108">
        <v>29064293.048124272</v>
      </c>
      <c r="Z38" s="109">
        <f t="shared" si="5"/>
        <v>-6277438.9518757276</v>
      </c>
      <c r="AA38" s="34"/>
      <c r="AB38" s="35"/>
      <c r="AC38" s="35"/>
      <c r="AD38" s="35"/>
      <c r="AE38" s="41"/>
      <c r="AF38" s="42"/>
      <c r="AG38" s="33"/>
      <c r="AH38" s="115">
        <f t="shared" si="10"/>
        <v>1314996574</v>
      </c>
      <c r="AI38" s="30"/>
      <c r="AJ38" s="30"/>
      <c r="AK38" s="30"/>
      <c r="AL38" s="30"/>
      <c r="AM38" s="30"/>
      <c r="AN38" s="30"/>
      <c r="AO38" s="30"/>
      <c r="AP38" s="30"/>
      <c r="AQ38" s="30"/>
      <c r="AR38" s="120">
        <f t="shared" si="8"/>
        <v>1314996574</v>
      </c>
    </row>
    <row r="39" spans="2:44" ht="15.75" customHeight="1" x14ac:dyDescent="0.25">
      <c r="B39" s="278"/>
      <c r="C39" s="278"/>
      <c r="D39" s="276"/>
      <c r="E39" s="276"/>
      <c r="F39" s="276"/>
      <c r="G39" s="5" t="s">
        <v>268</v>
      </c>
      <c r="H39" s="5" t="s">
        <v>307</v>
      </c>
      <c r="I39" s="7" t="s">
        <v>269</v>
      </c>
      <c r="J39" s="8">
        <v>30</v>
      </c>
      <c r="K39" s="8">
        <v>4</v>
      </c>
      <c r="L39" s="102">
        <f>9.06*1160000*55.97%/15*12/30*26+2</f>
        <v>4078343.3631999996</v>
      </c>
      <c r="M39" s="102">
        <f>+W$9*55.97%/15*12/30*26</f>
        <v>126.11518608000003</v>
      </c>
      <c r="N39" s="102">
        <f>+(L39+M39)*8%</f>
        <v>326277.55827088637</v>
      </c>
      <c r="O39" s="102">
        <f t="shared" si="0"/>
        <v>17618988</v>
      </c>
      <c r="P39" s="9">
        <f t="shared" si="1"/>
        <v>4404747</v>
      </c>
      <c r="Q39" s="116">
        <f t="shared" si="20"/>
        <v>1761898.8</v>
      </c>
      <c r="R39" s="102">
        <f t="shared" si="21"/>
        <v>334760.772</v>
      </c>
      <c r="S39" s="9">
        <f t="shared" si="4"/>
        <v>17953749</v>
      </c>
      <c r="T39" s="105"/>
      <c r="U39" s="33"/>
      <c r="V39" s="33"/>
      <c r="W39" s="35"/>
      <c r="X39" s="35"/>
      <c r="Y39" s="108">
        <v>4337741.4081367375</v>
      </c>
      <c r="Z39" s="109">
        <f t="shared" si="5"/>
        <v>-13616007.591863263</v>
      </c>
      <c r="AA39" s="34"/>
      <c r="AB39" s="35"/>
      <c r="AC39" s="35"/>
      <c r="AD39" s="35"/>
      <c r="AE39" s="41"/>
      <c r="AF39" s="42"/>
      <c r="AG39" s="33"/>
      <c r="AH39" s="115">
        <f t="shared" si="10"/>
        <v>1332950323</v>
      </c>
      <c r="AI39" s="30"/>
      <c r="AJ39" s="30"/>
      <c r="AK39" s="30"/>
      <c r="AL39" s="30"/>
      <c r="AM39" s="30"/>
      <c r="AN39" s="30"/>
      <c r="AO39" s="30"/>
      <c r="AP39" s="30"/>
      <c r="AQ39" s="30"/>
      <c r="AR39" s="120">
        <f t="shared" si="8"/>
        <v>1332950323</v>
      </c>
    </row>
    <row r="40" spans="2:44" ht="15.75" customHeight="1" x14ac:dyDescent="0.25">
      <c r="B40" s="278"/>
      <c r="C40" s="278"/>
      <c r="D40" s="135" t="s">
        <v>300</v>
      </c>
      <c r="E40" s="310" t="s">
        <v>308</v>
      </c>
      <c r="F40" s="311" t="s">
        <v>308</v>
      </c>
      <c r="G40" s="5" t="s">
        <v>272</v>
      </c>
      <c r="H40" s="5" t="s">
        <v>134</v>
      </c>
      <c r="I40" s="7" t="s">
        <v>271</v>
      </c>
      <c r="J40" s="8">
        <v>30</v>
      </c>
      <c r="K40" s="8">
        <v>2</v>
      </c>
      <c r="L40" s="102">
        <f>9.06*1160000+2</f>
        <v>10509602</v>
      </c>
      <c r="M40" s="102">
        <f>+W$9</f>
        <v>324.99</v>
      </c>
      <c r="N40" s="102">
        <f>+(L40+M40)*10%</f>
        <v>1050992.699</v>
      </c>
      <c r="O40" s="102">
        <f t="shared" si="0"/>
        <v>23121840</v>
      </c>
      <c r="P40" s="9">
        <f t="shared" si="1"/>
        <v>11560920</v>
      </c>
      <c r="Q40" s="116">
        <f t="shared" si="20"/>
        <v>2312184</v>
      </c>
      <c r="R40" s="102">
        <f t="shared" si="21"/>
        <v>439314.96</v>
      </c>
      <c r="S40" s="9">
        <f t="shared" si="4"/>
        <v>23561155</v>
      </c>
      <c r="T40" s="105"/>
      <c r="U40" s="33"/>
      <c r="V40" s="33"/>
      <c r="W40" s="35"/>
      <c r="X40" s="35"/>
      <c r="Y40" s="108">
        <v>4337741.4081367375</v>
      </c>
      <c r="Z40" s="109">
        <f t="shared" si="5"/>
        <v>-19223413.591863263</v>
      </c>
      <c r="AA40" s="34"/>
      <c r="AB40" s="35"/>
      <c r="AC40" s="35"/>
      <c r="AD40" s="35"/>
      <c r="AE40" s="41"/>
      <c r="AF40" s="42"/>
      <c r="AG40" s="33"/>
      <c r="AH40" s="115">
        <f t="shared" si="10"/>
        <v>1356511478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120">
        <f t="shared" si="8"/>
        <v>1356511478</v>
      </c>
    </row>
    <row r="41" spans="2:44" ht="15.75" customHeight="1" x14ac:dyDescent="0.25">
      <c r="B41" s="278"/>
      <c r="C41" s="278"/>
      <c r="D41" s="135" t="s">
        <v>300</v>
      </c>
      <c r="E41" s="276"/>
      <c r="F41" s="276"/>
      <c r="G41" s="5" t="s">
        <v>268</v>
      </c>
      <c r="H41" s="5" t="s">
        <v>309</v>
      </c>
      <c r="I41" s="7" t="s">
        <v>269</v>
      </c>
      <c r="J41" s="8">
        <v>30</v>
      </c>
      <c r="K41" s="8">
        <v>3</v>
      </c>
      <c r="L41" s="102">
        <f>9.06*1160000*55.97%/15*12+2</f>
        <v>4705780.4959999993</v>
      </c>
      <c r="M41" s="102">
        <f>+W$9*55.97%/15*12</f>
        <v>145.51752240000002</v>
      </c>
      <c r="N41" s="102">
        <f>+(L41+M41)*8%</f>
        <v>376474.08108179196</v>
      </c>
      <c r="O41" s="102">
        <f t="shared" si="0"/>
        <v>15247200</v>
      </c>
      <c r="P41" s="9">
        <f t="shared" si="1"/>
        <v>5082400</v>
      </c>
      <c r="Q41" s="116">
        <f t="shared" si="20"/>
        <v>1524720</v>
      </c>
      <c r="R41" s="102">
        <f t="shared" si="21"/>
        <v>289696.8</v>
      </c>
      <c r="S41" s="9">
        <f t="shared" si="4"/>
        <v>15536897</v>
      </c>
      <c r="T41" s="105"/>
      <c r="U41" s="33"/>
      <c r="V41" s="33"/>
      <c r="W41" s="35"/>
      <c r="X41" s="35"/>
      <c r="Y41" s="108">
        <v>29602520.697163612</v>
      </c>
      <c r="Z41" s="109">
        <f t="shared" si="5"/>
        <v>14065623.697163612</v>
      </c>
      <c r="AA41" s="34"/>
      <c r="AB41" s="35"/>
      <c r="AC41" s="35"/>
      <c r="AD41" s="35"/>
      <c r="AE41" s="41"/>
      <c r="AF41" s="42"/>
      <c r="AG41" s="33"/>
      <c r="AH41" s="115">
        <f t="shared" si="10"/>
        <v>1372048375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120">
        <f t="shared" si="8"/>
        <v>1372048375</v>
      </c>
    </row>
    <row r="42" spans="2:44" ht="15.75" customHeight="1" x14ac:dyDescent="0.25">
      <c r="B42" s="278"/>
      <c r="C42" s="276"/>
      <c r="D42" s="135" t="s">
        <v>146</v>
      </c>
      <c r="E42" s="135" t="s">
        <v>152</v>
      </c>
      <c r="F42" s="135" t="s">
        <v>310</v>
      </c>
      <c r="G42" s="5" t="s">
        <v>272</v>
      </c>
      <c r="H42" s="5" t="s">
        <v>311</v>
      </c>
      <c r="I42" s="7" t="s">
        <v>271</v>
      </c>
      <c r="J42" s="8">
        <v>30</v>
      </c>
      <c r="K42" s="8">
        <v>2</v>
      </c>
      <c r="L42" s="102">
        <f t="shared" ref="L42:L49" si="27">9.06*1160000+2</f>
        <v>10509602</v>
      </c>
      <c r="M42" s="102">
        <f t="shared" ref="M42:M49" si="28">+W$9</f>
        <v>324.99</v>
      </c>
      <c r="N42" s="102">
        <f t="shared" ref="N42:N47" si="29">+(L42+M42)*10%</f>
        <v>1050992.699</v>
      </c>
      <c r="O42" s="102">
        <f t="shared" si="0"/>
        <v>23121840</v>
      </c>
      <c r="P42" s="9">
        <f t="shared" si="1"/>
        <v>11560920</v>
      </c>
      <c r="Q42" s="116">
        <f t="shared" si="20"/>
        <v>2312184</v>
      </c>
      <c r="R42" s="102">
        <f t="shared" si="21"/>
        <v>439314.96</v>
      </c>
      <c r="S42" s="9">
        <f t="shared" si="4"/>
        <v>23561155</v>
      </c>
      <c r="T42" s="105"/>
      <c r="U42" s="33"/>
      <c r="V42" s="33"/>
      <c r="W42" s="35"/>
      <c r="X42" s="35"/>
      <c r="Y42" s="108">
        <v>17350965.63254695</v>
      </c>
      <c r="Z42" s="109">
        <f t="shared" si="5"/>
        <v>-6210189.3674530499</v>
      </c>
      <c r="AA42" s="34"/>
      <c r="AB42" s="35"/>
      <c r="AC42" s="35"/>
      <c r="AD42" s="35"/>
      <c r="AE42" s="41"/>
      <c r="AF42" s="42"/>
      <c r="AG42" s="33"/>
      <c r="AH42" s="115">
        <f t="shared" si="10"/>
        <v>1395609530</v>
      </c>
      <c r="AI42" s="30"/>
      <c r="AJ42" s="30"/>
      <c r="AK42" s="30"/>
      <c r="AL42" s="125"/>
      <c r="AM42" s="30"/>
      <c r="AN42" s="30"/>
      <c r="AO42" s="30"/>
      <c r="AP42" s="30"/>
      <c r="AQ42" s="30"/>
      <c r="AR42" s="120">
        <f t="shared" si="8"/>
        <v>1395609530</v>
      </c>
    </row>
    <row r="43" spans="2:44" ht="27.75" customHeight="1" x14ac:dyDescent="0.25">
      <c r="B43" s="278"/>
      <c r="C43" s="307" t="s">
        <v>312</v>
      </c>
      <c r="D43" s="139" t="s">
        <v>278</v>
      </c>
      <c r="E43" s="121" t="s">
        <v>88</v>
      </c>
      <c r="F43" s="121" t="s">
        <v>313</v>
      </c>
      <c r="G43" s="5" t="s">
        <v>270</v>
      </c>
      <c r="H43" s="5" t="s">
        <v>143</v>
      </c>
      <c r="I43" s="7" t="s">
        <v>271</v>
      </c>
      <c r="J43" s="8">
        <v>30</v>
      </c>
      <c r="K43" s="8">
        <v>1</v>
      </c>
      <c r="L43" s="102">
        <f t="shared" si="27"/>
        <v>10509602</v>
      </c>
      <c r="M43" s="102">
        <f t="shared" si="28"/>
        <v>324.99</v>
      </c>
      <c r="N43" s="102">
        <f t="shared" si="29"/>
        <v>1050992.699</v>
      </c>
      <c r="O43" s="102">
        <f t="shared" si="0"/>
        <v>11560920</v>
      </c>
      <c r="P43" s="9">
        <f t="shared" si="1"/>
        <v>11560920</v>
      </c>
      <c r="Q43" s="116">
        <f t="shared" si="20"/>
        <v>1156092</v>
      </c>
      <c r="R43" s="102">
        <f t="shared" si="21"/>
        <v>219657.48</v>
      </c>
      <c r="S43" s="9">
        <f t="shared" si="4"/>
        <v>11780577</v>
      </c>
      <c r="T43" s="105"/>
      <c r="U43" s="33"/>
      <c r="V43" s="33"/>
      <c r="W43" s="35"/>
      <c r="X43" s="35"/>
      <c r="Y43" s="108">
        <v>19735013.798109073</v>
      </c>
      <c r="Z43" s="109">
        <f t="shared" si="5"/>
        <v>7954436.7981090732</v>
      </c>
      <c r="AA43" s="34"/>
      <c r="AB43" s="35"/>
      <c r="AC43" s="35"/>
      <c r="AD43" s="35"/>
      <c r="AE43" s="41"/>
      <c r="AF43" s="42"/>
      <c r="AG43" s="33"/>
      <c r="AH43" s="115">
        <f t="shared" si="10"/>
        <v>1407390107</v>
      </c>
      <c r="AI43" s="125">
        <f>S43+S44+S45+S46+S47+S48+S49+S50+S51+S52+S53+S54+S55+S56+S57+S58+S59+S60+S61+S62+S64+S65+S66+S67+S68+S84</f>
        <v>522824574</v>
      </c>
      <c r="AJ43" s="30"/>
      <c r="AK43" s="30"/>
      <c r="AL43" s="30"/>
      <c r="AM43" s="30"/>
      <c r="AN43" s="30"/>
      <c r="AO43" s="30"/>
      <c r="AP43" s="30"/>
      <c r="AQ43" s="30"/>
      <c r="AR43" s="120">
        <f t="shared" si="8"/>
        <v>1407390107</v>
      </c>
    </row>
    <row r="44" spans="2:44" ht="27.75" customHeight="1" x14ac:dyDescent="0.25">
      <c r="B44" s="278"/>
      <c r="C44" s="278"/>
      <c r="D44" s="121" t="s">
        <v>278</v>
      </c>
      <c r="E44" s="121" t="s">
        <v>314</v>
      </c>
      <c r="F44" s="121" t="s">
        <v>315</v>
      </c>
      <c r="G44" s="5" t="s">
        <v>272</v>
      </c>
      <c r="H44" s="5" t="s">
        <v>316</v>
      </c>
      <c r="I44" s="7" t="s">
        <v>271</v>
      </c>
      <c r="J44" s="8">
        <v>30</v>
      </c>
      <c r="K44" s="8">
        <v>1</v>
      </c>
      <c r="L44" s="102">
        <f t="shared" si="27"/>
        <v>10509602</v>
      </c>
      <c r="M44" s="102">
        <f t="shared" si="28"/>
        <v>324.99</v>
      </c>
      <c r="N44" s="102">
        <f t="shared" si="29"/>
        <v>1050992.699</v>
      </c>
      <c r="O44" s="102">
        <f t="shared" si="0"/>
        <v>11560920</v>
      </c>
      <c r="P44" s="9">
        <f t="shared" si="1"/>
        <v>11560920</v>
      </c>
      <c r="Q44" s="116">
        <f t="shared" si="20"/>
        <v>1156092</v>
      </c>
      <c r="R44" s="102">
        <f t="shared" si="21"/>
        <v>219657.48</v>
      </c>
      <c r="S44" s="9">
        <f t="shared" si="4"/>
        <v>11780577</v>
      </c>
      <c r="T44" s="105"/>
      <c r="U44" s="33"/>
      <c r="V44" s="33"/>
      <c r="W44" s="35"/>
      <c r="X44" s="35"/>
      <c r="Y44" s="108">
        <v>13013224.224410212</v>
      </c>
      <c r="Z44" s="109">
        <f t="shared" si="5"/>
        <v>1232647.2244102117</v>
      </c>
      <c r="AA44" s="34"/>
      <c r="AB44" s="35"/>
      <c r="AC44" s="35"/>
      <c r="AD44" s="35"/>
      <c r="AE44" s="41"/>
      <c r="AF44" s="42"/>
      <c r="AG44" s="33"/>
      <c r="AH44" s="115">
        <f t="shared" si="10"/>
        <v>1419170684</v>
      </c>
      <c r="AI44" s="30"/>
      <c r="AJ44" s="30"/>
      <c r="AK44" s="30"/>
      <c r="AL44" s="30"/>
      <c r="AM44" s="30"/>
      <c r="AN44" s="30"/>
      <c r="AO44" s="30"/>
      <c r="AP44" s="30"/>
      <c r="AQ44" s="30"/>
      <c r="AR44" s="120">
        <f t="shared" si="8"/>
        <v>1419170684</v>
      </c>
    </row>
    <row r="45" spans="2:44" ht="27.75" customHeight="1" x14ac:dyDescent="0.25">
      <c r="B45" s="278"/>
      <c r="C45" s="278"/>
      <c r="D45" s="121" t="s">
        <v>278</v>
      </c>
      <c r="E45" s="121" t="s">
        <v>286</v>
      </c>
      <c r="F45" s="121" t="s">
        <v>317</v>
      </c>
      <c r="G45" s="5" t="s">
        <v>272</v>
      </c>
      <c r="H45" s="5" t="s">
        <v>318</v>
      </c>
      <c r="I45" s="7" t="s">
        <v>271</v>
      </c>
      <c r="J45" s="8">
        <v>30</v>
      </c>
      <c r="K45" s="8">
        <v>1</v>
      </c>
      <c r="L45" s="102">
        <f t="shared" si="27"/>
        <v>10509602</v>
      </c>
      <c r="M45" s="102">
        <f t="shared" si="28"/>
        <v>324.99</v>
      </c>
      <c r="N45" s="102">
        <f t="shared" si="29"/>
        <v>1050992.699</v>
      </c>
      <c r="O45" s="102">
        <f t="shared" si="0"/>
        <v>11560920</v>
      </c>
      <c r="P45" s="9">
        <f t="shared" si="1"/>
        <v>11560920</v>
      </c>
      <c r="Q45" s="116">
        <f t="shared" si="20"/>
        <v>1156092</v>
      </c>
      <c r="R45" s="102">
        <f t="shared" si="21"/>
        <v>219657.48</v>
      </c>
      <c r="S45" s="9">
        <f t="shared" si="4"/>
        <v>11780577</v>
      </c>
      <c r="T45" s="105"/>
      <c r="U45" s="33"/>
      <c r="V45" s="33"/>
      <c r="W45" s="35"/>
      <c r="X45" s="35"/>
      <c r="Y45" s="108">
        <v>19735013.798109073</v>
      </c>
      <c r="Z45" s="109">
        <f t="shared" si="5"/>
        <v>7954436.7981090732</v>
      </c>
      <c r="AA45" s="34"/>
      <c r="AB45" s="35"/>
      <c r="AC45" s="35"/>
      <c r="AD45" s="35"/>
      <c r="AE45" s="41"/>
      <c r="AF45" s="42"/>
      <c r="AG45" s="33"/>
      <c r="AH45" s="115">
        <f t="shared" si="10"/>
        <v>1430951261</v>
      </c>
      <c r="AI45" s="30"/>
      <c r="AJ45" s="30"/>
      <c r="AK45" s="30"/>
      <c r="AL45" s="30"/>
      <c r="AM45" s="30"/>
      <c r="AN45" s="30"/>
      <c r="AO45" s="30"/>
      <c r="AP45" s="30"/>
      <c r="AQ45" s="30"/>
      <c r="AR45" s="120">
        <f t="shared" si="8"/>
        <v>1430951261</v>
      </c>
    </row>
    <row r="46" spans="2:44" ht="31.5" customHeight="1" x14ac:dyDescent="0.25">
      <c r="B46" s="278"/>
      <c r="C46" s="278"/>
      <c r="D46" s="121" t="s">
        <v>292</v>
      </c>
      <c r="E46" s="121" t="s">
        <v>293</v>
      </c>
      <c r="F46" s="121" t="s">
        <v>319</v>
      </c>
      <c r="G46" s="5" t="s">
        <v>272</v>
      </c>
      <c r="H46" s="5" t="s">
        <v>138</v>
      </c>
      <c r="I46" s="7" t="s">
        <v>271</v>
      </c>
      <c r="J46" s="8">
        <v>30</v>
      </c>
      <c r="K46" s="8">
        <v>1</v>
      </c>
      <c r="L46" s="102">
        <f t="shared" si="27"/>
        <v>10509602</v>
      </c>
      <c r="M46" s="102">
        <f t="shared" si="28"/>
        <v>324.99</v>
      </c>
      <c r="N46" s="102">
        <f t="shared" si="29"/>
        <v>1050992.699</v>
      </c>
      <c r="O46" s="102">
        <f t="shared" si="0"/>
        <v>11560920</v>
      </c>
      <c r="P46" s="9">
        <f t="shared" si="1"/>
        <v>11560920</v>
      </c>
      <c r="Q46" s="116">
        <f t="shared" si="20"/>
        <v>1156092</v>
      </c>
      <c r="R46" s="102">
        <f t="shared" si="21"/>
        <v>219657.48</v>
      </c>
      <c r="S46" s="9">
        <f t="shared" si="4"/>
        <v>11780577</v>
      </c>
      <c r="T46" s="105"/>
      <c r="U46" s="33"/>
      <c r="V46" s="33"/>
      <c r="W46" s="35"/>
      <c r="X46" s="35"/>
      <c r="Y46" s="108">
        <v>9867506.8990545366</v>
      </c>
      <c r="Z46" s="109">
        <f t="shared" si="5"/>
        <v>-1913070.1009454634</v>
      </c>
      <c r="AA46" s="34"/>
      <c r="AB46" s="35"/>
      <c r="AC46" s="35"/>
      <c r="AD46" s="35"/>
      <c r="AE46" s="41"/>
      <c r="AF46" s="42"/>
      <c r="AG46" s="33"/>
      <c r="AH46" s="115">
        <f t="shared" si="10"/>
        <v>1442731838</v>
      </c>
      <c r="AI46" s="30"/>
      <c r="AJ46" s="30"/>
      <c r="AK46" s="30"/>
      <c r="AL46" s="30"/>
      <c r="AM46" s="30"/>
      <c r="AN46" s="30"/>
      <c r="AO46" s="30"/>
      <c r="AP46" s="30"/>
      <c r="AQ46" s="30"/>
      <c r="AR46" s="120">
        <f t="shared" si="8"/>
        <v>1442731838</v>
      </c>
    </row>
    <row r="47" spans="2:44" ht="36" customHeight="1" x14ac:dyDescent="0.25">
      <c r="B47" s="278"/>
      <c r="C47" s="276"/>
      <c r="D47" s="121" t="s">
        <v>278</v>
      </c>
      <c r="E47" s="121" t="s">
        <v>298</v>
      </c>
      <c r="F47" s="121" t="s">
        <v>320</v>
      </c>
      <c r="G47" s="5" t="s">
        <v>272</v>
      </c>
      <c r="H47" s="5" t="s">
        <v>321</v>
      </c>
      <c r="I47" s="7" t="s">
        <v>271</v>
      </c>
      <c r="J47" s="8">
        <v>30</v>
      </c>
      <c r="K47" s="8">
        <v>1</v>
      </c>
      <c r="L47" s="102">
        <f t="shared" si="27"/>
        <v>10509602</v>
      </c>
      <c r="M47" s="102">
        <f t="shared" si="28"/>
        <v>324.99</v>
      </c>
      <c r="N47" s="102">
        <f t="shared" si="29"/>
        <v>1050992.699</v>
      </c>
      <c r="O47" s="102">
        <f t="shared" si="0"/>
        <v>11560920</v>
      </c>
      <c r="P47" s="9">
        <f t="shared" si="1"/>
        <v>11560920</v>
      </c>
      <c r="Q47" s="116">
        <f t="shared" si="20"/>
        <v>1156092</v>
      </c>
      <c r="R47" s="102">
        <f t="shared" si="21"/>
        <v>219657.48</v>
      </c>
      <c r="S47" s="9">
        <f t="shared" si="4"/>
        <v>11780577</v>
      </c>
      <c r="T47" s="105"/>
      <c r="U47" s="33"/>
      <c r="V47" s="33"/>
      <c r="W47" s="35"/>
      <c r="X47" s="35"/>
      <c r="Y47" s="108">
        <v>9867506.8990545366</v>
      </c>
      <c r="Z47" s="109">
        <f t="shared" si="5"/>
        <v>-1913070.1009454634</v>
      </c>
      <c r="AA47" s="34"/>
      <c r="AB47" s="35"/>
      <c r="AC47" s="35"/>
      <c r="AD47" s="35"/>
      <c r="AE47" s="41"/>
      <c r="AF47" s="42"/>
      <c r="AG47" s="33"/>
      <c r="AH47" s="115">
        <f t="shared" si="10"/>
        <v>1454512415</v>
      </c>
      <c r="AI47" s="30"/>
      <c r="AJ47" s="30"/>
      <c r="AK47" s="30"/>
      <c r="AL47" s="30"/>
      <c r="AM47" s="30"/>
      <c r="AN47" s="30"/>
      <c r="AO47" s="30"/>
      <c r="AP47" s="30"/>
      <c r="AQ47" s="30"/>
      <c r="AR47" s="120">
        <f t="shared" si="8"/>
        <v>1454512415</v>
      </c>
    </row>
    <row r="48" spans="2:44" ht="15" customHeight="1" x14ac:dyDescent="0.25">
      <c r="B48" s="278"/>
      <c r="C48" s="307" t="s">
        <v>322</v>
      </c>
      <c r="D48" s="312" t="s">
        <v>16</v>
      </c>
      <c r="E48" s="312" t="s">
        <v>266</v>
      </c>
      <c r="F48" s="312" t="s">
        <v>267</v>
      </c>
      <c r="G48" s="5" t="s">
        <v>272</v>
      </c>
      <c r="H48" s="5" t="s">
        <v>323</v>
      </c>
      <c r="I48" s="7" t="s">
        <v>269</v>
      </c>
      <c r="J48" s="8">
        <v>30</v>
      </c>
      <c r="K48" s="8">
        <v>6</v>
      </c>
      <c r="L48" s="102">
        <f t="shared" si="27"/>
        <v>10509602</v>
      </c>
      <c r="M48" s="102">
        <f t="shared" si="28"/>
        <v>324.99</v>
      </c>
      <c r="N48" s="102">
        <f>+(L48+M48)*8%</f>
        <v>840794.15919999999</v>
      </c>
      <c r="O48" s="102">
        <f t="shared" si="0"/>
        <v>68104326</v>
      </c>
      <c r="P48" s="9">
        <f t="shared" si="1"/>
        <v>11350721</v>
      </c>
      <c r="Q48" s="116">
        <f t="shared" si="20"/>
        <v>6810432.6000000006</v>
      </c>
      <c r="R48" s="102">
        <f t="shared" si="21"/>
        <v>1293982.1940000001</v>
      </c>
      <c r="S48" s="9">
        <f t="shared" si="4"/>
        <v>69398308</v>
      </c>
      <c r="T48" s="105"/>
      <c r="U48" s="33"/>
      <c r="V48" s="33"/>
      <c r="W48" s="35"/>
      <c r="X48" s="35"/>
      <c r="Y48" s="108">
        <v>9867506.8990545366</v>
      </c>
      <c r="Z48" s="109">
        <f t="shared" si="5"/>
        <v>-59530801.100945465</v>
      </c>
      <c r="AA48" s="34"/>
      <c r="AB48" s="35"/>
      <c r="AC48" s="35"/>
      <c r="AD48" s="35"/>
      <c r="AE48" s="41"/>
      <c r="AF48" s="42"/>
      <c r="AG48" s="33"/>
      <c r="AH48" s="115">
        <f t="shared" si="10"/>
        <v>1523910723</v>
      </c>
      <c r="AI48" s="30"/>
      <c r="AJ48" s="30"/>
      <c r="AK48" s="30"/>
      <c r="AL48" s="30"/>
      <c r="AM48" s="30"/>
      <c r="AN48" s="30"/>
      <c r="AO48" s="30"/>
      <c r="AP48" s="30"/>
      <c r="AQ48" s="30"/>
      <c r="AR48" s="120">
        <f t="shared" si="8"/>
        <v>1523910723</v>
      </c>
    </row>
    <row r="49" spans="2:44" ht="15" customHeight="1" x14ac:dyDescent="0.25">
      <c r="B49" s="278"/>
      <c r="C49" s="278"/>
      <c r="D49" s="278"/>
      <c r="E49" s="278"/>
      <c r="F49" s="278"/>
      <c r="G49" s="5" t="s">
        <v>272</v>
      </c>
      <c r="H49" s="5" t="s">
        <v>324</v>
      </c>
      <c r="I49" s="7" t="s">
        <v>271</v>
      </c>
      <c r="J49" s="8">
        <v>30</v>
      </c>
      <c r="K49" s="8">
        <v>5</v>
      </c>
      <c r="L49" s="102">
        <f t="shared" si="27"/>
        <v>10509602</v>
      </c>
      <c r="M49" s="102">
        <f t="shared" si="28"/>
        <v>324.99</v>
      </c>
      <c r="N49" s="102">
        <f>+(L49+M49)*10%</f>
        <v>1050992.699</v>
      </c>
      <c r="O49" s="102">
        <f t="shared" si="0"/>
        <v>57804600</v>
      </c>
      <c r="P49" s="9">
        <f t="shared" si="1"/>
        <v>11560920</v>
      </c>
      <c r="Q49" s="116">
        <f t="shared" si="20"/>
        <v>5780460</v>
      </c>
      <c r="R49" s="102">
        <f t="shared" si="21"/>
        <v>1098287.3999999999</v>
      </c>
      <c r="S49" s="9">
        <f t="shared" si="4"/>
        <v>58902887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-49035380.100945465</v>
      </c>
      <c r="AA49" s="34"/>
      <c r="AB49" s="35"/>
      <c r="AC49" s="35"/>
      <c r="AD49" s="35"/>
      <c r="AE49" s="41"/>
      <c r="AF49" s="42"/>
      <c r="AG49" s="33"/>
      <c r="AH49" s="115">
        <f t="shared" si="10"/>
        <v>1582813610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20">
        <f t="shared" si="8"/>
        <v>1582813610</v>
      </c>
    </row>
    <row r="50" spans="2:44" ht="15.75" customHeight="1" x14ac:dyDescent="0.25">
      <c r="B50" s="278"/>
      <c r="C50" s="278"/>
      <c r="D50" s="278"/>
      <c r="E50" s="278"/>
      <c r="F50" s="278"/>
      <c r="G50" s="5" t="s">
        <v>268</v>
      </c>
      <c r="H50" s="5" t="s">
        <v>325</v>
      </c>
      <c r="I50" s="7" t="s">
        <v>269</v>
      </c>
      <c r="J50" s="8">
        <v>30</v>
      </c>
      <c r="K50" s="8">
        <v>2</v>
      </c>
      <c r="L50" s="102">
        <f t="shared" ref="L50:L51" si="30">9.06*1160000*55.97%/15*12+2</f>
        <v>4705780.4959999993</v>
      </c>
      <c r="M50" s="102">
        <f t="shared" ref="M50:M51" si="31">+W$9*55.97%/15*12</f>
        <v>145.51752240000002</v>
      </c>
      <c r="N50" s="102">
        <f>+(L50+M50)*8%</f>
        <v>376474.08108179196</v>
      </c>
      <c r="O50" s="102">
        <f t="shared" si="0"/>
        <v>10164800</v>
      </c>
      <c r="P50" s="9">
        <f t="shared" si="1"/>
        <v>5082400</v>
      </c>
      <c r="Q50" s="116">
        <f t="shared" si="20"/>
        <v>1016480</v>
      </c>
      <c r="R50" s="102">
        <f t="shared" si="21"/>
        <v>193131.2</v>
      </c>
      <c r="S50" s="9">
        <f t="shared" si="4"/>
        <v>10357931</v>
      </c>
      <c r="T50" s="105"/>
      <c r="U50" s="33"/>
      <c r="V50" s="33"/>
      <c r="W50" s="35"/>
      <c r="X50" s="35"/>
      <c r="Y50" s="108">
        <v>9867506.8990545366</v>
      </c>
      <c r="Z50" s="109">
        <f t="shared" si="5"/>
        <v>-490424.1009454634</v>
      </c>
      <c r="AA50" s="34"/>
      <c r="AB50" s="35"/>
      <c r="AC50" s="35"/>
      <c r="AD50" s="35"/>
      <c r="AE50" s="41"/>
      <c r="AF50" s="42"/>
      <c r="AG50" s="33"/>
      <c r="AH50" s="115">
        <f t="shared" si="10"/>
        <v>1593171541</v>
      </c>
      <c r="AI50" s="14"/>
      <c r="AJ50" s="14"/>
      <c r="AK50" s="14"/>
      <c r="AL50" s="14"/>
      <c r="AM50" s="14"/>
      <c r="AN50" s="14"/>
      <c r="AO50" s="14"/>
      <c r="AP50" s="14"/>
      <c r="AQ50" s="14"/>
      <c r="AR50" s="120">
        <f t="shared" si="8"/>
        <v>1593171541</v>
      </c>
    </row>
    <row r="51" spans="2:44" ht="15.75" customHeight="1" x14ac:dyDescent="0.25">
      <c r="B51" s="278"/>
      <c r="C51" s="278"/>
      <c r="D51" s="278"/>
      <c r="E51" s="278"/>
      <c r="F51" s="278"/>
      <c r="G51" s="5" t="s">
        <v>326</v>
      </c>
      <c r="H51" s="5" t="s">
        <v>149</v>
      </c>
      <c r="I51" s="7" t="s">
        <v>277</v>
      </c>
      <c r="J51" s="8">
        <v>30</v>
      </c>
      <c r="K51" s="8">
        <v>2</v>
      </c>
      <c r="L51" s="102">
        <f t="shared" si="30"/>
        <v>4705780.4959999993</v>
      </c>
      <c r="M51" s="102">
        <f t="shared" si="31"/>
        <v>145.51752240000002</v>
      </c>
      <c r="N51" s="102">
        <f>+(L51+M51)*11%</f>
        <v>517651.86148746393</v>
      </c>
      <c r="O51" s="102">
        <f t="shared" si="0"/>
        <v>10447156</v>
      </c>
      <c r="P51" s="9">
        <f t="shared" si="1"/>
        <v>5223578</v>
      </c>
      <c r="Q51" s="116">
        <f t="shared" si="20"/>
        <v>1044715.6000000001</v>
      </c>
      <c r="R51" s="102">
        <f t="shared" si="21"/>
        <v>198495.96400000001</v>
      </c>
      <c r="S51" s="9">
        <f t="shared" si="4"/>
        <v>10645652</v>
      </c>
      <c r="T51" s="105"/>
      <c r="U51" s="33"/>
      <c r="V51" s="33"/>
      <c r="W51" s="35"/>
      <c r="X51" s="35"/>
      <c r="Y51" s="108">
        <v>58128586.096248545</v>
      </c>
      <c r="Z51" s="109">
        <f t="shared" si="5"/>
        <v>47482934.096248545</v>
      </c>
      <c r="AA51" s="34"/>
      <c r="AB51" s="35"/>
      <c r="AC51" s="35"/>
      <c r="AD51" s="35"/>
      <c r="AE51" s="41"/>
      <c r="AF51" s="42"/>
      <c r="AG51" s="33"/>
      <c r="AH51" s="115">
        <f t="shared" si="10"/>
        <v>1603817193</v>
      </c>
      <c r="AI51" s="14"/>
      <c r="AJ51" s="14"/>
      <c r="AK51" s="14"/>
      <c r="AL51" s="14"/>
      <c r="AM51" s="14"/>
      <c r="AN51" s="14"/>
      <c r="AO51" s="14"/>
      <c r="AP51" s="14"/>
      <c r="AQ51" s="14"/>
      <c r="AR51" s="120">
        <f t="shared" si="8"/>
        <v>1603817193</v>
      </c>
    </row>
    <row r="52" spans="2:44" ht="15.75" customHeight="1" x14ac:dyDescent="0.25">
      <c r="B52" s="278"/>
      <c r="C52" s="278"/>
      <c r="D52" s="276"/>
      <c r="E52" s="276"/>
      <c r="F52" s="276"/>
      <c r="G52" s="5" t="s">
        <v>327</v>
      </c>
      <c r="H52" s="5" t="s">
        <v>151</v>
      </c>
      <c r="I52" s="7" t="s">
        <v>269</v>
      </c>
      <c r="J52" s="8">
        <v>20</v>
      </c>
      <c r="K52" s="8">
        <v>3</v>
      </c>
      <c r="L52" s="102">
        <f>9.06*1160000*55.97%/15*12/30*20+2</f>
        <v>3137187.6639999994</v>
      </c>
      <c r="M52" s="102">
        <f>+W9*55.97%/15*12/30*20</f>
        <v>97.011681600000017</v>
      </c>
      <c r="N52" s="102">
        <f t="shared" ref="N52:N53" si="32">+(L52+M52)*8%</f>
        <v>250982.77405452795</v>
      </c>
      <c r="O52" s="102">
        <f t="shared" si="0"/>
        <v>6776534</v>
      </c>
      <c r="P52" s="9">
        <f t="shared" si="1"/>
        <v>2258844.6666666665</v>
      </c>
      <c r="Q52" s="116">
        <f t="shared" si="20"/>
        <v>677653.4</v>
      </c>
      <c r="R52" s="102">
        <f t="shared" si="21"/>
        <v>128754.14600000001</v>
      </c>
      <c r="S52" s="9">
        <f t="shared" si="4"/>
        <v>6905288</v>
      </c>
      <c r="T52" s="105"/>
      <c r="U52" s="33"/>
      <c r="V52" s="33"/>
      <c r="W52" s="35"/>
      <c r="X52" s="35"/>
      <c r="Y52" s="108">
        <v>49337534.495272696</v>
      </c>
      <c r="Z52" s="109">
        <f t="shared" si="5"/>
        <v>42432246.495272696</v>
      </c>
      <c r="AA52" s="34"/>
      <c r="AB52" s="35"/>
      <c r="AC52" s="35"/>
      <c r="AD52" s="35"/>
      <c r="AE52" s="41"/>
      <c r="AF52" s="42"/>
      <c r="AG52" s="33"/>
      <c r="AH52" s="115">
        <f t="shared" si="10"/>
        <v>1610722481</v>
      </c>
      <c r="AI52" s="14"/>
      <c r="AJ52" s="14"/>
      <c r="AK52" s="14"/>
      <c r="AL52" s="14"/>
      <c r="AM52" s="14"/>
      <c r="AN52" s="14"/>
      <c r="AO52" s="14"/>
      <c r="AP52" s="14"/>
      <c r="AQ52" s="14"/>
      <c r="AR52" s="120">
        <f t="shared" si="8"/>
        <v>1610722481</v>
      </c>
    </row>
    <row r="53" spans="2:44" ht="15.75" customHeight="1" x14ac:dyDescent="0.25">
      <c r="B53" s="278"/>
      <c r="C53" s="278"/>
      <c r="D53" s="312" t="s">
        <v>278</v>
      </c>
      <c r="E53" s="312" t="s">
        <v>88</v>
      </c>
      <c r="F53" s="312" t="s">
        <v>88</v>
      </c>
      <c r="G53" s="5" t="s">
        <v>272</v>
      </c>
      <c r="H53" s="5" t="s">
        <v>154</v>
      </c>
      <c r="I53" s="7" t="s">
        <v>269</v>
      </c>
      <c r="J53" s="8">
        <v>30</v>
      </c>
      <c r="K53" s="8">
        <v>1</v>
      </c>
      <c r="L53" s="102">
        <f t="shared" ref="L53:L62" si="33">9.06*1160000+2</f>
        <v>10509602</v>
      </c>
      <c r="M53" s="102">
        <f t="shared" ref="M53:M62" si="34">+W$9</f>
        <v>324.99</v>
      </c>
      <c r="N53" s="102">
        <f t="shared" si="32"/>
        <v>840794.15919999999</v>
      </c>
      <c r="O53" s="102">
        <f t="shared" si="0"/>
        <v>11350721</v>
      </c>
      <c r="P53" s="9">
        <f t="shared" si="1"/>
        <v>11350721</v>
      </c>
      <c r="Q53" s="116">
        <f t="shared" si="20"/>
        <v>1135072.1000000001</v>
      </c>
      <c r="R53" s="102">
        <f t="shared" si="21"/>
        <v>215663.69900000002</v>
      </c>
      <c r="S53" s="9">
        <f t="shared" si="4"/>
        <v>11566385</v>
      </c>
      <c r="T53" s="105"/>
      <c r="U53" s="33"/>
      <c r="V53" s="33"/>
      <c r="W53" s="35"/>
      <c r="X53" s="35"/>
      <c r="Y53" s="108">
        <v>8675482.8162734751</v>
      </c>
      <c r="Z53" s="109">
        <f t="shared" si="5"/>
        <v>-2890902.1837265249</v>
      </c>
      <c r="AA53" s="34"/>
      <c r="AB53" s="35"/>
      <c r="AC53" s="35"/>
      <c r="AD53" s="35"/>
      <c r="AE53" s="41"/>
      <c r="AF53" s="42"/>
      <c r="AG53" s="33"/>
      <c r="AH53" s="115">
        <f t="shared" si="10"/>
        <v>1622288866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20">
        <f t="shared" si="8"/>
        <v>1622288866</v>
      </c>
    </row>
    <row r="54" spans="2:44" ht="15.75" customHeight="1" x14ac:dyDescent="0.25">
      <c r="B54" s="278"/>
      <c r="C54" s="278"/>
      <c r="D54" s="276"/>
      <c r="E54" s="276"/>
      <c r="F54" s="276"/>
      <c r="G54" s="5" t="s">
        <v>272</v>
      </c>
      <c r="H54" s="5" t="s">
        <v>157</v>
      </c>
      <c r="I54" s="7" t="s">
        <v>271</v>
      </c>
      <c r="J54" s="8">
        <v>30</v>
      </c>
      <c r="K54" s="8">
        <v>1</v>
      </c>
      <c r="L54" s="102">
        <f t="shared" si="33"/>
        <v>10509602</v>
      </c>
      <c r="M54" s="102">
        <f t="shared" si="34"/>
        <v>324.99</v>
      </c>
      <c r="N54" s="102">
        <f t="shared" ref="N54:N55" si="35">+(L54+M54)*10%</f>
        <v>1050992.699</v>
      </c>
      <c r="O54" s="102">
        <f t="shared" si="0"/>
        <v>11560920</v>
      </c>
      <c r="P54" s="9">
        <f t="shared" si="1"/>
        <v>11560920</v>
      </c>
      <c r="Q54" s="116">
        <f t="shared" si="20"/>
        <v>1156092</v>
      </c>
      <c r="R54" s="102">
        <f t="shared" si="21"/>
        <v>219657.48</v>
      </c>
      <c r="S54" s="9">
        <f t="shared" si="4"/>
        <v>11780577</v>
      </c>
      <c r="T54" s="105"/>
      <c r="U54" s="33"/>
      <c r="V54" s="33"/>
      <c r="W54" s="35"/>
      <c r="X54" s="35"/>
      <c r="Y54" s="108">
        <v>8836088.9556188453</v>
      </c>
      <c r="Z54" s="109">
        <f t="shared" si="5"/>
        <v>-2944488.0443811547</v>
      </c>
      <c r="AA54" s="34"/>
      <c r="AB54" s="35"/>
      <c r="AC54" s="35"/>
      <c r="AD54" s="35"/>
      <c r="AE54" s="41"/>
      <c r="AF54" s="42"/>
      <c r="AG54" s="33"/>
      <c r="AH54" s="115">
        <f t="shared" si="10"/>
        <v>1634069443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20">
        <f t="shared" si="8"/>
        <v>1634069443</v>
      </c>
    </row>
    <row r="55" spans="2:44" ht="15.75" customHeight="1" x14ac:dyDescent="0.25">
      <c r="B55" s="278"/>
      <c r="C55" s="278"/>
      <c r="D55" s="312" t="s">
        <v>16</v>
      </c>
      <c r="E55" s="312" t="s">
        <v>275</v>
      </c>
      <c r="F55" s="312" t="s">
        <v>275</v>
      </c>
      <c r="G55" s="5" t="s">
        <v>272</v>
      </c>
      <c r="H55" s="5" t="s">
        <v>157</v>
      </c>
      <c r="I55" s="7" t="s">
        <v>271</v>
      </c>
      <c r="J55" s="8">
        <v>30</v>
      </c>
      <c r="K55" s="8">
        <v>3</v>
      </c>
      <c r="L55" s="102">
        <f t="shared" si="33"/>
        <v>10509602</v>
      </c>
      <c r="M55" s="102">
        <f t="shared" si="34"/>
        <v>324.99</v>
      </c>
      <c r="N55" s="102">
        <f t="shared" si="35"/>
        <v>1050992.699</v>
      </c>
      <c r="O55" s="102">
        <f t="shared" si="0"/>
        <v>34682760</v>
      </c>
      <c r="P55" s="9">
        <f t="shared" si="1"/>
        <v>11560920</v>
      </c>
      <c r="Q55" s="116">
        <f t="shared" si="20"/>
        <v>3468276</v>
      </c>
      <c r="R55" s="102">
        <f t="shared" si="21"/>
        <v>658972.44000000006</v>
      </c>
      <c r="S55" s="9">
        <f t="shared" si="4"/>
        <v>35341732</v>
      </c>
      <c r="T55" s="105"/>
      <c r="U55" s="33"/>
      <c r="V55" s="33"/>
      <c r="W55" s="35"/>
      <c r="X55" s="35"/>
      <c r="Y55" s="108">
        <v>8676693.7551134806</v>
      </c>
      <c r="Z55" s="109">
        <f t="shared" si="5"/>
        <v>-26665038.244886518</v>
      </c>
      <c r="AA55" s="34"/>
      <c r="AB55" s="35"/>
      <c r="AC55" s="35"/>
      <c r="AD55" s="35"/>
      <c r="AE55" s="41"/>
      <c r="AF55" s="42"/>
      <c r="AG55" s="33"/>
      <c r="AH55" s="115">
        <f t="shared" si="10"/>
        <v>1669411175</v>
      </c>
      <c r="AI55" s="14"/>
      <c r="AJ55" s="14"/>
      <c r="AK55" s="14"/>
      <c r="AL55" s="14"/>
      <c r="AM55" s="14"/>
      <c r="AN55" s="14"/>
      <c r="AO55" s="14"/>
      <c r="AP55" s="14"/>
      <c r="AQ55" s="14"/>
      <c r="AR55" s="120">
        <f t="shared" si="8"/>
        <v>1669411175</v>
      </c>
    </row>
    <row r="56" spans="2:44" ht="15.75" customHeight="1" x14ac:dyDescent="0.25">
      <c r="B56" s="278"/>
      <c r="C56" s="278"/>
      <c r="D56" s="276"/>
      <c r="E56" s="276"/>
      <c r="F56" s="276"/>
      <c r="G56" s="5" t="s">
        <v>272</v>
      </c>
      <c r="H56" s="5" t="s">
        <v>161</v>
      </c>
      <c r="I56" s="7" t="s">
        <v>269</v>
      </c>
      <c r="J56" s="8">
        <v>30</v>
      </c>
      <c r="K56" s="8">
        <v>1</v>
      </c>
      <c r="L56" s="102">
        <f t="shared" si="33"/>
        <v>10509602</v>
      </c>
      <c r="M56" s="102">
        <f t="shared" si="34"/>
        <v>324.99</v>
      </c>
      <c r="N56" s="102">
        <f t="shared" ref="N56:N85" si="36">+(L56+M56)*8%</f>
        <v>840794.15919999999</v>
      </c>
      <c r="O56" s="102">
        <f t="shared" si="0"/>
        <v>11350721</v>
      </c>
      <c r="P56" s="9">
        <f t="shared" si="1"/>
        <v>11350721</v>
      </c>
      <c r="Q56" s="116">
        <f t="shared" si="20"/>
        <v>1135072.1000000001</v>
      </c>
      <c r="R56" s="102">
        <f t="shared" si="21"/>
        <v>215663.69900000002</v>
      </c>
      <c r="S56" s="9">
        <f t="shared" si="4"/>
        <v>11566385</v>
      </c>
      <c r="T56" s="105"/>
      <c r="U56" s="33"/>
      <c r="V56" s="33"/>
      <c r="W56" s="35"/>
      <c r="X56" s="35"/>
      <c r="Y56" s="108">
        <v>9867506.8990545366</v>
      </c>
      <c r="Z56" s="109">
        <f t="shared" si="5"/>
        <v>-1698878.1009454634</v>
      </c>
      <c r="AA56" s="34"/>
      <c r="AB56" s="35"/>
      <c r="AC56" s="35"/>
      <c r="AD56" s="35"/>
      <c r="AE56" s="41"/>
      <c r="AF56" s="42"/>
      <c r="AG56" s="33"/>
      <c r="AH56" s="115">
        <f t="shared" si="10"/>
        <v>1680977560</v>
      </c>
      <c r="AI56" s="14"/>
      <c r="AJ56" s="14"/>
      <c r="AK56" s="14"/>
      <c r="AL56" s="14"/>
      <c r="AM56" s="14"/>
      <c r="AN56" s="14"/>
      <c r="AO56" s="14"/>
      <c r="AP56" s="14"/>
      <c r="AQ56" s="14"/>
      <c r="AR56" s="120">
        <f t="shared" si="8"/>
        <v>1680977560</v>
      </c>
    </row>
    <row r="57" spans="2:44" ht="15.75" customHeight="1" x14ac:dyDescent="0.25">
      <c r="B57" s="278"/>
      <c r="C57" s="278"/>
      <c r="D57" s="312" t="s">
        <v>278</v>
      </c>
      <c r="E57" s="121" t="s">
        <v>286</v>
      </c>
      <c r="F57" s="121" t="s">
        <v>287</v>
      </c>
      <c r="G57" s="5" t="s">
        <v>272</v>
      </c>
      <c r="H57" s="5" t="s">
        <v>328</v>
      </c>
      <c r="I57" s="7" t="s">
        <v>269</v>
      </c>
      <c r="J57" s="8">
        <v>30</v>
      </c>
      <c r="K57" s="8">
        <v>1</v>
      </c>
      <c r="L57" s="102">
        <f t="shared" si="33"/>
        <v>10509602</v>
      </c>
      <c r="M57" s="102">
        <f t="shared" si="34"/>
        <v>324.99</v>
      </c>
      <c r="N57" s="102">
        <f t="shared" si="36"/>
        <v>840794.15919999999</v>
      </c>
      <c r="O57" s="102">
        <f t="shared" si="0"/>
        <v>11350721</v>
      </c>
      <c r="P57" s="9">
        <f t="shared" si="1"/>
        <v>11350721</v>
      </c>
      <c r="Q57" s="116">
        <f t="shared" si="20"/>
        <v>1135072.1000000001</v>
      </c>
      <c r="R57" s="102">
        <f t="shared" si="21"/>
        <v>215663.69900000002</v>
      </c>
      <c r="S57" s="9">
        <f t="shared" si="4"/>
        <v>11566385</v>
      </c>
      <c r="T57" s="105"/>
      <c r="U57" s="33"/>
      <c r="V57" s="33"/>
      <c r="W57" s="35"/>
      <c r="X57" s="35"/>
      <c r="Y57" s="108">
        <v>9688097.682708092</v>
      </c>
      <c r="Z57" s="109">
        <f t="shared" si="5"/>
        <v>-1878287.317291908</v>
      </c>
      <c r="AA57" s="34"/>
      <c r="AB57" s="35"/>
      <c r="AC57" s="35"/>
      <c r="AD57" s="35"/>
      <c r="AE57" s="41"/>
      <c r="AF57" s="42"/>
      <c r="AG57" s="33"/>
      <c r="AH57" s="115">
        <f t="shared" si="10"/>
        <v>1692543945</v>
      </c>
      <c r="AI57" s="14"/>
      <c r="AJ57" s="14"/>
      <c r="AK57" s="14"/>
      <c r="AL57" s="14"/>
      <c r="AM57" s="14"/>
      <c r="AN57" s="14"/>
      <c r="AO57" s="14"/>
      <c r="AP57" s="14"/>
      <c r="AQ57" s="14"/>
      <c r="AR57" s="120">
        <f t="shared" si="8"/>
        <v>1692543945</v>
      </c>
    </row>
    <row r="58" spans="2:44" ht="15.75" customHeight="1" x14ac:dyDescent="0.25">
      <c r="B58" s="278"/>
      <c r="C58" s="278"/>
      <c r="D58" s="276"/>
      <c r="E58" s="121" t="s">
        <v>298</v>
      </c>
      <c r="F58" s="121" t="s">
        <v>298</v>
      </c>
      <c r="G58" s="5" t="s">
        <v>272</v>
      </c>
      <c r="H58" s="5" t="s">
        <v>329</v>
      </c>
      <c r="I58" s="7" t="s">
        <v>269</v>
      </c>
      <c r="J58" s="8">
        <v>30</v>
      </c>
      <c r="K58" s="8">
        <v>2</v>
      </c>
      <c r="L58" s="102">
        <f t="shared" si="33"/>
        <v>10509602</v>
      </c>
      <c r="M58" s="102">
        <f t="shared" si="34"/>
        <v>324.99</v>
      </c>
      <c r="N58" s="102">
        <f t="shared" si="36"/>
        <v>840794.15919999999</v>
      </c>
      <c r="O58" s="102">
        <f t="shared" si="0"/>
        <v>22701442</v>
      </c>
      <c r="P58" s="9">
        <f t="shared" si="1"/>
        <v>11350721</v>
      </c>
      <c r="Q58" s="116">
        <f t="shared" si="20"/>
        <v>2270144.2000000002</v>
      </c>
      <c r="R58" s="102">
        <f t="shared" si="21"/>
        <v>431327.39800000004</v>
      </c>
      <c r="S58" s="9">
        <f t="shared" si="4"/>
        <v>23132769</v>
      </c>
      <c r="T58" s="105"/>
      <c r="U58" s="33"/>
      <c r="V58" s="33"/>
      <c r="W58" s="35"/>
      <c r="X58" s="35"/>
      <c r="Y58" s="108">
        <v>29602520.697163612</v>
      </c>
      <c r="Z58" s="109">
        <f t="shared" si="5"/>
        <v>6469751.6971636117</v>
      </c>
      <c r="AA58" s="34"/>
      <c r="AB58" s="35"/>
      <c r="AC58" s="35"/>
      <c r="AD58" s="35"/>
      <c r="AE58" s="41"/>
      <c r="AF58" s="42"/>
      <c r="AG58" s="33"/>
      <c r="AH58" s="115">
        <f t="shared" si="10"/>
        <v>1715676714</v>
      </c>
      <c r="AI58" s="14"/>
      <c r="AJ58" s="14"/>
      <c r="AK58" s="14"/>
      <c r="AL58" s="14"/>
      <c r="AM58" s="14"/>
      <c r="AN58" s="14"/>
      <c r="AO58" s="14"/>
      <c r="AP58" s="14"/>
      <c r="AQ58" s="14"/>
      <c r="AR58" s="120">
        <f t="shared" si="8"/>
        <v>1715676714</v>
      </c>
    </row>
    <row r="59" spans="2:44" ht="15.75" customHeight="1" x14ac:dyDescent="0.25">
      <c r="B59" s="278"/>
      <c r="C59" s="278"/>
      <c r="D59" s="121" t="s">
        <v>146</v>
      </c>
      <c r="E59" s="121" t="s">
        <v>170</v>
      </c>
      <c r="F59" s="121" t="s">
        <v>170</v>
      </c>
      <c r="G59" s="5" t="s">
        <v>272</v>
      </c>
      <c r="H59" s="5" t="s">
        <v>330</v>
      </c>
      <c r="I59" s="7" t="s">
        <v>269</v>
      </c>
      <c r="J59" s="8">
        <v>30</v>
      </c>
      <c r="K59" s="8">
        <v>1</v>
      </c>
      <c r="L59" s="102">
        <f t="shared" si="33"/>
        <v>10509602</v>
      </c>
      <c r="M59" s="102">
        <f t="shared" si="34"/>
        <v>324.99</v>
      </c>
      <c r="N59" s="102">
        <f t="shared" si="36"/>
        <v>840794.15919999999</v>
      </c>
      <c r="O59" s="102">
        <f t="shared" si="0"/>
        <v>11350721</v>
      </c>
      <c r="P59" s="9">
        <f t="shared" si="1"/>
        <v>11350721</v>
      </c>
      <c r="Q59" s="116">
        <f t="shared" si="20"/>
        <v>1135072.1000000001</v>
      </c>
      <c r="R59" s="102">
        <f t="shared" si="21"/>
        <v>215663.69900000002</v>
      </c>
      <c r="S59" s="9">
        <f t="shared" si="4"/>
        <v>11566385</v>
      </c>
      <c r="T59" s="105"/>
      <c r="U59" s="33"/>
      <c r="V59" s="33"/>
      <c r="W59" s="35"/>
      <c r="X59" s="35"/>
      <c r="Y59" s="108">
        <v>9688097.682708092</v>
      </c>
      <c r="Z59" s="109">
        <f t="shared" si="5"/>
        <v>-1878287.317291908</v>
      </c>
      <c r="AA59" s="34"/>
      <c r="AB59" s="35"/>
      <c r="AC59" s="35"/>
      <c r="AD59" s="35"/>
      <c r="AE59" s="41"/>
      <c r="AF59" s="42"/>
      <c r="AG59" s="33"/>
      <c r="AH59" s="115">
        <f t="shared" si="10"/>
        <v>1727243099</v>
      </c>
      <c r="AI59" s="14"/>
      <c r="AJ59" s="14"/>
      <c r="AK59" s="14"/>
      <c r="AL59" s="14"/>
      <c r="AM59" s="14"/>
      <c r="AN59" s="14"/>
      <c r="AO59" s="14"/>
      <c r="AP59" s="14"/>
      <c r="AQ59" s="14"/>
      <c r="AR59" s="120">
        <f t="shared" si="8"/>
        <v>1727243099</v>
      </c>
    </row>
    <row r="60" spans="2:44" ht="15.75" customHeight="1" x14ac:dyDescent="0.25">
      <c r="B60" s="278"/>
      <c r="C60" s="278"/>
      <c r="D60" s="121" t="s">
        <v>278</v>
      </c>
      <c r="E60" s="121" t="s">
        <v>331</v>
      </c>
      <c r="F60" s="121" t="s">
        <v>332</v>
      </c>
      <c r="G60" s="5" t="s">
        <v>272</v>
      </c>
      <c r="H60" s="5" t="s">
        <v>333</v>
      </c>
      <c r="I60" s="7" t="s">
        <v>269</v>
      </c>
      <c r="J60" s="8">
        <v>30</v>
      </c>
      <c r="K60" s="8">
        <v>1</v>
      </c>
      <c r="L60" s="102">
        <f t="shared" si="33"/>
        <v>10509602</v>
      </c>
      <c r="M60" s="102">
        <f t="shared" si="34"/>
        <v>324.99</v>
      </c>
      <c r="N60" s="102">
        <f t="shared" si="36"/>
        <v>840794.15919999999</v>
      </c>
      <c r="O60" s="102">
        <f t="shared" si="0"/>
        <v>11350721</v>
      </c>
      <c r="P60" s="9">
        <f t="shared" si="1"/>
        <v>11350721</v>
      </c>
      <c r="Q60" s="116">
        <f t="shared" si="20"/>
        <v>1135072.1000000001</v>
      </c>
      <c r="R60" s="102">
        <f t="shared" si="21"/>
        <v>215663.69900000002</v>
      </c>
      <c r="S60" s="9">
        <f t="shared" si="4"/>
        <v>11566385</v>
      </c>
      <c r="T60" s="105"/>
      <c r="U60" s="33"/>
      <c r="V60" s="33"/>
      <c r="W60" s="35"/>
      <c r="X60" s="35"/>
      <c r="Y60" s="108">
        <v>9688097.682708092</v>
      </c>
      <c r="Z60" s="109">
        <f t="shared" si="5"/>
        <v>-1878287.317291908</v>
      </c>
      <c r="AA60" s="34"/>
      <c r="AB60" s="35"/>
      <c r="AC60" s="35"/>
      <c r="AD60" s="35"/>
      <c r="AE60" s="41"/>
      <c r="AF60" s="35"/>
      <c r="AG60" s="35"/>
      <c r="AH60" s="115">
        <f t="shared" si="10"/>
        <v>1738809484</v>
      </c>
      <c r="AI60" s="14"/>
      <c r="AJ60" s="14"/>
      <c r="AK60" s="14"/>
      <c r="AL60" s="14"/>
      <c r="AM60" s="14"/>
      <c r="AN60" s="14"/>
      <c r="AO60" s="14"/>
      <c r="AP60" s="14"/>
      <c r="AQ60" s="14"/>
      <c r="AR60" s="120">
        <f t="shared" si="8"/>
        <v>1738809484</v>
      </c>
    </row>
    <row r="61" spans="2:44" ht="15.75" customHeight="1" x14ac:dyDescent="0.25">
      <c r="B61" s="278"/>
      <c r="C61" s="278"/>
      <c r="D61" s="121" t="s">
        <v>279</v>
      </c>
      <c r="E61" s="121" t="s">
        <v>303</v>
      </c>
      <c r="F61" s="121" t="s">
        <v>304</v>
      </c>
      <c r="G61" s="5" t="s">
        <v>272</v>
      </c>
      <c r="H61" s="5" t="s">
        <v>334</v>
      </c>
      <c r="I61" s="7" t="s">
        <v>269</v>
      </c>
      <c r="J61" s="8">
        <v>30</v>
      </c>
      <c r="K61" s="8">
        <v>2</v>
      </c>
      <c r="L61" s="102">
        <f t="shared" si="33"/>
        <v>10509602</v>
      </c>
      <c r="M61" s="102">
        <f t="shared" si="34"/>
        <v>324.99</v>
      </c>
      <c r="N61" s="102">
        <f t="shared" si="36"/>
        <v>840794.15919999999</v>
      </c>
      <c r="O61" s="102">
        <f t="shared" si="0"/>
        <v>22701442</v>
      </c>
      <c r="P61" s="9">
        <f t="shared" si="1"/>
        <v>11350721</v>
      </c>
      <c r="Q61" s="116">
        <f t="shared" si="20"/>
        <v>2270144.2000000002</v>
      </c>
      <c r="R61" s="102">
        <f t="shared" si="21"/>
        <v>431327.39800000004</v>
      </c>
      <c r="S61" s="9">
        <f t="shared" si="4"/>
        <v>23132769</v>
      </c>
      <c r="T61" s="105"/>
      <c r="U61" s="33"/>
      <c r="V61" s="33"/>
      <c r="W61" s="35"/>
      <c r="X61" s="35"/>
      <c r="Y61" s="108">
        <v>19376195.365416184</v>
      </c>
      <c r="Z61" s="109">
        <f t="shared" si="5"/>
        <v>-3756573.6345838159</v>
      </c>
      <c r="AA61" s="34"/>
      <c r="AB61" s="35"/>
      <c r="AC61" s="35"/>
      <c r="AD61" s="35"/>
      <c r="AE61" s="41"/>
      <c r="AF61" s="35"/>
      <c r="AG61" s="35"/>
      <c r="AH61" s="115">
        <f t="shared" si="10"/>
        <v>1761942253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20">
        <f t="shared" si="8"/>
        <v>1761942253</v>
      </c>
    </row>
    <row r="62" spans="2:44" ht="15.75" customHeight="1" x14ac:dyDescent="0.25">
      <c r="B62" s="276"/>
      <c r="C62" s="276"/>
      <c r="D62" s="121" t="s">
        <v>140</v>
      </c>
      <c r="E62" s="121" t="s">
        <v>141</v>
      </c>
      <c r="F62" s="121" t="s">
        <v>289</v>
      </c>
      <c r="G62" s="5" t="s">
        <v>272</v>
      </c>
      <c r="H62" s="73" t="s">
        <v>382</v>
      </c>
      <c r="I62" s="7" t="s">
        <v>269</v>
      </c>
      <c r="J62" s="8">
        <v>30</v>
      </c>
      <c r="K62" s="8">
        <v>1</v>
      </c>
      <c r="L62" s="102">
        <f t="shared" si="33"/>
        <v>10509602</v>
      </c>
      <c r="M62" s="102">
        <f t="shared" si="34"/>
        <v>324.99</v>
      </c>
      <c r="N62" s="102">
        <f t="shared" si="36"/>
        <v>840794.15919999999</v>
      </c>
      <c r="O62" s="102">
        <f t="shared" si="0"/>
        <v>11350721</v>
      </c>
      <c r="P62" s="9">
        <f t="shared" si="1"/>
        <v>11350721</v>
      </c>
      <c r="Q62" s="118">
        <v>0</v>
      </c>
      <c r="R62" s="119">
        <v>0</v>
      </c>
      <c r="S62" s="9">
        <f t="shared" si="4"/>
        <v>11350721</v>
      </c>
      <c r="T62" s="105"/>
      <c r="U62" s="33"/>
      <c r="V62" s="33"/>
      <c r="W62" s="35"/>
      <c r="X62" s="35"/>
      <c r="Y62" s="108">
        <v>9688097.682708092</v>
      </c>
      <c r="Z62" s="109">
        <f t="shared" si="5"/>
        <v>-1662623.317291908</v>
      </c>
      <c r="AA62" s="34"/>
      <c r="AB62" s="35" t="s">
        <v>399</v>
      </c>
      <c r="AC62" s="35" t="s">
        <v>400</v>
      </c>
      <c r="AD62" s="35"/>
      <c r="AE62" s="41" t="s">
        <v>401</v>
      </c>
      <c r="AF62" s="35"/>
      <c r="AG62" s="35"/>
      <c r="AH62" s="115">
        <f t="shared" si="10"/>
        <v>1773292974</v>
      </c>
      <c r="AI62" s="14"/>
      <c r="AJ62" s="14"/>
      <c r="AK62" s="115"/>
      <c r="AL62" s="14"/>
      <c r="AM62" s="14"/>
      <c r="AN62" s="14"/>
      <c r="AO62" s="14"/>
      <c r="AP62" s="14"/>
      <c r="AQ62" s="14"/>
      <c r="AR62" s="120">
        <f t="shared" si="8"/>
        <v>1773292974</v>
      </c>
    </row>
    <row r="63" spans="2:44" ht="24" customHeight="1" x14ac:dyDescent="0.25">
      <c r="B63" s="306" t="s">
        <v>335</v>
      </c>
      <c r="C63" s="307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30</v>
      </c>
      <c r="K63" s="8">
        <v>1</v>
      </c>
      <c r="L63" s="102">
        <f>9.06*1160000*55.97%/15*12+2</f>
        <v>4705780.4959999993</v>
      </c>
      <c r="M63" s="102">
        <f>+W$9*55.97%/15*12</f>
        <v>145.51752240000002</v>
      </c>
      <c r="N63" s="102">
        <f t="shared" si="36"/>
        <v>376474.08108179196</v>
      </c>
      <c r="O63" s="102">
        <f t="shared" si="0"/>
        <v>5082400</v>
      </c>
      <c r="P63" s="9">
        <f t="shared" si="1"/>
        <v>5082400</v>
      </c>
      <c r="Q63" s="116">
        <f t="shared" ref="Q63:Q72" si="37">+O63*10%</f>
        <v>508240</v>
      </c>
      <c r="R63" s="102">
        <f t="shared" ref="R63:R72" si="38">+Q63*19%</f>
        <v>96565.6</v>
      </c>
      <c r="S63" s="9">
        <f t="shared" si="4"/>
        <v>5178966</v>
      </c>
      <c r="T63" s="105"/>
      <c r="U63" s="33"/>
      <c r="V63" s="33"/>
      <c r="W63" s="35"/>
      <c r="X63" s="35"/>
      <c r="Y63" s="108">
        <v>9688097.6827080995</v>
      </c>
      <c r="Z63" s="109">
        <f t="shared" si="5"/>
        <v>4509131.6827080995</v>
      </c>
      <c r="AA63" s="34"/>
      <c r="AB63" s="108">
        <f t="shared" ref="AB63:AB81" si="39">+S63</f>
        <v>5178966</v>
      </c>
      <c r="AC63" s="110">
        <v>4703841.6785409814</v>
      </c>
      <c r="AD63" s="110">
        <f t="shared" ref="AD63:AD81" si="40">+AC63-AB63</f>
        <v>-475124.32145901863</v>
      </c>
      <c r="AE63" s="41">
        <f t="shared" ref="AE63:AE81" si="41">+AC63*80%</f>
        <v>3763073.3428327851</v>
      </c>
      <c r="AF63" s="41">
        <f t="shared" ref="AF63:AF81" si="42">+AB63-AE63</f>
        <v>1415892.6571672149</v>
      </c>
      <c r="AG63" s="35"/>
      <c r="AH63" s="115">
        <f t="shared" si="10"/>
        <v>1778471940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20">
        <f t="shared" si="8"/>
        <v>1778471940</v>
      </c>
    </row>
    <row r="64" spans="2:44" ht="15" customHeight="1" x14ac:dyDescent="0.25">
      <c r="B64" s="278"/>
      <c r="C64" s="278"/>
      <c r="D64" s="301" t="s">
        <v>16</v>
      </c>
      <c r="E64" s="301" t="s">
        <v>266</v>
      </c>
      <c r="F64" s="301" t="s">
        <v>267</v>
      </c>
      <c r="G64" s="7" t="s">
        <v>340</v>
      </c>
      <c r="H64" s="7" t="s">
        <v>341</v>
      </c>
      <c r="I64" s="7" t="s">
        <v>338</v>
      </c>
      <c r="J64" s="8">
        <v>30</v>
      </c>
      <c r="K64" s="101">
        <v>1</v>
      </c>
      <c r="L64" s="102">
        <f t="shared" ref="L64:L67" si="43">9.06*1160000+2+450000</f>
        <v>10959602</v>
      </c>
      <c r="M64" s="102">
        <f t="shared" ref="M64:M69" si="44">+W$9</f>
        <v>324.99</v>
      </c>
      <c r="N64" s="102">
        <f t="shared" si="36"/>
        <v>876794.15919999999</v>
      </c>
      <c r="O64" s="102">
        <f t="shared" si="0"/>
        <v>11836721</v>
      </c>
      <c r="P64" s="9">
        <f t="shared" si="1"/>
        <v>11836721</v>
      </c>
      <c r="Q64" s="116">
        <f t="shared" si="37"/>
        <v>1183672.1000000001</v>
      </c>
      <c r="R64" s="102">
        <f t="shared" si="38"/>
        <v>224897.69900000002</v>
      </c>
      <c r="S64" s="9">
        <f t="shared" si="4"/>
        <v>12061619</v>
      </c>
      <c r="T64" s="105"/>
      <c r="U64" s="33"/>
      <c r="V64" s="33"/>
      <c r="W64" s="35"/>
      <c r="X64" s="35"/>
      <c r="Y64" s="108">
        <v>19376195.365416184</v>
      </c>
      <c r="Z64" s="109">
        <f t="shared" si="5"/>
        <v>7314576.3654161841</v>
      </c>
      <c r="AA64" s="34"/>
      <c r="AB64" s="108">
        <f t="shared" si="39"/>
        <v>12061619</v>
      </c>
      <c r="AC64" s="110">
        <v>10636447.008159766</v>
      </c>
      <c r="AD64" s="110">
        <f t="shared" si="40"/>
        <v>-1425171.991840234</v>
      </c>
      <c r="AE64" s="41">
        <f t="shared" si="41"/>
        <v>8509157.6065278128</v>
      </c>
      <c r="AF64" s="41">
        <f t="shared" si="42"/>
        <v>3552461.3934721872</v>
      </c>
      <c r="AG64" s="35"/>
      <c r="AH64" s="115">
        <f t="shared" si="10"/>
        <v>1790533559</v>
      </c>
      <c r="AI64" s="14"/>
      <c r="AJ64" s="14"/>
      <c r="AK64" s="14"/>
      <c r="AL64" s="14"/>
      <c r="AM64" s="14"/>
      <c r="AN64" s="14"/>
      <c r="AO64" s="14"/>
      <c r="AP64" s="14"/>
      <c r="AQ64" s="14"/>
      <c r="AR64" s="120">
        <f t="shared" si="8"/>
        <v>1790533559</v>
      </c>
    </row>
    <row r="65" spans="2:44" ht="15.75" customHeight="1" x14ac:dyDescent="0.25">
      <c r="B65" s="278"/>
      <c r="C65" s="278"/>
      <c r="D65" s="278"/>
      <c r="E65" s="278"/>
      <c r="F65" s="276"/>
      <c r="G65" s="7" t="s">
        <v>342</v>
      </c>
      <c r="H65" s="7" t="s">
        <v>343</v>
      </c>
      <c r="I65" s="7" t="s">
        <v>338</v>
      </c>
      <c r="J65" s="8">
        <v>30</v>
      </c>
      <c r="K65" s="101">
        <v>1</v>
      </c>
      <c r="L65" s="102">
        <f t="shared" si="43"/>
        <v>10959602</v>
      </c>
      <c r="M65" s="102">
        <f t="shared" si="44"/>
        <v>324.99</v>
      </c>
      <c r="N65" s="102">
        <f t="shared" si="36"/>
        <v>876794.15919999999</v>
      </c>
      <c r="O65" s="102">
        <f t="shared" si="0"/>
        <v>11836721</v>
      </c>
      <c r="P65" s="9">
        <f t="shared" si="1"/>
        <v>11836721</v>
      </c>
      <c r="Q65" s="116">
        <f t="shared" si="37"/>
        <v>1183672.1000000001</v>
      </c>
      <c r="R65" s="102">
        <f t="shared" si="38"/>
        <v>224897.69900000002</v>
      </c>
      <c r="S65" s="9">
        <f t="shared" si="4"/>
        <v>12061619</v>
      </c>
      <c r="T65" s="105"/>
      <c r="U65" s="33"/>
      <c r="V65" s="33"/>
      <c r="W65" s="35"/>
      <c r="X65" s="35"/>
      <c r="Y65" s="108">
        <v>9507456.0183592662</v>
      </c>
      <c r="Z65" s="109">
        <f t="shared" si="5"/>
        <v>-2554162.9816407338</v>
      </c>
      <c r="AA65" s="34"/>
      <c r="AB65" s="108">
        <f t="shared" si="39"/>
        <v>12061619</v>
      </c>
      <c r="AC65" s="110">
        <v>10636447.008159766</v>
      </c>
      <c r="AD65" s="110">
        <f t="shared" si="40"/>
        <v>-1425171.991840234</v>
      </c>
      <c r="AE65" s="41">
        <f t="shared" si="41"/>
        <v>8509157.6065278128</v>
      </c>
      <c r="AF65" s="41">
        <f t="shared" si="42"/>
        <v>3552461.3934721872</v>
      </c>
      <c r="AG65" s="35"/>
      <c r="AH65" s="115">
        <f t="shared" si="10"/>
        <v>1802595178</v>
      </c>
      <c r="AI65" s="14"/>
      <c r="AJ65" s="14"/>
      <c r="AK65" s="14"/>
      <c r="AL65" s="14"/>
      <c r="AM65" s="14"/>
      <c r="AN65" s="14"/>
      <c r="AO65" s="14"/>
      <c r="AP65" s="14"/>
      <c r="AQ65" s="14"/>
      <c r="AR65" s="120">
        <f t="shared" si="8"/>
        <v>1802595178</v>
      </c>
    </row>
    <row r="66" spans="2:44" ht="15.75" customHeight="1" x14ac:dyDescent="0.25">
      <c r="B66" s="278"/>
      <c r="C66" s="278"/>
      <c r="D66" s="278"/>
      <c r="E66" s="278"/>
      <c r="F66" s="7" t="s">
        <v>267</v>
      </c>
      <c r="G66" s="7" t="s">
        <v>344</v>
      </c>
      <c r="H66" s="7" t="s">
        <v>345</v>
      </c>
      <c r="I66" s="7" t="s">
        <v>338</v>
      </c>
      <c r="J66" s="8">
        <v>30</v>
      </c>
      <c r="K66" s="101">
        <v>2</v>
      </c>
      <c r="L66" s="102">
        <f t="shared" si="43"/>
        <v>10959602</v>
      </c>
      <c r="M66" s="102">
        <f t="shared" si="44"/>
        <v>324.99</v>
      </c>
      <c r="N66" s="102">
        <f t="shared" si="36"/>
        <v>876794.15919999999</v>
      </c>
      <c r="O66" s="102">
        <f t="shared" si="0"/>
        <v>23673442</v>
      </c>
      <c r="P66" s="9">
        <f t="shared" si="1"/>
        <v>11836721</v>
      </c>
      <c r="Q66" s="116">
        <f t="shared" si="37"/>
        <v>2367344.2000000002</v>
      </c>
      <c r="R66" s="102">
        <f t="shared" si="38"/>
        <v>449795.39800000004</v>
      </c>
      <c r="S66" s="9">
        <f t="shared" si="4"/>
        <v>24123237</v>
      </c>
      <c r="T66" s="105"/>
      <c r="U66" s="33"/>
      <c r="V66" s="33"/>
      <c r="W66" s="35"/>
      <c r="X66" s="35"/>
      <c r="Y66" s="108">
        <v>4703841.6785409814</v>
      </c>
      <c r="Z66" s="109">
        <f t="shared" si="5"/>
        <v>-19419395.321459018</v>
      </c>
      <c r="AA66" s="34"/>
      <c r="AB66" s="108">
        <f t="shared" si="39"/>
        <v>24123237</v>
      </c>
      <c r="AC66" s="110">
        <v>21272894.016319532</v>
      </c>
      <c r="AD66" s="110">
        <f t="shared" si="40"/>
        <v>-2850342.9836804681</v>
      </c>
      <c r="AE66" s="41">
        <f t="shared" si="41"/>
        <v>17018315.213055626</v>
      </c>
      <c r="AF66" s="41">
        <f t="shared" si="42"/>
        <v>7104921.7869443744</v>
      </c>
      <c r="AG66" s="35"/>
      <c r="AH66" s="115">
        <f t="shared" si="10"/>
        <v>1826718415</v>
      </c>
      <c r="AI66" s="14"/>
      <c r="AJ66" s="14"/>
      <c r="AK66" s="14"/>
      <c r="AL66" s="14"/>
      <c r="AM66" s="14"/>
      <c r="AN66" s="14"/>
      <c r="AO66" s="14"/>
      <c r="AP66" s="14"/>
      <c r="AQ66" s="14"/>
      <c r="AR66" s="120">
        <f t="shared" si="8"/>
        <v>1826718415</v>
      </c>
    </row>
    <row r="67" spans="2:44" ht="15.75" customHeight="1" x14ac:dyDescent="0.25">
      <c r="B67" s="278"/>
      <c r="C67" s="278"/>
      <c r="D67" s="278"/>
      <c r="E67" s="278"/>
      <c r="F67" s="7" t="s">
        <v>267</v>
      </c>
      <c r="G67" s="7" t="s">
        <v>346</v>
      </c>
      <c r="H67" s="7" t="s">
        <v>343</v>
      </c>
      <c r="I67" s="7" t="s">
        <v>338</v>
      </c>
      <c r="J67" s="8">
        <v>30</v>
      </c>
      <c r="K67" s="101">
        <v>1</v>
      </c>
      <c r="L67" s="102">
        <f t="shared" si="43"/>
        <v>10959602</v>
      </c>
      <c r="M67" s="102">
        <f t="shared" si="44"/>
        <v>324.99</v>
      </c>
      <c r="N67" s="102">
        <f t="shared" si="36"/>
        <v>876794.15919999999</v>
      </c>
      <c r="O67" s="102">
        <f t="shared" si="0"/>
        <v>11836721</v>
      </c>
      <c r="P67" s="9">
        <f t="shared" si="1"/>
        <v>11836721</v>
      </c>
      <c r="Q67" s="116">
        <f t="shared" si="37"/>
        <v>1183672.1000000001</v>
      </c>
      <c r="R67" s="102">
        <f t="shared" si="38"/>
        <v>224897.69900000002</v>
      </c>
      <c r="S67" s="9">
        <f t="shared" si="4"/>
        <v>12061619</v>
      </c>
      <c r="T67" s="105"/>
      <c r="U67" s="33"/>
      <c r="V67" s="33"/>
      <c r="W67" s="35"/>
      <c r="X67" s="35"/>
      <c r="Y67" s="108">
        <v>10636447.008159766</v>
      </c>
      <c r="Z67" s="109">
        <f t="shared" si="5"/>
        <v>-1425171.991840234</v>
      </c>
      <c r="AA67" s="34"/>
      <c r="AB67" s="108">
        <f t="shared" si="39"/>
        <v>12061619</v>
      </c>
      <c r="AC67" s="110">
        <v>10636447.008159766</v>
      </c>
      <c r="AD67" s="110">
        <f t="shared" si="40"/>
        <v>-1425171.991840234</v>
      </c>
      <c r="AE67" s="41">
        <f t="shared" si="41"/>
        <v>8509157.6065278128</v>
      </c>
      <c r="AF67" s="41">
        <f t="shared" si="42"/>
        <v>3552461.3934721872</v>
      </c>
      <c r="AG67" s="35"/>
      <c r="AH67" s="115">
        <f t="shared" si="10"/>
        <v>1838780034</v>
      </c>
      <c r="AI67" s="14"/>
      <c r="AJ67" s="14"/>
      <c r="AK67" s="14"/>
      <c r="AL67" s="14"/>
      <c r="AM67" s="14"/>
      <c r="AN67" s="14"/>
      <c r="AO67" s="14"/>
      <c r="AP67" s="14"/>
      <c r="AQ67" s="14"/>
      <c r="AR67" s="120">
        <f t="shared" si="8"/>
        <v>1838780034</v>
      </c>
    </row>
    <row r="68" spans="2:44" ht="14.25" customHeight="1" x14ac:dyDescent="0.25">
      <c r="B68" s="278"/>
      <c r="C68" s="278"/>
      <c r="D68" s="276"/>
      <c r="E68" s="276"/>
      <c r="F68" s="7" t="s">
        <v>419</v>
      </c>
      <c r="G68" s="7" t="s">
        <v>348</v>
      </c>
      <c r="H68" s="7" t="s">
        <v>349</v>
      </c>
      <c r="I68" s="7" t="s">
        <v>338</v>
      </c>
      <c r="J68" s="8">
        <v>30</v>
      </c>
      <c r="K68" s="101">
        <v>6</v>
      </c>
      <c r="L68" s="102">
        <f>9.06*1160000</f>
        <v>10509600</v>
      </c>
      <c r="M68" s="102">
        <f t="shared" si="44"/>
        <v>324.99</v>
      </c>
      <c r="N68" s="102">
        <f t="shared" si="36"/>
        <v>840793.99920000008</v>
      </c>
      <c r="O68" s="102">
        <f t="shared" si="0"/>
        <v>68104314</v>
      </c>
      <c r="P68" s="9">
        <f t="shared" si="1"/>
        <v>11350719</v>
      </c>
      <c r="Q68" s="116">
        <f t="shared" si="37"/>
        <v>6810431.4000000004</v>
      </c>
      <c r="R68" s="102">
        <f t="shared" si="38"/>
        <v>1293981.966</v>
      </c>
      <c r="S68" s="9">
        <f t="shared" si="4"/>
        <v>69398296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-58761848.991840236</v>
      </c>
      <c r="AA68" s="34"/>
      <c r="AB68" s="108">
        <f t="shared" si="39"/>
        <v>69398296</v>
      </c>
      <c r="AC68" s="110">
        <v>106364470.08159767</v>
      </c>
      <c r="AD68" s="110">
        <f t="shared" si="40"/>
        <v>36966174.081597671</v>
      </c>
      <c r="AE68" s="41">
        <f t="shared" si="41"/>
        <v>85091576.065278143</v>
      </c>
      <c r="AF68" s="41">
        <f t="shared" si="42"/>
        <v>-15693280.065278143</v>
      </c>
      <c r="AG68" s="35"/>
      <c r="AH68" s="115">
        <f t="shared" si="10"/>
        <v>1908178330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20">
        <f t="shared" si="8"/>
        <v>1908178330</v>
      </c>
    </row>
    <row r="69" spans="2:44" ht="15.75" customHeight="1" x14ac:dyDescent="0.25">
      <c r="B69" s="278"/>
      <c r="C69" s="278"/>
      <c r="D69" s="301" t="s">
        <v>279</v>
      </c>
      <c r="E69" s="301" t="s">
        <v>280</v>
      </c>
      <c r="F69" s="301" t="s">
        <v>281</v>
      </c>
      <c r="G69" s="7" t="s">
        <v>350</v>
      </c>
      <c r="H69" s="7" t="s">
        <v>351</v>
      </c>
      <c r="I69" s="7" t="s">
        <v>338</v>
      </c>
      <c r="J69" s="8">
        <v>30</v>
      </c>
      <c r="K69" s="101">
        <v>1</v>
      </c>
      <c r="L69" s="102">
        <f>9.06*1160000+2+450000</f>
        <v>10959602</v>
      </c>
      <c r="M69" s="102">
        <f t="shared" si="44"/>
        <v>324.99</v>
      </c>
      <c r="N69" s="102">
        <f t="shared" si="36"/>
        <v>876794.15919999999</v>
      </c>
      <c r="O69" s="102">
        <f t="shared" si="0"/>
        <v>11836721</v>
      </c>
      <c r="P69" s="9">
        <f t="shared" si="1"/>
        <v>11836721</v>
      </c>
      <c r="Q69" s="116">
        <f t="shared" si="37"/>
        <v>1183672.1000000001</v>
      </c>
      <c r="R69" s="102">
        <f t="shared" si="38"/>
        <v>224897.69900000002</v>
      </c>
      <c r="S69" s="9">
        <f t="shared" si="4"/>
        <v>12061619</v>
      </c>
      <c r="T69" s="105"/>
      <c r="U69" s="33"/>
      <c r="V69" s="33"/>
      <c r="W69" s="35"/>
      <c r="X69" s="35"/>
      <c r="Y69" s="108">
        <v>21272894.016319532</v>
      </c>
      <c r="Z69" s="109">
        <f t="shared" si="5"/>
        <v>9211275.0163195319</v>
      </c>
      <c r="AA69" s="34"/>
      <c r="AB69" s="108">
        <f t="shared" si="39"/>
        <v>12061619</v>
      </c>
      <c r="AC69" s="110">
        <v>10636447.008159766</v>
      </c>
      <c r="AD69" s="110">
        <f t="shared" si="40"/>
        <v>-1425171.991840234</v>
      </c>
      <c r="AE69" s="41">
        <f t="shared" si="41"/>
        <v>8509157.6065278128</v>
      </c>
      <c r="AF69" s="41">
        <f t="shared" si="42"/>
        <v>3552461.3934721872</v>
      </c>
      <c r="AG69" s="35"/>
      <c r="AH69" s="115">
        <f t="shared" si="10"/>
        <v>1920239949</v>
      </c>
      <c r="AI69" s="14"/>
      <c r="AJ69" s="14"/>
      <c r="AK69" s="14"/>
      <c r="AL69" s="14"/>
      <c r="AM69" s="14"/>
      <c r="AN69" s="14"/>
      <c r="AO69" s="14"/>
      <c r="AP69" s="14"/>
      <c r="AQ69" s="14"/>
      <c r="AR69" s="120">
        <f t="shared" si="8"/>
        <v>1920239949</v>
      </c>
    </row>
    <row r="70" spans="2:44" ht="15.75" customHeight="1" x14ac:dyDescent="0.25">
      <c r="B70" s="278"/>
      <c r="C70" s="278"/>
      <c r="D70" s="276"/>
      <c r="E70" s="276"/>
      <c r="F70" s="276"/>
      <c r="G70" s="7" t="s">
        <v>352</v>
      </c>
      <c r="H70" s="7" t="s">
        <v>353</v>
      </c>
      <c r="I70" s="7" t="s">
        <v>338</v>
      </c>
      <c r="J70" s="8">
        <v>30</v>
      </c>
      <c r="K70" s="101">
        <v>1</v>
      </c>
      <c r="L70" s="102">
        <f>(9.06*1160000*55.97%)+(9.06*1160000*44.03%/9*1)</f>
        <v>6396376.1066666665</v>
      </c>
      <c r="M70" s="102">
        <f>+(W$9*55.97%)+(W9*44.03%/9*1)</f>
        <v>197.79613600000002</v>
      </c>
      <c r="N70" s="102">
        <f t="shared" si="36"/>
        <v>511725.91222421336</v>
      </c>
      <c r="O70" s="102">
        <f t="shared" si="0"/>
        <v>6908300</v>
      </c>
      <c r="P70" s="9">
        <f t="shared" si="1"/>
        <v>6908300</v>
      </c>
      <c r="Q70" s="116">
        <f t="shared" si="37"/>
        <v>690830</v>
      </c>
      <c r="R70" s="102">
        <f t="shared" si="38"/>
        <v>131257.70000000001</v>
      </c>
      <c r="S70" s="9">
        <f t="shared" si="4"/>
        <v>7039558</v>
      </c>
      <c r="T70" s="105"/>
      <c r="U70" s="33"/>
      <c r="V70" s="33"/>
      <c r="W70" s="35"/>
      <c r="X70" s="35"/>
      <c r="Y70" s="108">
        <v>10636447.008159766</v>
      </c>
      <c r="Z70" s="109">
        <f t="shared" si="5"/>
        <v>3596889.008159766</v>
      </c>
      <c r="AA70" s="34"/>
      <c r="AB70" s="108">
        <f t="shared" si="39"/>
        <v>7039558</v>
      </c>
      <c r="AC70" s="110">
        <v>7737445.0613655103</v>
      </c>
      <c r="AD70" s="110">
        <f t="shared" si="40"/>
        <v>697887.06136551034</v>
      </c>
      <c r="AE70" s="41">
        <f t="shared" si="41"/>
        <v>6189956.0490924083</v>
      </c>
      <c r="AF70" s="41">
        <f t="shared" si="42"/>
        <v>849601.95090759173</v>
      </c>
      <c r="AG70" s="35"/>
      <c r="AH70" s="115">
        <f t="shared" si="10"/>
        <v>1927279507</v>
      </c>
      <c r="AI70" s="14"/>
      <c r="AJ70" s="14"/>
      <c r="AK70" s="14"/>
      <c r="AL70" s="14"/>
      <c r="AM70" s="14"/>
      <c r="AN70" s="14"/>
      <c r="AO70" s="14"/>
      <c r="AP70" s="14"/>
      <c r="AQ70" s="14"/>
      <c r="AR70" s="120">
        <f t="shared" si="8"/>
        <v>1927279507</v>
      </c>
    </row>
    <row r="71" spans="2:44" ht="15.75" customHeight="1" x14ac:dyDescent="0.25">
      <c r="B71" s="278"/>
      <c r="C71" s="278"/>
      <c r="D71" s="301" t="s">
        <v>278</v>
      </c>
      <c r="E71" s="301" t="s">
        <v>286</v>
      </c>
      <c r="F71" s="301" t="s">
        <v>287</v>
      </c>
      <c r="G71" s="7" t="s">
        <v>354</v>
      </c>
      <c r="H71" s="7" t="s">
        <v>355</v>
      </c>
      <c r="I71" s="7" t="s">
        <v>338</v>
      </c>
      <c r="J71" s="8">
        <v>30</v>
      </c>
      <c r="K71" s="101">
        <v>1</v>
      </c>
      <c r="L71" s="102">
        <f>(9.06*1160000*55.97%)+(9.06*1160000*44.03%/9*1)+2</f>
        <v>6396378.1066666665</v>
      </c>
      <c r="M71" s="102">
        <f>+(W$9*55.97%)+(W9*44.03%/9*1)</f>
        <v>197.79613600000002</v>
      </c>
      <c r="N71" s="102">
        <f t="shared" si="36"/>
        <v>511726.07222421333</v>
      </c>
      <c r="O71" s="102">
        <f t="shared" si="0"/>
        <v>6908302</v>
      </c>
      <c r="P71" s="9">
        <f t="shared" si="1"/>
        <v>6908302</v>
      </c>
      <c r="Q71" s="116">
        <f t="shared" si="37"/>
        <v>690830.20000000007</v>
      </c>
      <c r="R71" s="102">
        <f t="shared" si="38"/>
        <v>131257.73800000001</v>
      </c>
      <c r="S71" s="9">
        <f t="shared" si="4"/>
        <v>7039560</v>
      </c>
      <c r="T71" s="105"/>
      <c r="U71" s="33"/>
      <c r="V71" s="33"/>
      <c r="W71" s="35"/>
      <c r="X71" s="35"/>
      <c r="Y71" s="108">
        <v>106364470.08159767</v>
      </c>
      <c r="Z71" s="109">
        <f t="shared" si="5"/>
        <v>99324910.081597671</v>
      </c>
      <c r="AA71" s="34"/>
      <c r="AB71" s="108">
        <f t="shared" si="39"/>
        <v>7039560</v>
      </c>
      <c r="AC71" s="110">
        <v>6230950.2164377533</v>
      </c>
      <c r="AD71" s="110">
        <f t="shared" si="40"/>
        <v>-808609.78356224671</v>
      </c>
      <c r="AE71" s="41">
        <f t="shared" si="41"/>
        <v>4984760.1731502032</v>
      </c>
      <c r="AF71" s="41">
        <f t="shared" si="42"/>
        <v>2054799.8268497968</v>
      </c>
      <c r="AG71" s="35"/>
      <c r="AH71" s="115">
        <f t="shared" si="10"/>
        <v>1934319067</v>
      </c>
      <c r="AI71" s="14"/>
      <c r="AJ71" s="14"/>
      <c r="AK71" s="14"/>
      <c r="AL71" s="14"/>
      <c r="AM71" s="14"/>
      <c r="AN71" s="14"/>
      <c r="AO71" s="14"/>
      <c r="AP71" s="14"/>
      <c r="AQ71" s="14"/>
      <c r="AR71" s="120">
        <f t="shared" si="8"/>
        <v>1934319067</v>
      </c>
    </row>
    <row r="72" spans="2:44" ht="15.75" customHeight="1" x14ac:dyDescent="0.25">
      <c r="B72" s="278"/>
      <c r="C72" s="278"/>
      <c r="D72" s="276"/>
      <c r="E72" s="276"/>
      <c r="F72" s="276"/>
      <c r="G72" s="7" t="s">
        <v>340</v>
      </c>
      <c r="H72" s="7" t="s">
        <v>356</v>
      </c>
      <c r="I72" s="7" t="s">
        <v>338</v>
      </c>
      <c r="J72" s="8">
        <v>30</v>
      </c>
      <c r="K72" s="101">
        <v>1</v>
      </c>
      <c r="L72" s="102">
        <f t="shared" ref="L72:L73" si="45">9.06*1160000+2+450000</f>
        <v>10959602</v>
      </c>
      <c r="M72" s="102">
        <f t="shared" ref="M72:M75" si="46">+W$9</f>
        <v>324.99</v>
      </c>
      <c r="N72" s="102">
        <f t="shared" si="36"/>
        <v>876794.15919999999</v>
      </c>
      <c r="O72" s="102">
        <f t="shared" si="0"/>
        <v>11836721</v>
      </c>
      <c r="P72" s="9">
        <f t="shared" si="1"/>
        <v>11836721</v>
      </c>
      <c r="Q72" s="116">
        <f t="shared" si="37"/>
        <v>1183672.1000000001</v>
      </c>
      <c r="R72" s="102">
        <f t="shared" si="38"/>
        <v>224897.69900000002</v>
      </c>
      <c r="S72" s="9">
        <f t="shared" si="4"/>
        <v>12061619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-1425171.991840234</v>
      </c>
      <c r="AA72" s="34"/>
      <c r="AB72" s="108">
        <f t="shared" si="39"/>
        <v>12061619</v>
      </c>
      <c r="AC72" s="110">
        <v>10636447.008159766</v>
      </c>
      <c r="AD72" s="110">
        <f t="shared" si="40"/>
        <v>-1425171.991840234</v>
      </c>
      <c r="AE72" s="41">
        <f t="shared" si="41"/>
        <v>8509157.6065278128</v>
      </c>
      <c r="AF72" s="41">
        <f t="shared" si="42"/>
        <v>3552461.3934721872</v>
      </c>
      <c r="AG72" s="35"/>
      <c r="AH72" s="115">
        <f t="shared" si="10"/>
        <v>1946380686</v>
      </c>
      <c r="AI72" s="14"/>
      <c r="AJ72" s="14"/>
      <c r="AK72" s="14"/>
      <c r="AL72" s="14"/>
      <c r="AM72" s="14"/>
      <c r="AN72" s="14"/>
      <c r="AO72" s="14"/>
      <c r="AP72" s="14"/>
      <c r="AQ72" s="14"/>
      <c r="AR72" s="120">
        <f t="shared" si="8"/>
        <v>1946380686</v>
      </c>
    </row>
    <row r="73" spans="2:44" ht="15.75" customHeight="1" x14ac:dyDescent="0.25">
      <c r="B73" s="278"/>
      <c r="C73" s="278"/>
      <c r="D73" s="7"/>
      <c r="E73" s="7"/>
      <c r="F73" s="7"/>
      <c r="G73" s="7" t="s">
        <v>358</v>
      </c>
      <c r="H73" s="74" t="s">
        <v>359</v>
      </c>
      <c r="I73" s="7" t="s">
        <v>338</v>
      </c>
      <c r="J73" s="8">
        <v>30</v>
      </c>
      <c r="K73" s="101">
        <v>2</v>
      </c>
      <c r="L73" s="102">
        <f t="shared" si="45"/>
        <v>10959602</v>
      </c>
      <c r="M73" s="102">
        <f t="shared" si="46"/>
        <v>324.99</v>
      </c>
      <c r="N73" s="102">
        <f t="shared" si="36"/>
        <v>876794.15919999999</v>
      </c>
      <c r="O73" s="102">
        <f t="shared" si="0"/>
        <v>23673442</v>
      </c>
      <c r="P73" s="9">
        <f t="shared" si="1"/>
        <v>11836721</v>
      </c>
      <c r="Q73" s="116">
        <v>0</v>
      </c>
      <c r="R73" s="102">
        <v>0</v>
      </c>
      <c r="S73" s="9">
        <f t="shared" si="4"/>
        <v>23673442</v>
      </c>
      <c r="T73" s="105"/>
      <c r="U73" s="33"/>
      <c r="V73" s="33"/>
      <c r="W73" s="35"/>
      <c r="X73" s="35"/>
      <c r="Y73" s="108">
        <v>6230950.2164377533</v>
      </c>
      <c r="Z73" s="109">
        <f t="shared" si="5"/>
        <v>-17442491.783562247</v>
      </c>
      <c r="AA73" s="34"/>
      <c r="AB73" s="108">
        <f t="shared" si="39"/>
        <v>23673442</v>
      </c>
      <c r="AC73" s="110">
        <v>20876245.354582466</v>
      </c>
      <c r="AD73" s="110">
        <f t="shared" si="40"/>
        <v>-2797196.6454175338</v>
      </c>
      <c r="AE73" s="41">
        <f t="shared" si="41"/>
        <v>16700996.283665974</v>
      </c>
      <c r="AF73" s="41">
        <f t="shared" si="42"/>
        <v>6972445.7163340263</v>
      </c>
      <c r="AG73" s="35"/>
      <c r="AH73" s="115" t="e">
        <f>++S73++#REF!</f>
        <v>#REF!</v>
      </c>
      <c r="AI73" s="14"/>
      <c r="AJ73" s="14"/>
      <c r="AK73" s="14"/>
      <c r="AL73" s="14"/>
      <c r="AM73" s="14"/>
      <c r="AN73" s="14"/>
      <c r="AO73" s="14"/>
      <c r="AP73" s="14"/>
      <c r="AQ73" s="14"/>
      <c r="AR73" s="120">
        <f t="shared" si="8"/>
        <v>1970054128</v>
      </c>
    </row>
    <row r="74" spans="2:44" ht="15.75" customHeight="1" x14ac:dyDescent="0.25">
      <c r="B74" s="278"/>
      <c r="C74" s="278"/>
      <c r="D74" s="301" t="s">
        <v>292</v>
      </c>
      <c r="E74" s="301" t="s">
        <v>293</v>
      </c>
      <c r="F74" s="301" t="s">
        <v>294</v>
      </c>
      <c r="G74" s="7" t="s">
        <v>360</v>
      </c>
      <c r="H74" s="7" t="s">
        <v>361</v>
      </c>
      <c r="I74" s="7" t="s">
        <v>338</v>
      </c>
      <c r="J74" s="8">
        <v>30</v>
      </c>
      <c r="K74" s="101">
        <v>1</v>
      </c>
      <c r="L74" s="102">
        <f>9.06*1160000+2</f>
        <v>10509602</v>
      </c>
      <c r="M74" s="102">
        <f t="shared" si="46"/>
        <v>324.99</v>
      </c>
      <c r="N74" s="102">
        <f t="shared" si="36"/>
        <v>840794.15919999999</v>
      </c>
      <c r="O74" s="102">
        <f t="shared" si="0"/>
        <v>11350721</v>
      </c>
      <c r="P74" s="9">
        <f t="shared" si="1"/>
        <v>11350721</v>
      </c>
      <c r="Q74" s="116">
        <f t="shared" ref="Q74:Q83" si="47">+O74*10%</f>
        <v>1135072.1000000001</v>
      </c>
      <c r="R74" s="102">
        <f t="shared" ref="R74:R83" si="48">+Q74*19%</f>
        <v>215663.69900000002</v>
      </c>
      <c r="S74" s="9">
        <f t="shared" si="4"/>
        <v>11566385</v>
      </c>
      <c r="T74" s="105"/>
      <c r="U74" s="33"/>
      <c r="V74" s="33"/>
      <c r="W74" s="35"/>
      <c r="X74" s="35"/>
      <c r="Y74" s="108">
        <v>10636447.008159766</v>
      </c>
      <c r="Z74" s="109">
        <f t="shared" si="5"/>
        <v>-929937.99184023403</v>
      </c>
      <c r="AA74" s="34"/>
      <c r="AB74" s="108">
        <f t="shared" si="39"/>
        <v>11566385</v>
      </c>
      <c r="AC74" s="110">
        <v>10636447.008159766</v>
      </c>
      <c r="AD74" s="110">
        <f t="shared" si="40"/>
        <v>-929937.99184023403</v>
      </c>
      <c r="AE74" s="41">
        <f t="shared" si="41"/>
        <v>8509157.6065278128</v>
      </c>
      <c r="AF74" s="41">
        <f t="shared" si="42"/>
        <v>3057227.3934721872</v>
      </c>
      <c r="AG74" s="35"/>
      <c r="AH74" s="115" t="e">
        <f t="shared" ref="AH74:AH81" si="49">++S74++AH73</f>
        <v>#REF!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20">
        <f t="shared" si="8"/>
        <v>1981620513</v>
      </c>
    </row>
    <row r="75" spans="2:44" ht="15.75" customHeight="1" x14ac:dyDescent="0.25">
      <c r="B75" s="278"/>
      <c r="C75" s="278"/>
      <c r="D75" s="278"/>
      <c r="E75" s="276"/>
      <c r="F75" s="276"/>
      <c r="G75" s="7" t="s">
        <v>340</v>
      </c>
      <c r="H75" s="7" t="s">
        <v>362</v>
      </c>
      <c r="I75" s="7" t="s">
        <v>338</v>
      </c>
      <c r="J75" s="8">
        <v>30</v>
      </c>
      <c r="K75" s="101">
        <v>1</v>
      </c>
      <c r="L75" s="102">
        <f>9.06*1160000+2+450000</f>
        <v>10959602</v>
      </c>
      <c r="M75" s="102">
        <f t="shared" si="46"/>
        <v>324.99</v>
      </c>
      <c r="N75" s="102">
        <f t="shared" si="36"/>
        <v>876794.15919999999</v>
      </c>
      <c r="O75" s="102">
        <f t="shared" si="0"/>
        <v>11836721</v>
      </c>
      <c r="P75" s="9">
        <f t="shared" si="1"/>
        <v>11836721</v>
      </c>
      <c r="Q75" s="116">
        <f t="shared" si="47"/>
        <v>1183672.1000000001</v>
      </c>
      <c r="R75" s="102">
        <f t="shared" si="48"/>
        <v>224897.69900000002</v>
      </c>
      <c r="S75" s="9">
        <f t="shared" si="4"/>
        <v>12061619</v>
      </c>
      <c r="T75" s="105"/>
      <c r="U75" s="33"/>
      <c r="V75" s="33"/>
      <c r="W75" s="35"/>
      <c r="X75" s="35"/>
      <c r="Y75" s="108">
        <v>10438122.677291233</v>
      </c>
      <c r="Z75" s="109">
        <f t="shared" si="5"/>
        <v>-1623496.3227087669</v>
      </c>
      <c r="AA75" s="34"/>
      <c r="AB75" s="108">
        <f t="shared" si="39"/>
        <v>12061619</v>
      </c>
      <c r="AC75" s="110">
        <v>10636447.008159766</v>
      </c>
      <c r="AD75" s="110">
        <f t="shared" si="40"/>
        <v>-1425171.991840234</v>
      </c>
      <c r="AE75" s="41">
        <f t="shared" si="41"/>
        <v>8509157.6065278128</v>
      </c>
      <c r="AF75" s="41">
        <f t="shared" si="42"/>
        <v>3552461.3934721872</v>
      </c>
      <c r="AG75" s="35"/>
      <c r="AH75" s="115" t="e">
        <f t="shared" si="49"/>
        <v>#REF!</v>
      </c>
      <c r="AI75" s="14"/>
      <c r="AJ75" s="14"/>
      <c r="AK75" s="14"/>
      <c r="AL75" s="14"/>
      <c r="AM75" s="14"/>
      <c r="AN75" s="14"/>
      <c r="AO75" s="14"/>
      <c r="AP75" s="14"/>
      <c r="AQ75" s="14"/>
      <c r="AR75" s="120">
        <f t="shared" si="8"/>
        <v>1993682132</v>
      </c>
    </row>
    <row r="76" spans="2:44" ht="15.75" customHeight="1" x14ac:dyDescent="0.25">
      <c r="B76" s="278"/>
      <c r="C76" s="278"/>
      <c r="D76" s="276"/>
      <c r="E76" s="7" t="s">
        <v>296</v>
      </c>
      <c r="F76" s="7" t="s">
        <v>363</v>
      </c>
      <c r="G76" s="7" t="s">
        <v>364</v>
      </c>
      <c r="H76" s="7" t="s">
        <v>365</v>
      </c>
      <c r="I76" s="7" t="s">
        <v>338</v>
      </c>
      <c r="J76" s="8">
        <v>30</v>
      </c>
      <c r="K76" s="101">
        <v>1</v>
      </c>
      <c r="L76" s="102">
        <f t="shared" ref="L76:L77" si="50">9.06*1160000*55.97%/15*12+2</f>
        <v>4705780.4959999993</v>
      </c>
      <c r="M76" s="102">
        <f t="shared" ref="M76:M77" si="51">+W$9*55.97%/15*12</f>
        <v>145.51752240000002</v>
      </c>
      <c r="N76" s="102">
        <f t="shared" si="36"/>
        <v>376474.08108179196</v>
      </c>
      <c r="O76" s="102">
        <f t="shared" si="0"/>
        <v>5082400</v>
      </c>
      <c r="P76" s="9">
        <f t="shared" si="1"/>
        <v>5082400</v>
      </c>
      <c r="Q76" s="116">
        <f t="shared" si="47"/>
        <v>508240</v>
      </c>
      <c r="R76" s="102">
        <f t="shared" si="48"/>
        <v>96565.6</v>
      </c>
      <c r="S76" s="9">
        <f t="shared" si="4"/>
        <v>5178966</v>
      </c>
      <c r="T76" s="105"/>
      <c r="U76" s="33"/>
      <c r="V76" s="33"/>
      <c r="W76" s="35"/>
      <c r="X76" s="35"/>
      <c r="Y76" s="108">
        <v>20876245.354582466</v>
      </c>
      <c r="Z76" s="109">
        <f t="shared" si="5"/>
        <v>15697279.354582466</v>
      </c>
      <c r="AA76" s="34"/>
      <c r="AB76" s="108">
        <f t="shared" si="39"/>
        <v>5178966</v>
      </c>
      <c r="AC76" s="110">
        <v>5202345.3234609812</v>
      </c>
      <c r="AD76" s="110">
        <f t="shared" si="40"/>
        <v>23379.32346098125</v>
      </c>
      <c r="AE76" s="41">
        <f t="shared" si="41"/>
        <v>4161876.2587687853</v>
      </c>
      <c r="AF76" s="41">
        <f t="shared" si="42"/>
        <v>1017089.7412312147</v>
      </c>
      <c r="AG76" s="35"/>
      <c r="AH76" s="115" t="e">
        <f t="shared" si="49"/>
        <v>#REF!</v>
      </c>
      <c r="AI76" s="14"/>
      <c r="AJ76" s="14"/>
      <c r="AK76" s="14"/>
      <c r="AL76" s="14"/>
      <c r="AM76" s="14"/>
      <c r="AN76" s="14"/>
      <c r="AO76" s="14"/>
      <c r="AP76" s="14"/>
      <c r="AQ76" s="14"/>
      <c r="AR76" s="120">
        <f t="shared" si="8"/>
        <v>1998861098</v>
      </c>
    </row>
    <row r="77" spans="2:44" ht="15.75" customHeight="1" x14ac:dyDescent="0.25">
      <c r="B77" s="278"/>
      <c r="C77" s="278"/>
      <c r="D77" s="301" t="s">
        <v>300</v>
      </c>
      <c r="E77" s="301" t="s">
        <v>301</v>
      </c>
      <c r="F77" s="301" t="s">
        <v>302</v>
      </c>
      <c r="G77" s="7" t="s">
        <v>366</v>
      </c>
      <c r="H77" s="7" t="s">
        <v>367</v>
      </c>
      <c r="I77" s="7" t="s">
        <v>338</v>
      </c>
      <c r="J77" s="8">
        <v>30</v>
      </c>
      <c r="K77" s="101">
        <v>1</v>
      </c>
      <c r="L77" s="102">
        <f t="shared" si="50"/>
        <v>4705780.4959999993</v>
      </c>
      <c r="M77" s="102">
        <f t="shared" si="51"/>
        <v>145.51752240000002</v>
      </c>
      <c r="N77" s="102">
        <f t="shared" si="36"/>
        <v>376474.08108179196</v>
      </c>
      <c r="O77" s="102">
        <f t="shared" si="0"/>
        <v>5082400</v>
      </c>
      <c r="P77" s="9">
        <f t="shared" si="1"/>
        <v>5082400</v>
      </c>
      <c r="Q77" s="116">
        <f t="shared" si="47"/>
        <v>508240</v>
      </c>
      <c r="R77" s="102">
        <f t="shared" si="48"/>
        <v>96565.6</v>
      </c>
      <c r="S77" s="9">
        <f t="shared" si="4"/>
        <v>5178966</v>
      </c>
      <c r="T77" s="105"/>
      <c r="U77" s="33"/>
      <c r="V77" s="33"/>
      <c r="W77" s="35"/>
      <c r="X77" s="35"/>
      <c r="Y77" s="108">
        <v>10636447.008159766</v>
      </c>
      <c r="Z77" s="109">
        <f t="shared" si="5"/>
        <v>5457481.008159766</v>
      </c>
      <c r="AA77" s="34"/>
      <c r="AB77" s="108">
        <f t="shared" si="39"/>
        <v>5178966</v>
      </c>
      <c r="AC77" s="110">
        <v>4703841.6785409814</v>
      </c>
      <c r="AD77" s="110">
        <f t="shared" si="40"/>
        <v>-475124.32145901863</v>
      </c>
      <c r="AE77" s="41">
        <f t="shared" si="41"/>
        <v>3763073.3428327851</v>
      </c>
      <c r="AF77" s="41">
        <f t="shared" si="42"/>
        <v>1415892.6571672149</v>
      </c>
      <c r="AG77" s="35"/>
      <c r="AH77" s="115" t="e">
        <f t="shared" si="49"/>
        <v>#REF!</v>
      </c>
      <c r="AI77" s="14"/>
      <c r="AJ77" s="14"/>
      <c r="AK77" s="14"/>
      <c r="AL77" s="14"/>
      <c r="AM77" s="14"/>
      <c r="AN77" s="14"/>
      <c r="AO77" s="14"/>
      <c r="AP77" s="14"/>
      <c r="AQ77" s="14"/>
      <c r="AR77" s="120">
        <f t="shared" si="8"/>
        <v>2004040064</v>
      </c>
    </row>
    <row r="78" spans="2:44" ht="15.75" customHeight="1" x14ac:dyDescent="0.25">
      <c r="B78" s="278"/>
      <c r="C78" s="278"/>
      <c r="D78" s="276"/>
      <c r="E78" s="276"/>
      <c r="F78" s="276"/>
      <c r="G78" s="7" t="s">
        <v>368</v>
      </c>
      <c r="H78" s="7" t="s">
        <v>369</v>
      </c>
      <c r="I78" s="7" t="s">
        <v>338</v>
      </c>
      <c r="J78" s="8">
        <v>30</v>
      </c>
      <c r="K78" s="101">
        <v>1</v>
      </c>
      <c r="L78" s="102">
        <f>9.06*1160000+2+450000</f>
        <v>10959602</v>
      </c>
      <c r="M78" s="102">
        <f>+W$9</f>
        <v>324.99</v>
      </c>
      <c r="N78" s="102">
        <f t="shared" si="36"/>
        <v>876794.15919999999</v>
      </c>
      <c r="O78" s="102">
        <f t="shared" si="0"/>
        <v>11836721</v>
      </c>
      <c r="P78" s="9">
        <f t="shared" si="1"/>
        <v>11836721</v>
      </c>
      <c r="Q78" s="116">
        <f t="shared" si="47"/>
        <v>1183672.1000000001</v>
      </c>
      <c r="R78" s="102">
        <f t="shared" si="48"/>
        <v>224897.69900000002</v>
      </c>
      <c r="S78" s="9">
        <f t="shared" si="4"/>
        <v>12061619</v>
      </c>
      <c r="T78" s="105"/>
      <c r="U78" s="33"/>
      <c r="V78" s="33"/>
      <c r="W78" s="35"/>
      <c r="X78" s="35"/>
      <c r="Y78" s="108">
        <v>10636447.008159766</v>
      </c>
      <c r="Z78" s="109">
        <f t="shared" si="5"/>
        <v>-1425171.991840234</v>
      </c>
      <c r="AA78" s="34"/>
      <c r="AB78" s="108">
        <f t="shared" si="39"/>
        <v>12061619</v>
      </c>
      <c r="AC78" s="110">
        <v>10636447.008159766</v>
      </c>
      <c r="AD78" s="110">
        <f t="shared" si="40"/>
        <v>-1425171.991840234</v>
      </c>
      <c r="AE78" s="41">
        <f t="shared" si="41"/>
        <v>8509157.6065278128</v>
      </c>
      <c r="AF78" s="41">
        <f t="shared" si="42"/>
        <v>3552461.3934721872</v>
      </c>
      <c r="AG78" s="35"/>
      <c r="AH78" s="115" t="e">
        <f t="shared" si="49"/>
        <v>#REF!</v>
      </c>
      <c r="AI78" s="14"/>
      <c r="AJ78" s="14"/>
      <c r="AK78" s="14"/>
      <c r="AL78" s="14"/>
      <c r="AM78" s="14"/>
      <c r="AN78" s="14"/>
      <c r="AO78" s="14"/>
      <c r="AP78" s="14"/>
      <c r="AQ78" s="14"/>
      <c r="AR78" s="120">
        <f t="shared" si="8"/>
        <v>2016101683</v>
      </c>
    </row>
    <row r="79" spans="2:44" ht="15.75" customHeight="1" x14ac:dyDescent="0.25">
      <c r="B79" s="278"/>
      <c r="C79" s="278"/>
      <c r="D79" s="7" t="s">
        <v>279</v>
      </c>
      <c r="E79" s="7" t="s">
        <v>303</v>
      </c>
      <c r="F79" s="7" t="s">
        <v>304</v>
      </c>
      <c r="G79" s="7" t="s">
        <v>370</v>
      </c>
      <c r="H79" s="7" t="s">
        <v>371</v>
      </c>
      <c r="I79" s="7" t="s">
        <v>338</v>
      </c>
      <c r="J79" s="8">
        <v>30</v>
      </c>
      <c r="K79" s="101">
        <v>1</v>
      </c>
      <c r="L79" s="102">
        <f t="shared" ref="L79:L83" si="52">9.06*1160000*55.97%/15*12+2</f>
        <v>4705780.4959999993</v>
      </c>
      <c r="M79" s="102">
        <f t="shared" ref="M79:M83" si="53">+W$9*55.97%/15*12</f>
        <v>145.51752240000002</v>
      </c>
      <c r="N79" s="102">
        <f t="shared" si="36"/>
        <v>376474.08108179196</v>
      </c>
      <c r="O79" s="102">
        <f t="shared" si="0"/>
        <v>5082400</v>
      </c>
      <c r="P79" s="9">
        <f t="shared" si="1"/>
        <v>5082400</v>
      </c>
      <c r="Q79" s="116">
        <f t="shared" si="47"/>
        <v>508240</v>
      </c>
      <c r="R79" s="102">
        <f t="shared" si="48"/>
        <v>96565.6</v>
      </c>
      <c r="S79" s="9">
        <f t="shared" si="4"/>
        <v>5178966</v>
      </c>
      <c r="T79" s="105"/>
      <c r="U79" s="33"/>
      <c r="V79" s="33"/>
      <c r="W79" s="35"/>
      <c r="X79" s="35"/>
      <c r="Y79" s="108">
        <v>5202345.3234609812</v>
      </c>
      <c r="Z79" s="109">
        <f t="shared" si="5"/>
        <v>23379.32346098125</v>
      </c>
      <c r="AA79" s="34"/>
      <c r="AB79" s="108">
        <f t="shared" si="39"/>
        <v>5178966</v>
      </c>
      <c r="AC79" s="110">
        <v>4703841.6785409814</v>
      </c>
      <c r="AD79" s="110">
        <f t="shared" si="40"/>
        <v>-475124.32145901863</v>
      </c>
      <c r="AE79" s="41">
        <f t="shared" si="41"/>
        <v>3763073.3428327851</v>
      </c>
      <c r="AF79" s="41">
        <f t="shared" si="42"/>
        <v>1415892.6571672149</v>
      </c>
      <c r="AG79" s="35"/>
      <c r="AH79" s="115" t="e">
        <f t="shared" si="49"/>
        <v>#REF!</v>
      </c>
      <c r="AI79" s="14"/>
      <c r="AJ79" s="14"/>
      <c r="AK79" s="14"/>
      <c r="AL79" s="14"/>
      <c r="AM79" s="14"/>
      <c r="AN79" s="14"/>
      <c r="AO79" s="14"/>
      <c r="AP79" s="14"/>
      <c r="AQ79" s="14"/>
      <c r="AR79" s="120">
        <f t="shared" si="8"/>
        <v>2021280649</v>
      </c>
    </row>
    <row r="80" spans="2:44" ht="15.75" customHeight="1" x14ac:dyDescent="0.25">
      <c r="B80" s="278"/>
      <c r="C80" s="278"/>
      <c r="D80" s="301" t="s">
        <v>16</v>
      </c>
      <c r="E80" s="7" t="s">
        <v>275</v>
      </c>
      <c r="F80" s="7" t="s">
        <v>372</v>
      </c>
      <c r="G80" s="7" t="s">
        <v>370</v>
      </c>
      <c r="H80" s="7" t="s">
        <v>373</v>
      </c>
      <c r="I80" s="7" t="s">
        <v>338</v>
      </c>
      <c r="J80" s="8">
        <v>30</v>
      </c>
      <c r="K80" s="101">
        <v>1</v>
      </c>
      <c r="L80" s="102">
        <f t="shared" si="52"/>
        <v>4705780.4959999993</v>
      </c>
      <c r="M80" s="102">
        <f t="shared" si="53"/>
        <v>145.51752240000002</v>
      </c>
      <c r="N80" s="102">
        <f t="shared" si="36"/>
        <v>376474.08108179196</v>
      </c>
      <c r="O80" s="102">
        <f t="shared" si="0"/>
        <v>5082400</v>
      </c>
      <c r="P80" s="9">
        <f t="shared" si="1"/>
        <v>5082400</v>
      </c>
      <c r="Q80" s="116">
        <f t="shared" si="47"/>
        <v>508240</v>
      </c>
      <c r="R80" s="102">
        <f t="shared" si="48"/>
        <v>96565.6</v>
      </c>
      <c r="S80" s="9">
        <f t="shared" si="4"/>
        <v>5178966</v>
      </c>
      <c r="T80" s="105"/>
      <c r="U80" s="33"/>
      <c r="V80" s="33"/>
      <c r="W80" s="35"/>
      <c r="X80" s="35"/>
      <c r="Y80" s="108">
        <v>4703841.6785409814</v>
      </c>
      <c r="Z80" s="109">
        <f t="shared" si="5"/>
        <v>-475124.32145901863</v>
      </c>
      <c r="AA80" s="34"/>
      <c r="AB80" s="108">
        <f t="shared" si="39"/>
        <v>5178966</v>
      </c>
      <c r="AC80" s="110">
        <v>4703841.6785409814</v>
      </c>
      <c r="AD80" s="110">
        <f t="shared" si="40"/>
        <v>-475124.32145901863</v>
      </c>
      <c r="AE80" s="41">
        <f t="shared" si="41"/>
        <v>3763073.3428327851</v>
      </c>
      <c r="AF80" s="41">
        <f t="shared" si="42"/>
        <v>1415892.6571672149</v>
      </c>
      <c r="AG80" s="35"/>
      <c r="AH80" s="115" t="e">
        <f t="shared" si="49"/>
        <v>#REF!</v>
      </c>
      <c r="AI80" s="14"/>
      <c r="AJ80" s="14"/>
      <c r="AK80" s="14"/>
      <c r="AL80" s="14"/>
      <c r="AM80" s="14"/>
      <c r="AN80" s="14"/>
      <c r="AO80" s="14"/>
      <c r="AP80" s="14"/>
      <c r="AQ80" s="14"/>
      <c r="AR80" s="120">
        <f t="shared" si="8"/>
        <v>2026459615</v>
      </c>
    </row>
    <row r="81" spans="2:44" ht="15.75" customHeight="1" x14ac:dyDescent="0.25">
      <c r="B81" s="278"/>
      <c r="C81" s="278"/>
      <c r="D81" s="276"/>
      <c r="E81" s="7" t="s">
        <v>170</v>
      </c>
      <c r="F81" s="7" t="s">
        <v>305</v>
      </c>
      <c r="G81" s="7" t="s">
        <v>370</v>
      </c>
      <c r="H81" s="7" t="s">
        <v>374</v>
      </c>
      <c r="I81" s="7" t="s">
        <v>338</v>
      </c>
      <c r="J81" s="8">
        <v>30</v>
      </c>
      <c r="K81" s="101">
        <v>1</v>
      </c>
      <c r="L81" s="102">
        <f t="shared" si="52"/>
        <v>4705780.4959999993</v>
      </c>
      <c r="M81" s="102">
        <f t="shared" si="53"/>
        <v>145.51752240000002</v>
      </c>
      <c r="N81" s="102">
        <f t="shared" si="36"/>
        <v>376474.08108179196</v>
      </c>
      <c r="O81" s="102">
        <f t="shared" si="0"/>
        <v>5082400</v>
      </c>
      <c r="P81" s="9">
        <f t="shared" si="1"/>
        <v>5082400</v>
      </c>
      <c r="Q81" s="116">
        <f t="shared" si="47"/>
        <v>508240</v>
      </c>
      <c r="R81" s="102">
        <f t="shared" si="48"/>
        <v>96565.6</v>
      </c>
      <c r="S81" s="9">
        <f t="shared" si="4"/>
        <v>5178966</v>
      </c>
      <c r="T81" s="105"/>
      <c r="U81" s="33"/>
      <c r="V81" s="33"/>
      <c r="W81" s="35"/>
      <c r="X81" s="35"/>
      <c r="Y81" s="108">
        <v>10636447.008159766</v>
      </c>
      <c r="Z81" s="109">
        <f t="shared" si="5"/>
        <v>5457481.008159766</v>
      </c>
      <c r="AA81" s="34"/>
      <c r="AB81" s="108">
        <f t="shared" si="39"/>
        <v>5178966</v>
      </c>
      <c r="AC81" s="110">
        <v>4703841.6785409814</v>
      </c>
      <c r="AD81" s="110">
        <f t="shared" si="40"/>
        <v>-475124.32145901863</v>
      </c>
      <c r="AE81" s="41">
        <f t="shared" si="41"/>
        <v>3763073.3428327851</v>
      </c>
      <c r="AF81" s="41">
        <f t="shared" si="42"/>
        <v>1415892.6571672149</v>
      </c>
      <c r="AG81" s="35"/>
      <c r="AH81" s="115" t="e">
        <f t="shared" si="49"/>
        <v>#REF!</v>
      </c>
      <c r="AI81" s="14"/>
      <c r="AJ81" s="14"/>
      <c r="AK81" s="115"/>
      <c r="AL81" s="115"/>
      <c r="AM81" s="14"/>
      <c r="AN81" s="14"/>
      <c r="AO81" s="14"/>
      <c r="AP81" s="14"/>
      <c r="AQ81" s="14"/>
      <c r="AR81" s="120">
        <f t="shared" si="8"/>
        <v>2031638581</v>
      </c>
    </row>
    <row r="82" spans="2:44" ht="15.75" customHeight="1" x14ac:dyDescent="0.25">
      <c r="B82" s="278"/>
      <c r="C82" s="278"/>
      <c r="D82" s="7" t="s">
        <v>278</v>
      </c>
      <c r="E82" s="7" t="s">
        <v>298</v>
      </c>
      <c r="F82" s="7" t="s">
        <v>299</v>
      </c>
      <c r="G82" s="7" t="s">
        <v>370</v>
      </c>
      <c r="H82" s="7" t="s">
        <v>375</v>
      </c>
      <c r="I82" s="7" t="s">
        <v>338</v>
      </c>
      <c r="J82" s="8">
        <v>5</v>
      </c>
      <c r="K82" s="101">
        <v>1</v>
      </c>
      <c r="L82" s="102">
        <f t="shared" si="52"/>
        <v>4705780.4959999993</v>
      </c>
      <c r="M82" s="102">
        <f t="shared" si="53"/>
        <v>145.51752240000002</v>
      </c>
      <c r="N82" s="102">
        <f t="shared" si="36"/>
        <v>376474.08108179196</v>
      </c>
      <c r="O82" s="102">
        <f t="shared" si="0"/>
        <v>847066.66666666674</v>
      </c>
      <c r="P82" s="9">
        <f t="shared" si="1"/>
        <v>847066.66666666674</v>
      </c>
      <c r="Q82" s="116">
        <f t="shared" si="47"/>
        <v>84706.666666666686</v>
      </c>
      <c r="R82" s="102">
        <f t="shared" si="48"/>
        <v>16094.26666666667</v>
      </c>
      <c r="S82" s="9">
        <f t="shared" si="4"/>
        <v>863161</v>
      </c>
      <c r="T82" s="105"/>
      <c r="U82" s="33"/>
      <c r="V82" s="33"/>
      <c r="W82" s="35"/>
      <c r="X82" s="35"/>
      <c r="Y82" s="108"/>
      <c r="Z82" s="109"/>
      <c r="AA82" s="34"/>
      <c r="AB82" s="108"/>
      <c r="AC82" s="110"/>
      <c r="AD82" s="110"/>
      <c r="AE82" s="41"/>
      <c r="AF82" s="41"/>
      <c r="AG82" s="35"/>
      <c r="AH82" s="115"/>
      <c r="AI82" s="14"/>
      <c r="AJ82" s="14"/>
      <c r="AK82" s="115"/>
      <c r="AL82" s="115"/>
      <c r="AM82" s="14"/>
      <c r="AN82" s="14"/>
      <c r="AO82" s="14"/>
      <c r="AP82" s="14"/>
      <c r="AQ82" s="14"/>
      <c r="AR82" s="120">
        <f t="shared" si="8"/>
        <v>2032501742</v>
      </c>
    </row>
    <row r="83" spans="2:44" ht="15.75" customHeight="1" x14ac:dyDescent="0.25">
      <c r="B83" s="278"/>
      <c r="C83" s="276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30</v>
      </c>
      <c r="K83" s="101">
        <v>1</v>
      </c>
      <c r="L83" s="102">
        <f t="shared" si="52"/>
        <v>4705780.4959999993</v>
      </c>
      <c r="M83" s="102">
        <f t="shared" si="53"/>
        <v>145.51752240000002</v>
      </c>
      <c r="N83" s="102">
        <f t="shared" si="36"/>
        <v>376474.08108179196</v>
      </c>
      <c r="O83" s="102">
        <f t="shared" si="0"/>
        <v>5082400</v>
      </c>
      <c r="P83" s="9">
        <f t="shared" si="1"/>
        <v>5082400</v>
      </c>
      <c r="Q83" s="116">
        <f t="shared" si="47"/>
        <v>508240</v>
      </c>
      <c r="R83" s="102">
        <f t="shared" si="48"/>
        <v>96565.6</v>
      </c>
      <c r="S83" s="9">
        <f t="shared" si="4"/>
        <v>5178966</v>
      </c>
      <c r="T83" s="105"/>
      <c r="U83" s="33"/>
      <c r="V83" s="33"/>
      <c r="W83" s="35"/>
      <c r="X83" s="35"/>
      <c r="Y83" s="108">
        <v>4703841.6785409814</v>
      </c>
      <c r="Z83" s="109">
        <f t="shared" ref="Z83:Z93" si="54">+Y83-S83</f>
        <v>-475124.32145901863</v>
      </c>
      <c r="AA83" s="34"/>
      <c r="AB83" s="108">
        <f t="shared" ref="AB83:AB93" si="55">+S83</f>
        <v>5178966</v>
      </c>
      <c r="AC83" s="110">
        <v>4703841.6785409814</v>
      </c>
      <c r="AD83" s="110">
        <f t="shared" ref="AD83:AD93" si="56">+AC83-AB83</f>
        <v>-475124.32145901863</v>
      </c>
      <c r="AE83" s="41">
        <f t="shared" ref="AE83:AE93" si="57">+AC83*80%</f>
        <v>3763073.3428327851</v>
      </c>
      <c r="AF83" s="41">
        <f t="shared" ref="AF83:AF93" si="58">+AB83-AE83</f>
        <v>1415892.6571672149</v>
      </c>
      <c r="AG83" s="35"/>
      <c r="AH83" s="115" t="e">
        <f>++S83++AH81</f>
        <v>#REF!</v>
      </c>
      <c r="AI83" s="14"/>
      <c r="AJ83" s="14"/>
      <c r="AK83" s="14"/>
      <c r="AL83" s="115"/>
      <c r="AM83" s="14"/>
      <c r="AN83" s="14"/>
      <c r="AO83" s="14"/>
      <c r="AP83" s="14"/>
      <c r="AQ83" s="14"/>
      <c r="AR83" s="120">
        <f t="shared" si="8"/>
        <v>2037680708</v>
      </c>
    </row>
    <row r="84" spans="2:44" ht="24" customHeight="1" x14ac:dyDescent="0.25">
      <c r="B84" s="278"/>
      <c r="C84" s="308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30</v>
      </c>
      <c r="K84" s="101">
        <v>1</v>
      </c>
      <c r="L84" s="102">
        <f>9.06*1160000+2+1500000</f>
        <v>12009602</v>
      </c>
      <c r="M84" s="103">
        <v>0</v>
      </c>
      <c r="N84" s="102">
        <f t="shared" si="36"/>
        <v>960768.16</v>
      </c>
      <c r="O84" s="102">
        <f t="shared" si="0"/>
        <v>12970370</v>
      </c>
      <c r="P84" s="9">
        <f t="shared" si="1"/>
        <v>12970370</v>
      </c>
      <c r="Q84" s="116">
        <v>0</v>
      </c>
      <c r="R84" s="102">
        <f>+O84*19%</f>
        <v>2464370.2999999998</v>
      </c>
      <c r="S84" s="9">
        <f t="shared" si="4"/>
        <v>15434740</v>
      </c>
      <c r="T84" s="105"/>
      <c r="U84" s="33"/>
      <c r="V84" s="33"/>
      <c r="W84" s="35"/>
      <c r="X84" s="35"/>
      <c r="Y84" s="108">
        <v>4703841.6785409814</v>
      </c>
      <c r="Z84" s="109">
        <f t="shared" si="54"/>
        <v>-10730898.321459018</v>
      </c>
      <c r="AA84" s="34"/>
      <c r="AB84" s="108">
        <f t="shared" si="55"/>
        <v>15434740</v>
      </c>
      <c r="AC84" s="110">
        <v>15132691.2335071</v>
      </c>
      <c r="AD84" s="110">
        <f t="shared" si="56"/>
        <v>-302048.76649289951</v>
      </c>
      <c r="AE84" s="41">
        <f t="shared" si="57"/>
        <v>12106152.986805681</v>
      </c>
      <c r="AF84" s="41">
        <f t="shared" si="58"/>
        <v>3328587.0131943189</v>
      </c>
      <c r="AG84" s="35"/>
      <c r="AH84" s="115" t="e">
        <f t="shared" ref="AH84:AH85" si="59">++S84++AH83</f>
        <v>#REF!</v>
      </c>
      <c r="AI84" s="14"/>
      <c r="AJ84" s="14"/>
      <c r="AK84" s="115"/>
      <c r="AL84" s="115"/>
      <c r="AM84" s="14"/>
      <c r="AN84" s="14"/>
      <c r="AO84" s="14"/>
      <c r="AP84" s="14"/>
      <c r="AQ84" s="14"/>
      <c r="AR84" s="120">
        <f t="shared" si="8"/>
        <v>2053115448</v>
      </c>
    </row>
    <row r="85" spans="2:44" ht="24" customHeight="1" x14ac:dyDescent="0.25">
      <c r="B85" s="278"/>
      <c r="C85" s="278"/>
      <c r="D85" s="7"/>
      <c r="E85" s="7"/>
      <c r="F85" s="7"/>
      <c r="G85" s="7"/>
      <c r="H85" s="74" t="s">
        <v>357</v>
      </c>
      <c r="I85" s="7" t="s">
        <v>338</v>
      </c>
      <c r="J85" s="8">
        <v>30</v>
      </c>
      <c r="K85" s="101">
        <v>1</v>
      </c>
      <c r="L85" s="102">
        <f>9.06*1160000+2+450000</f>
        <v>10959602</v>
      </c>
      <c r="M85" s="102">
        <f>+W$9</f>
        <v>324.99</v>
      </c>
      <c r="N85" s="102">
        <f t="shared" si="36"/>
        <v>876794.15919999999</v>
      </c>
      <c r="O85" s="102">
        <f t="shared" si="0"/>
        <v>11836721</v>
      </c>
      <c r="P85" s="140">
        <f t="shared" si="1"/>
        <v>11836721</v>
      </c>
      <c r="Q85" s="116">
        <v>0</v>
      </c>
      <c r="R85" s="102">
        <v>0</v>
      </c>
      <c r="S85" s="9">
        <f t="shared" si="4"/>
        <v>11836721</v>
      </c>
      <c r="T85" s="105"/>
      <c r="U85" s="33"/>
      <c r="V85" s="33"/>
      <c r="W85" s="35"/>
      <c r="X85" s="35"/>
      <c r="Y85" s="108">
        <v>7737445.0613655103</v>
      </c>
      <c r="Z85" s="109">
        <f t="shared" si="54"/>
        <v>-4099275.9386344897</v>
      </c>
      <c r="AA85" s="34"/>
      <c r="AB85" s="108">
        <f t="shared" si="55"/>
        <v>11836721</v>
      </c>
      <c r="AC85" s="110">
        <v>10438122.677291233</v>
      </c>
      <c r="AD85" s="110">
        <f t="shared" si="56"/>
        <v>-1398598.3227087669</v>
      </c>
      <c r="AE85" s="41">
        <f t="shared" si="57"/>
        <v>8350498.1418329868</v>
      </c>
      <c r="AF85" s="41">
        <f t="shared" si="58"/>
        <v>3486222.8581670132</v>
      </c>
      <c r="AG85" s="35"/>
      <c r="AH85" s="115" t="e">
        <f t="shared" si="59"/>
        <v>#REF!</v>
      </c>
      <c r="AI85" s="14"/>
      <c r="AJ85" s="14"/>
      <c r="AK85" s="14"/>
      <c r="AL85" s="14"/>
      <c r="AM85" s="14"/>
      <c r="AN85" s="14"/>
      <c r="AO85" s="14"/>
      <c r="AP85" s="14"/>
      <c r="AQ85" s="14"/>
      <c r="AR85" s="120">
        <f t="shared" si="8"/>
        <v>2064952169</v>
      </c>
    </row>
    <row r="86" spans="2:44" ht="15.75" customHeight="1" x14ac:dyDescent="0.25">
      <c r="B86" s="278"/>
      <c r="C86" s="278"/>
      <c r="D86" s="7" t="s">
        <v>279</v>
      </c>
      <c r="E86" s="5" t="s">
        <v>280</v>
      </c>
      <c r="F86" s="7" t="s">
        <v>383</v>
      </c>
      <c r="G86" s="100" t="s">
        <v>384</v>
      </c>
      <c r="H86" s="100" t="s">
        <v>385</v>
      </c>
      <c r="I86" s="100" t="s">
        <v>280</v>
      </c>
      <c r="J86" s="101">
        <v>10</v>
      </c>
      <c r="K86" s="101">
        <v>2</v>
      </c>
      <c r="L86" s="102">
        <v>1655100</v>
      </c>
      <c r="M86" s="103"/>
      <c r="N86" s="103"/>
      <c r="O86" s="102">
        <f t="shared" si="0"/>
        <v>1103400</v>
      </c>
      <c r="P86" s="9">
        <f t="shared" si="1"/>
        <v>551700</v>
      </c>
      <c r="Q86" s="103"/>
      <c r="R86" s="103">
        <f t="shared" ref="R86:R87" si="60">+O86*19%</f>
        <v>209646</v>
      </c>
      <c r="S86" s="16">
        <f t="shared" ref="S86:S93" si="61">+O86+R86</f>
        <v>1313046</v>
      </c>
      <c r="T86" s="105"/>
      <c r="U86" s="33"/>
      <c r="V86" s="106"/>
      <c r="W86" s="107"/>
      <c r="X86" s="35"/>
      <c r="Y86" s="108">
        <v>4703841.6785409814</v>
      </c>
      <c r="Z86" s="109">
        <f t="shared" si="54"/>
        <v>3390795.6785409814</v>
      </c>
      <c r="AA86" s="34"/>
      <c r="AB86" s="108">
        <f t="shared" si="55"/>
        <v>1313046</v>
      </c>
      <c r="AC86" s="110">
        <v>4284000</v>
      </c>
      <c r="AD86" s="110">
        <f t="shared" si="56"/>
        <v>2970954</v>
      </c>
      <c r="AE86" s="41">
        <f t="shared" si="57"/>
        <v>3427200</v>
      </c>
      <c r="AF86" s="41">
        <f t="shared" si="58"/>
        <v>-2114154</v>
      </c>
      <c r="AG86" s="35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20">
        <f t="shared" si="8"/>
        <v>2066265215</v>
      </c>
    </row>
    <row r="87" spans="2:44" ht="15.75" customHeight="1" x14ac:dyDescent="0.25">
      <c r="B87" s="278"/>
      <c r="C87" s="278"/>
      <c r="D87" s="5" t="s">
        <v>278</v>
      </c>
      <c r="E87" s="5" t="s">
        <v>286</v>
      </c>
      <c r="F87" s="7" t="s">
        <v>383</v>
      </c>
      <c r="G87" s="100" t="s">
        <v>384</v>
      </c>
      <c r="H87" s="100" t="s">
        <v>386</v>
      </c>
      <c r="I87" s="100" t="s">
        <v>286</v>
      </c>
      <c r="J87" s="101">
        <v>10</v>
      </c>
      <c r="K87" s="101">
        <v>2</v>
      </c>
      <c r="L87" s="102">
        <v>1655100</v>
      </c>
      <c r="M87" s="103"/>
      <c r="N87" s="103"/>
      <c r="O87" s="102">
        <f t="shared" si="0"/>
        <v>1103400</v>
      </c>
      <c r="P87" s="9">
        <f t="shared" si="1"/>
        <v>551700</v>
      </c>
      <c r="Q87" s="103"/>
      <c r="R87" s="103">
        <f t="shared" si="60"/>
        <v>209646</v>
      </c>
      <c r="S87" s="16">
        <f t="shared" si="61"/>
        <v>1313046</v>
      </c>
      <c r="T87" s="105"/>
      <c r="U87" s="33"/>
      <c r="V87" s="35"/>
      <c r="W87" s="107"/>
      <c r="X87" s="35"/>
      <c r="Y87" s="108">
        <v>4703841.6785409814</v>
      </c>
      <c r="Z87" s="109">
        <f t="shared" si="54"/>
        <v>3390795.6785409814</v>
      </c>
      <c r="AA87" s="34"/>
      <c r="AB87" s="108">
        <f t="shared" si="55"/>
        <v>1313046</v>
      </c>
      <c r="AC87" s="110">
        <v>4284000</v>
      </c>
      <c r="AD87" s="110">
        <f t="shared" si="56"/>
        <v>2970954</v>
      </c>
      <c r="AE87" s="41">
        <f t="shared" si="57"/>
        <v>3427200</v>
      </c>
      <c r="AF87" s="41">
        <f t="shared" si="58"/>
        <v>-2114154</v>
      </c>
      <c r="AG87" s="35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20">
        <f t="shared" si="8"/>
        <v>2067578261</v>
      </c>
    </row>
    <row r="88" spans="2:44" ht="15.75" customHeight="1" x14ac:dyDescent="0.25">
      <c r="B88" s="278"/>
      <c r="C88" s="278"/>
      <c r="D88" s="7" t="s">
        <v>140</v>
      </c>
      <c r="E88" s="5" t="s">
        <v>141</v>
      </c>
      <c r="F88" s="7" t="s">
        <v>383</v>
      </c>
      <c r="G88" s="100" t="s">
        <v>384</v>
      </c>
      <c r="H88" s="111" t="s">
        <v>387</v>
      </c>
      <c r="I88" s="100" t="s">
        <v>141</v>
      </c>
      <c r="J88" s="101">
        <v>10</v>
      </c>
      <c r="K88" s="101">
        <v>2</v>
      </c>
      <c r="L88" s="102">
        <v>1655100</v>
      </c>
      <c r="M88" s="103"/>
      <c r="N88" s="103"/>
      <c r="O88" s="102">
        <f t="shared" si="0"/>
        <v>1103400</v>
      </c>
      <c r="P88" s="9">
        <f t="shared" si="1"/>
        <v>551700</v>
      </c>
      <c r="Q88" s="103"/>
      <c r="R88" s="103">
        <v>0</v>
      </c>
      <c r="S88" s="16">
        <f t="shared" si="61"/>
        <v>1103400</v>
      </c>
      <c r="T88" s="105"/>
      <c r="U88" s="33"/>
      <c r="V88" s="35"/>
      <c r="W88" s="107"/>
      <c r="X88" s="35"/>
      <c r="Y88" s="108">
        <v>15132691.2335071</v>
      </c>
      <c r="Z88" s="109">
        <f t="shared" si="54"/>
        <v>14029291.2335071</v>
      </c>
      <c r="AA88" s="34"/>
      <c r="AB88" s="108">
        <f t="shared" si="55"/>
        <v>1103400</v>
      </c>
      <c r="AC88" s="110">
        <v>4284000</v>
      </c>
      <c r="AD88" s="110">
        <f t="shared" si="56"/>
        <v>3180600</v>
      </c>
      <c r="AE88" s="41">
        <f t="shared" si="57"/>
        <v>3427200</v>
      </c>
      <c r="AF88" s="41">
        <f t="shared" si="58"/>
        <v>-2323800</v>
      </c>
      <c r="AG88" s="35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20">
        <f t="shared" si="8"/>
        <v>2068681661</v>
      </c>
    </row>
    <row r="89" spans="2:44" ht="15.75" customHeight="1" x14ac:dyDescent="0.25">
      <c r="B89" s="278"/>
      <c r="C89" s="278"/>
      <c r="D89" s="5" t="s">
        <v>292</v>
      </c>
      <c r="E89" s="5" t="s">
        <v>293</v>
      </c>
      <c r="F89" s="7" t="s">
        <v>383</v>
      </c>
      <c r="G89" s="100" t="s">
        <v>384</v>
      </c>
      <c r="H89" s="100" t="s">
        <v>388</v>
      </c>
      <c r="I89" s="100" t="s">
        <v>293</v>
      </c>
      <c r="J89" s="101">
        <v>10</v>
      </c>
      <c r="K89" s="101">
        <v>2</v>
      </c>
      <c r="L89" s="102">
        <v>1655100</v>
      </c>
      <c r="M89" s="103"/>
      <c r="N89" s="103"/>
      <c r="O89" s="102">
        <f t="shared" si="0"/>
        <v>1103400</v>
      </c>
      <c r="P89" s="9">
        <f t="shared" si="1"/>
        <v>551700</v>
      </c>
      <c r="Q89" s="103"/>
      <c r="R89" s="103">
        <f t="shared" ref="R89:R93" si="62">+O89*19%</f>
        <v>209646</v>
      </c>
      <c r="S89" s="16">
        <f t="shared" si="61"/>
        <v>1313046</v>
      </c>
      <c r="T89" s="105"/>
      <c r="U89" s="33"/>
      <c r="V89" s="35"/>
      <c r="W89" s="107"/>
      <c r="X89" s="35"/>
      <c r="Y89" s="108">
        <v>4284000</v>
      </c>
      <c r="Z89" s="109">
        <f t="shared" si="54"/>
        <v>2970954</v>
      </c>
      <c r="AA89" s="34"/>
      <c r="AB89" s="108">
        <f t="shared" si="55"/>
        <v>1313046</v>
      </c>
      <c r="AC89" s="110">
        <v>4284000</v>
      </c>
      <c r="AD89" s="110">
        <f t="shared" si="56"/>
        <v>2970954</v>
      </c>
      <c r="AE89" s="41">
        <f t="shared" si="57"/>
        <v>3427200</v>
      </c>
      <c r="AF89" s="41">
        <f t="shared" si="58"/>
        <v>-2114154</v>
      </c>
      <c r="AG89" s="35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20">
        <f t="shared" si="8"/>
        <v>2069994707</v>
      </c>
    </row>
    <row r="90" spans="2:44" ht="15.75" customHeight="1" x14ac:dyDescent="0.25">
      <c r="B90" s="278"/>
      <c r="C90" s="278"/>
      <c r="D90" s="7" t="s">
        <v>292</v>
      </c>
      <c r="E90" s="5" t="s">
        <v>296</v>
      </c>
      <c r="F90" s="7" t="s">
        <v>383</v>
      </c>
      <c r="G90" s="100" t="s">
        <v>384</v>
      </c>
      <c r="H90" s="100" t="s">
        <v>389</v>
      </c>
      <c r="I90" s="100" t="s">
        <v>296</v>
      </c>
      <c r="J90" s="101">
        <v>10</v>
      </c>
      <c r="K90" s="101">
        <v>2</v>
      </c>
      <c r="L90" s="102">
        <v>1655100</v>
      </c>
      <c r="M90" s="103"/>
      <c r="N90" s="103"/>
      <c r="O90" s="102">
        <f t="shared" si="0"/>
        <v>1103400</v>
      </c>
      <c r="P90" s="9">
        <f t="shared" si="1"/>
        <v>551700</v>
      </c>
      <c r="Q90" s="103"/>
      <c r="R90" s="103">
        <f t="shared" si="62"/>
        <v>209646</v>
      </c>
      <c r="S90" s="16">
        <f t="shared" si="61"/>
        <v>1313046</v>
      </c>
      <c r="T90" s="105"/>
      <c r="U90" s="33"/>
      <c r="V90" s="35"/>
      <c r="W90" s="107"/>
      <c r="X90" s="35"/>
      <c r="Y90" s="108">
        <v>4284000</v>
      </c>
      <c r="Z90" s="109">
        <f t="shared" si="54"/>
        <v>2970954</v>
      </c>
      <c r="AA90" s="34"/>
      <c r="AB90" s="108">
        <f t="shared" si="55"/>
        <v>1313046</v>
      </c>
      <c r="AC90" s="110">
        <v>4284000</v>
      </c>
      <c r="AD90" s="110">
        <f t="shared" si="56"/>
        <v>2970954</v>
      </c>
      <c r="AE90" s="41">
        <f t="shared" si="57"/>
        <v>3427200</v>
      </c>
      <c r="AF90" s="41">
        <f t="shared" si="58"/>
        <v>-2114154</v>
      </c>
      <c r="AG90" s="35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20">
        <f t="shared" si="8"/>
        <v>2071307753</v>
      </c>
    </row>
    <row r="91" spans="2:44" ht="15.75" customHeight="1" x14ac:dyDescent="0.25">
      <c r="B91" s="278"/>
      <c r="C91" s="278"/>
      <c r="D91" s="5" t="s">
        <v>300</v>
      </c>
      <c r="E91" s="5" t="s">
        <v>390</v>
      </c>
      <c r="F91" s="7" t="s">
        <v>383</v>
      </c>
      <c r="G91" s="100" t="s">
        <v>384</v>
      </c>
      <c r="H91" s="100" t="s">
        <v>391</v>
      </c>
      <c r="I91" s="100" t="s">
        <v>390</v>
      </c>
      <c r="J91" s="101">
        <v>10</v>
      </c>
      <c r="K91" s="101">
        <v>2</v>
      </c>
      <c r="L91" s="102">
        <v>1655100</v>
      </c>
      <c r="M91" s="103"/>
      <c r="N91" s="103"/>
      <c r="O91" s="102">
        <f t="shared" si="0"/>
        <v>1103400</v>
      </c>
      <c r="P91" s="9">
        <f t="shared" si="1"/>
        <v>551700</v>
      </c>
      <c r="Q91" s="103"/>
      <c r="R91" s="103">
        <f t="shared" si="62"/>
        <v>209646</v>
      </c>
      <c r="S91" s="16">
        <f t="shared" si="61"/>
        <v>1313046</v>
      </c>
      <c r="T91" s="105"/>
      <c r="U91" s="33"/>
      <c r="V91" s="35"/>
      <c r="W91" s="107"/>
      <c r="X91" s="35"/>
      <c r="Y91" s="108">
        <v>4284000</v>
      </c>
      <c r="Z91" s="109">
        <f t="shared" si="54"/>
        <v>2970954</v>
      </c>
      <c r="AA91" s="34"/>
      <c r="AB91" s="108">
        <f t="shared" si="55"/>
        <v>1313046</v>
      </c>
      <c r="AC91" s="110">
        <v>4284000</v>
      </c>
      <c r="AD91" s="110">
        <f t="shared" si="56"/>
        <v>2970954</v>
      </c>
      <c r="AE91" s="41">
        <f t="shared" si="57"/>
        <v>3427200</v>
      </c>
      <c r="AF91" s="41">
        <f t="shared" si="58"/>
        <v>-2114154</v>
      </c>
      <c r="AG91" s="35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20">
        <f t="shared" si="8"/>
        <v>2072620799</v>
      </c>
    </row>
    <row r="92" spans="2:44" ht="15.75" customHeight="1" x14ac:dyDescent="0.25">
      <c r="B92" s="278"/>
      <c r="C92" s="278"/>
      <c r="D92" s="7" t="s">
        <v>279</v>
      </c>
      <c r="E92" s="5" t="s">
        <v>303</v>
      </c>
      <c r="F92" s="7" t="s">
        <v>383</v>
      </c>
      <c r="G92" s="100" t="s">
        <v>384</v>
      </c>
      <c r="H92" s="100" t="s">
        <v>392</v>
      </c>
      <c r="I92" s="100" t="s">
        <v>303</v>
      </c>
      <c r="J92" s="101">
        <v>10</v>
      </c>
      <c r="K92" s="101">
        <v>2</v>
      </c>
      <c r="L92" s="102">
        <v>1655100</v>
      </c>
      <c r="M92" s="103"/>
      <c r="N92" s="103"/>
      <c r="O92" s="102">
        <f t="shared" si="0"/>
        <v>1103400</v>
      </c>
      <c r="P92" s="9">
        <f t="shared" si="1"/>
        <v>551700</v>
      </c>
      <c r="Q92" s="103"/>
      <c r="R92" s="103">
        <f t="shared" si="62"/>
        <v>209646</v>
      </c>
      <c r="S92" s="16">
        <f t="shared" si="61"/>
        <v>1313046</v>
      </c>
      <c r="T92" s="105"/>
      <c r="U92" s="33"/>
      <c r="V92" s="35"/>
      <c r="W92" s="107"/>
      <c r="X92" s="35"/>
      <c r="Y92" s="108">
        <v>4284000</v>
      </c>
      <c r="Z92" s="109">
        <f t="shared" si="54"/>
        <v>2970954</v>
      </c>
      <c r="AA92" s="34"/>
      <c r="AB92" s="108">
        <f t="shared" si="55"/>
        <v>1313046</v>
      </c>
      <c r="AC92" s="110">
        <v>4284000</v>
      </c>
      <c r="AD92" s="110">
        <f t="shared" si="56"/>
        <v>2970954</v>
      </c>
      <c r="AE92" s="41">
        <f t="shared" si="57"/>
        <v>3427200</v>
      </c>
      <c r="AF92" s="41">
        <f t="shared" si="58"/>
        <v>-2114154</v>
      </c>
      <c r="AG92" s="35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20">
        <f t="shared" si="8"/>
        <v>2073933845</v>
      </c>
    </row>
    <row r="93" spans="2:44" ht="15.75" customHeight="1" x14ac:dyDescent="0.25">
      <c r="B93" s="276"/>
      <c r="C93" s="276"/>
      <c r="D93" s="5" t="s">
        <v>300</v>
      </c>
      <c r="E93" s="5" t="s">
        <v>308</v>
      </c>
      <c r="F93" s="7" t="s">
        <v>383</v>
      </c>
      <c r="G93" s="100" t="s">
        <v>384</v>
      </c>
      <c r="H93" s="100" t="s">
        <v>393</v>
      </c>
      <c r="I93" s="100" t="s">
        <v>308</v>
      </c>
      <c r="J93" s="101">
        <v>10</v>
      </c>
      <c r="K93" s="101">
        <v>2</v>
      </c>
      <c r="L93" s="102">
        <v>1655100</v>
      </c>
      <c r="M93" s="103"/>
      <c r="N93" s="103"/>
      <c r="O93" s="102">
        <f t="shared" si="0"/>
        <v>1103400</v>
      </c>
      <c r="P93" s="9">
        <f t="shared" si="1"/>
        <v>551700</v>
      </c>
      <c r="Q93" s="103"/>
      <c r="R93" s="103">
        <f t="shared" si="62"/>
        <v>209646</v>
      </c>
      <c r="S93" s="16">
        <f t="shared" si="61"/>
        <v>1313046</v>
      </c>
      <c r="T93" s="105"/>
      <c r="U93" s="33"/>
      <c r="V93" s="35"/>
      <c r="W93" s="107"/>
      <c r="X93" s="35"/>
      <c r="Y93" s="108">
        <v>4284000</v>
      </c>
      <c r="Z93" s="109">
        <f t="shared" si="54"/>
        <v>2970954</v>
      </c>
      <c r="AA93" s="34"/>
      <c r="AB93" s="108">
        <f t="shared" si="55"/>
        <v>1313046</v>
      </c>
      <c r="AC93" s="110">
        <v>4284000</v>
      </c>
      <c r="AD93" s="110">
        <f t="shared" si="56"/>
        <v>2970954</v>
      </c>
      <c r="AE93" s="41">
        <f t="shared" si="57"/>
        <v>3427200</v>
      </c>
      <c r="AF93" s="41">
        <f t="shared" si="58"/>
        <v>-2114154</v>
      </c>
      <c r="AG93" s="35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20">
        <f t="shared" si="8"/>
        <v>2075246891</v>
      </c>
    </row>
    <row r="94" spans="2:44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3">SUM(L9:L93)</f>
        <v>666426284.47253358</v>
      </c>
      <c r="M94" s="114">
        <f t="shared" si="63"/>
        <v>19688.023040480013</v>
      </c>
      <c r="N94" s="114">
        <f t="shared" si="63"/>
        <v>56956074.957874246</v>
      </c>
      <c r="O94" s="114">
        <f t="shared" si="63"/>
        <v>2037986375.6666667</v>
      </c>
      <c r="P94" s="141"/>
      <c r="Q94" s="114">
        <f t="shared" ref="Q94:S94" si="64">SUM(Q9:Q93)</f>
        <v>175413802.16666651</v>
      </c>
      <c r="R94" s="114">
        <f t="shared" si="64"/>
        <v>37260514.711666703</v>
      </c>
      <c r="S94" s="17">
        <f t="shared" si="64"/>
        <v>2075246891</v>
      </c>
      <c r="T94" s="114"/>
      <c r="U94" s="33"/>
      <c r="V94" s="33"/>
      <c r="W94" s="33"/>
      <c r="X94" s="33"/>
      <c r="Y94" s="33"/>
      <c r="Z94" s="33"/>
      <c r="AA94" s="30"/>
      <c r="AB94" s="30"/>
      <c r="AC94" s="30"/>
      <c r="AD94" s="30"/>
      <c r="AE94" s="30"/>
      <c r="AF94" s="30"/>
      <c r="AG94" s="30"/>
      <c r="AH94" s="31"/>
      <c r="AI94" s="14"/>
      <c r="AJ94" s="14"/>
      <c r="AK94" s="14"/>
      <c r="AL94" s="14"/>
      <c r="AM94" s="14"/>
      <c r="AN94" s="14"/>
      <c r="AO94" s="14"/>
      <c r="AP94" s="14"/>
      <c r="AQ94" s="14"/>
      <c r="AR94" s="15"/>
    </row>
    <row r="102" spans="15:19" ht="15.75" customHeight="1" x14ac:dyDescent="0.25">
      <c r="O102" s="299" t="s">
        <v>403</v>
      </c>
      <c r="P102" s="270"/>
      <c r="Q102" s="270"/>
      <c r="R102" s="303" t="s">
        <v>404</v>
      </c>
      <c r="S102" s="288"/>
    </row>
    <row r="103" spans="15:19" ht="15.75" customHeight="1" x14ac:dyDescent="0.25">
      <c r="O103" s="299" t="s">
        <v>405</v>
      </c>
      <c r="P103" s="270"/>
      <c r="Q103" s="270"/>
      <c r="R103" s="300" t="s">
        <v>406</v>
      </c>
      <c r="S103" s="259"/>
    </row>
    <row r="104" spans="15:19" ht="15.75" customHeight="1" x14ac:dyDescent="0.25">
      <c r="O104" s="299" t="s">
        <v>407</v>
      </c>
      <c r="P104" s="270"/>
      <c r="Q104" s="270"/>
      <c r="R104" s="300" t="s">
        <v>408</v>
      </c>
      <c r="S104" s="259"/>
    </row>
    <row r="105" spans="15:19" ht="15.75" customHeight="1" x14ac:dyDescent="0.25">
      <c r="O105" s="299" t="s">
        <v>409</v>
      </c>
      <c r="P105" s="270"/>
      <c r="Q105" s="270"/>
      <c r="R105" s="300" t="s">
        <v>410</v>
      </c>
      <c r="S105" s="259"/>
    </row>
    <row r="106" spans="15:19" ht="15.75" customHeight="1" x14ac:dyDescent="0.25">
      <c r="O106" s="299" t="s">
        <v>411</v>
      </c>
      <c r="P106" s="270"/>
      <c r="Q106" s="270"/>
      <c r="R106" s="300">
        <v>7433277</v>
      </c>
      <c r="S106" s="259"/>
    </row>
    <row r="107" spans="15:19" ht="15.75" customHeight="1" x14ac:dyDescent="0.25">
      <c r="O107" s="299" t="s">
        <v>412</v>
      </c>
      <c r="P107" s="270"/>
      <c r="Q107" s="270"/>
      <c r="R107" s="309" t="s">
        <v>413</v>
      </c>
      <c r="S107" s="259"/>
    </row>
    <row r="108" spans="15:19" ht="15.75" customHeight="1" x14ac:dyDescent="0.25">
      <c r="O108" s="299" t="s">
        <v>414</v>
      </c>
      <c r="P108" s="270"/>
      <c r="Q108" s="270"/>
      <c r="R108" s="300">
        <v>3202641687</v>
      </c>
      <c r="S108" s="259"/>
    </row>
    <row r="109" spans="15:19" ht="15.75" customHeight="1" x14ac:dyDescent="0.25">
      <c r="O109" s="299" t="s">
        <v>260</v>
      </c>
      <c r="P109" s="270"/>
      <c r="Q109" s="270"/>
      <c r="R109" s="303" t="s">
        <v>415</v>
      </c>
      <c r="S109" s="288"/>
    </row>
  </sheetData>
  <autoFilter ref="H8:N94" xr:uid="{00000000-0009-0000-0000-00000A000000}"/>
  <mergeCells count="82">
    <mergeCell ref="B2:F7"/>
    <mergeCell ref="G2:T2"/>
    <mergeCell ref="G3:Q3"/>
    <mergeCell ref="R3:S6"/>
    <mergeCell ref="G4:M6"/>
    <mergeCell ref="N4:Q6"/>
    <mergeCell ref="G7:X7"/>
    <mergeCell ref="E15:E16"/>
    <mergeCell ref="F15:F16"/>
    <mergeCell ref="E17:E19"/>
    <mergeCell ref="F17:F19"/>
    <mergeCell ref="E20:E21"/>
    <mergeCell ref="F20:F21"/>
    <mergeCell ref="B63:B93"/>
    <mergeCell ref="C63:C83"/>
    <mergeCell ref="C84:C93"/>
    <mergeCell ref="B9:B62"/>
    <mergeCell ref="C9:C42"/>
    <mergeCell ref="E9:E12"/>
    <mergeCell ref="F9:F12"/>
    <mergeCell ref="D13:D14"/>
    <mergeCell ref="E13:E14"/>
    <mergeCell ref="F13:F14"/>
    <mergeCell ref="E77:E78"/>
    <mergeCell ref="F77:F78"/>
    <mergeCell ref="D80:D81"/>
    <mergeCell ref="D64:D68"/>
    <mergeCell ref="E64:E68"/>
    <mergeCell ref="F64:F65"/>
    <mergeCell ref="D69:D70"/>
    <mergeCell ref="E69:E70"/>
    <mergeCell ref="F69:F70"/>
    <mergeCell ref="D71:D72"/>
    <mergeCell ref="E71:E72"/>
    <mergeCell ref="F71:F72"/>
    <mergeCell ref="D74:D76"/>
    <mergeCell ref="E74:E75"/>
    <mergeCell ref="F74:F75"/>
    <mergeCell ref="D77:D78"/>
    <mergeCell ref="O108:Q108"/>
    <mergeCell ref="R108:S108"/>
    <mergeCell ref="O109:Q109"/>
    <mergeCell ref="R109:S109"/>
    <mergeCell ref="O104:Q104"/>
    <mergeCell ref="O105:Q105"/>
    <mergeCell ref="R105:S105"/>
    <mergeCell ref="O106:Q106"/>
    <mergeCell ref="R106:S106"/>
    <mergeCell ref="O107:Q107"/>
    <mergeCell ref="R107:S107"/>
    <mergeCell ref="E22:E25"/>
    <mergeCell ref="F22:F25"/>
    <mergeCell ref="E35:E37"/>
    <mergeCell ref="F35:F37"/>
    <mergeCell ref="D38:D39"/>
    <mergeCell ref="E38:E39"/>
    <mergeCell ref="F38:F39"/>
    <mergeCell ref="E26:E28"/>
    <mergeCell ref="F26:F28"/>
    <mergeCell ref="E29:E30"/>
    <mergeCell ref="F29:F30"/>
    <mergeCell ref="E32:E34"/>
    <mergeCell ref="F32:F34"/>
    <mergeCell ref="E40:E41"/>
    <mergeCell ref="F40:F41"/>
    <mergeCell ref="C43:C47"/>
    <mergeCell ref="C48:C62"/>
    <mergeCell ref="D48:D52"/>
    <mergeCell ref="E48:E52"/>
    <mergeCell ref="D55:D56"/>
    <mergeCell ref="E55:E56"/>
    <mergeCell ref="D57:D58"/>
    <mergeCell ref="F48:F52"/>
    <mergeCell ref="D53:D54"/>
    <mergeCell ref="E53:E54"/>
    <mergeCell ref="F53:F54"/>
    <mergeCell ref="F55:F56"/>
    <mergeCell ref="O102:Q102"/>
    <mergeCell ref="R102:S102"/>
    <mergeCell ref="O103:Q103"/>
    <mergeCell ref="R103:S103"/>
    <mergeCell ref="R104:S104"/>
  </mergeCells>
  <hyperlinks>
    <hyperlink ref="R107" r:id="rId1" xr:uid="{00000000-0004-0000-0A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colBreaks count="1" manualBreakCount="1">
    <brk id="1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9"/>
  <dimension ref="A1:AN102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1.85546875" hidden="1" customWidth="1"/>
    <col min="7" max="7" width="48.7109375" hidden="1" customWidth="1"/>
    <col min="8" max="8" width="22" hidden="1" customWidth="1"/>
    <col min="9" max="9" width="12.140625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4.140625" customWidth="1"/>
    <col min="17" max="17" width="14.7109375" customWidth="1"/>
    <col min="18" max="18" width="13.28515625" customWidth="1"/>
    <col min="19" max="19" width="15.140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34.7109375" hidden="1" customWidth="1"/>
    <col min="37" max="37" width="20.85546875" hidden="1" customWidth="1"/>
    <col min="38" max="38" width="15.140625" hidden="1" customWidth="1"/>
    <col min="39" max="39" width="16.85546875" hidden="1" customWidth="1"/>
    <col min="40" max="40" width="11.42578125" hidden="1" customWidth="1"/>
  </cols>
  <sheetData>
    <row r="1" spans="2:39" ht="65.25" customHeight="1" x14ac:dyDescent="0.25">
      <c r="B1" s="33"/>
      <c r="C1" s="33"/>
      <c r="D1" s="1" t="s">
        <v>1</v>
      </c>
      <c r="E1" s="1" t="s">
        <v>260</v>
      </c>
      <c r="F1" s="1" t="s">
        <v>3</v>
      </c>
      <c r="G1" s="2" t="s">
        <v>4</v>
      </c>
      <c r="H1" s="2" t="s">
        <v>5</v>
      </c>
      <c r="I1" s="2"/>
      <c r="J1" s="2" t="s">
        <v>7</v>
      </c>
      <c r="K1" s="3" t="s">
        <v>8</v>
      </c>
      <c r="L1" s="2" t="s">
        <v>9</v>
      </c>
      <c r="M1" s="2" t="s">
        <v>261</v>
      </c>
      <c r="N1" s="2" t="s">
        <v>10</v>
      </c>
      <c r="O1" s="2" t="s">
        <v>262</v>
      </c>
      <c r="P1" s="4"/>
      <c r="Q1" s="4" t="s">
        <v>13</v>
      </c>
      <c r="R1" s="4" t="s">
        <v>14</v>
      </c>
      <c r="S1" s="4" t="s">
        <v>420</v>
      </c>
      <c r="T1" s="2"/>
      <c r="U1" s="33"/>
      <c r="V1" s="33"/>
      <c r="W1" s="35"/>
      <c r="X1" s="35"/>
      <c r="Y1" s="35"/>
      <c r="Z1" s="35"/>
      <c r="AA1" s="34"/>
      <c r="AB1" s="35"/>
      <c r="AC1" s="35"/>
      <c r="AD1" s="35"/>
      <c r="AE1" s="41"/>
      <c r="AF1" s="42"/>
      <c r="AG1" s="33"/>
      <c r="AH1" s="14"/>
      <c r="AI1" s="30"/>
      <c r="AJ1" s="30"/>
      <c r="AK1" s="30"/>
      <c r="AL1" s="30"/>
      <c r="AM1" s="30"/>
    </row>
    <row r="2" spans="2:39" ht="24" customHeight="1" x14ac:dyDescent="0.25">
      <c r="B2" s="142" t="s">
        <v>264</v>
      </c>
      <c r="C2" s="143" t="s">
        <v>265</v>
      </c>
      <c r="D2" s="5" t="s">
        <v>16</v>
      </c>
      <c r="E2" s="144" t="s">
        <v>266</v>
      </c>
      <c r="F2" s="144" t="s">
        <v>267</v>
      </c>
      <c r="G2" s="5" t="s">
        <v>268</v>
      </c>
      <c r="H2" s="7" t="s">
        <v>269</v>
      </c>
      <c r="I2" s="5" t="s">
        <v>21</v>
      </c>
      <c r="J2" s="8">
        <v>30</v>
      </c>
      <c r="K2" s="8">
        <v>5</v>
      </c>
      <c r="L2" s="102">
        <f>9.06*1300000*55.97%/15*12+2</f>
        <v>5273719.28</v>
      </c>
      <c r="M2" s="102">
        <f>+W$2*55.97%/15*12</f>
        <v>145.51752240000002</v>
      </c>
      <c r="N2" s="102">
        <f>+(L2+M2)*8%</f>
        <v>421909.18380179204</v>
      </c>
      <c r="O2" s="102">
        <f t="shared" ref="O2:O86" si="0">(((ROUND(N2+M2+L2,0)*K2))/30)*J2</f>
        <v>28478870</v>
      </c>
      <c r="P2" s="9">
        <f t="shared" ref="P2:P78" si="1">+O2/K2</f>
        <v>5695774</v>
      </c>
      <c r="Q2" s="10">
        <f t="shared" ref="Q2:Q14" si="2">+O2*10%</f>
        <v>2847887</v>
      </c>
      <c r="R2" s="9">
        <f t="shared" ref="R2:R14" si="3">+Q2*19%</f>
        <v>541098.53</v>
      </c>
      <c r="S2" s="9">
        <f t="shared" ref="S2:S78" si="4">+ROUND(O2+R2,0)</f>
        <v>29019969</v>
      </c>
      <c r="T2" s="105"/>
      <c r="U2" s="33"/>
      <c r="V2" s="33"/>
      <c r="W2" s="107">
        <f>108.33*3</f>
        <v>324.99</v>
      </c>
      <c r="X2" s="35"/>
      <c r="Y2" s="108">
        <v>21688707.040683702</v>
      </c>
      <c r="Z2" s="109">
        <f t="shared" ref="Z2:Z75" si="5">+Y2-S2</f>
        <v>-7331261.9593162984</v>
      </c>
      <c r="AA2" s="34"/>
      <c r="AB2" s="35"/>
      <c r="AC2" s="35"/>
      <c r="AD2" s="35"/>
      <c r="AE2" s="41"/>
      <c r="AF2" s="42"/>
      <c r="AG2" s="33"/>
      <c r="AH2" s="115">
        <f>+S2</f>
        <v>29019969</v>
      </c>
      <c r="AI2" s="30"/>
      <c r="AJ2" s="30"/>
      <c r="AK2" s="30"/>
      <c r="AL2" s="30"/>
      <c r="AM2" s="30"/>
    </row>
    <row r="3" spans="2:39" ht="48" x14ac:dyDescent="0.25">
      <c r="B3" s="145"/>
      <c r="C3" s="145"/>
      <c r="D3" s="5" t="s">
        <v>16</v>
      </c>
      <c r="E3" s="145"/>
      <c r="F3" s="145"/>
      <c r="G3" s="5" t="s">
        <v>270</v>
      </c>
      <c r="H3" s="7" t="s">
        <v>271</v>
      </c>
      <c r="I3" s="5" t="s">
        <v>23</v>
      </c>
      <c r="J3" s="8">
        <v>30</v>
      </c>
      <c r="K3" s="8">
        <v>1</v>
      </c>
      <c r="L3" s="102">
        <f t="shared" ref="L3:L6" si="6">9.06*1300000+2</f>
        <v>11778002</v>
      </c>
      <c r="M3" s="102">
        <f t="shared" ref="M3:M6" si="7">+W$2</f>
        <v>324.99</v>
      </c>
      <c r="N3" s="102">
        <f>+(L3+M3)*10%</f>
        <v>1177832.699</v>
      </c>
      <c r="O3" s="102">
        <f t="shared" si="0"/>
        <v>12956160</v>
      </c>
      <c r="P3" s="9">
        <f t="shared" si="1"/>
        <v>12956160</v>
      </c>
      <c r="Q3" s="10">
        <f t="shared" si="2"/>
        <v>1295616</v>
      </c>
      <c r="R3" s="9">
        <f t="shared" si="3"/>
        <v>246167.04000000001</v>
      </c>
      <c r="S3" s="9">
        <f t="shared" si="4"/>
        <v>13202327</v>
      </c>
      <c r="T3" s="105"/>
      <c r="U3" s="33"/>
      <c r="V3" s="33"/>
      <c r="W3" s="35"/>
      <c r="X3" s="35"/>
      <c r="Y3" s="108">
        <v>48440488.413540453</v>
      </c>
      <c r="Z3" s="109">
        <f t="shared" si="5"/>
        <v>35238161.413540453</v>
      </c>
      <c r="AA3" s="34"/>
      <c r="AB3" s="35"/>
      <c r="AC3" s="35"/>
      <c r="AD3" s="35"/>
      <c r="AE3" s="41"/>
      <c r="AF3" s="42"/>
      <c r="AG3" s="33"/>
      <c r="AH3" s="115">
        <f>+AH2+S3</f>
        <v>42222296</v>
      </c>
      <c r="AI3" s="30"/>
      <c r="AJ3" s="30"/>
      <c r="AK3" s="30"/>
      <c r="AL3" s="30"/>
      <c r="AM3" s="30"/>
    </row>
    <row r="4" spans="2:39" ht="48" x14ac:dyDescent="0.25">
      <c r="B4" s="145"/>
      <c r="C4" s="145"/>
      <c r="D4" s="5" t="s">
        <v>16</v>
      </c>
      <c r="E4" s="145"/>
      <c r="F4" s="145"/>
      <c r="G4" s="5" t="s">
        <v>272</v>
      </c>
      <c r="H4" s="7" t="s">
        <v>269</v>
      </c>
      <c r="I4" s="5" t="s">
        <v>74</v>
      </c>
      <c r="J4" s="8">
        <v>30</v>
      </c>
      <c r="K4" s="8">
        <v>6</v>
      </c>
      <c r="L4" s="102">
        <f t="shared" si="6"/>
        <v>11778002</v>
      </c>
      <c r="M4" s="102">
        <f t="shared" si="7"/>
        <v>324.99</v>
      </c>
      <c r="N4" s="102">
        <f t="shared" ref="N4:N5" si="8">+(L4+M4)*8%</f>
        <v>942266.15919999999</v>
      </c>
      <c r="O4" s="102">
        <f t="shared" si="0"/>
        <v>76323558</v>
      </c>
      <c r="P4" s="9">
        <f t="shared" si="1"/>
        <v>12720593</v>
      </c>
      <c r="Q4" s="10">
        <f t="shared" si="2"/>
        <v>7632355.8000000007</v>
      </c>
      <c r="R4" s="9">
        <f t="shared" si="3"/>
        <v>1450147.6020000002</v>
      </c>
      <c r="S4" s="9">
        <f t="shared" si="4"/>
        <v>77773706</v>
      </c>
      <c r="T4" s="105"/>
      <c r="U4" s="33"/>
      <c r="V4" s="33"/>
      <c r="W4" s="35"/>
      <c r="X4" s="35"/>
      <c r="Y4" s="108">
        <v>9867506.8990545366</v>
      </c>
      <c r="Z4" s="109">
        <f t="shared" si="5"/>
        <v>-67906199.100945458</v>
      </c>
      <c r="AA4" s="34"/>
      <c r="AB4" s="35"/>
      <c r="AC4" s="35"/>
      <c r="AD4" s="35"/>
      <c r="AE4" s="41"/>
      <c r="AF4" s="42"/>
      <c r="AG4" s="33"/>
      <c r="AH4" s="115">
        <f t="shared" ref="AH4:AH75" si="9">++S4++AH3</f>
        <v>119996002</v>
      </c>
      <c r="AI4" s="30"/>
      <c r="AJ4" s="30"/>
      <c r="AK4" s="30"/>
      <c r="AL4" s="30"/>
      <c r="AM4" s="30"/>
    </row>
    <row r="5" spans="2:39" ht="48" x14ac:dyDescent="0.25">
      <c r="B5" s="145"/>
      <c r="C5" s="145"/>
      <c r="D5" s="5" t="s">
        <v>16</v>
      </c>
      <c r="E5" s="128"/>
      <c r="F5" s="128"/>
      <c r="G5" s="5" t="s">
        <v>273</v>
      </c>
      <c r="H5" s="7" t="s">
        <v>269</v>
      </c>
      <c r="I5" s="5" t="s">
        <v>274</v>
      </c>
      <c r="J5" s="8">
        <v>30</v>
      </c>
      <c r="K5" s="8">
        <v>9</v>
      </c>
      <c r="L5" s="102">
        <f t="shared" si="6"/>
        <v>11778002</v>
      </c>
      <c r="M5" s="102">
        <f t="shared" si="7"/>
        <v>324.99</v>
      </c>
      <c r="N5" s="102">
        <f t="shared" si="8"/>
        <v>942266.15919999999</v>
      </c>
      <c r="O5" s="102">
        <f t="shared" si="0"/>
        <v>114485337</v>
      </c>
      <c r="P5" s="9">
        <f t="shared" si="1"/>
        <v>12720593</v>
      </c>
      <c r="Q5" s="10">
        <f t="shared" si="2"/>
        <v>11448533.700000001</v>
      </c>
      <c r="R5" s="9">
        <f t="shared" si="3"/>
        <v>2175221.4030000004</v>
      </c>
      <c r="S5" s="9">
        <f t="shared" si="4"/>
        <v>116660558</v>
      </c>
      <c r="T5" s="105"/>
      <c r="U5" s="33"/>
      <c r="V5" s="33"/>
      <c r="W5" s="35"/>
      <c r="X5" s="35"/>
      <c r="Y5" s="108">
        <v>9688097.682708092</v>
      </c>
      <c r="Z5" s="109">
        <f t="shared" si="5"/>
        <v>-106972460.31729192</v>
      </c>
      <c r="AA5" s="34"/>
      <c r="AB5" s="35"/>
      <c r="AC5" s="35"/>
      <c r="AD5" s="35"/>
      <c r="AE5" s="41"/>
      <c r="AF5" s="42"/>
      <c r="AG5" s="33"/>
      <c r="AH5" s="122">
        <f t="shared" si="9"/>
        <v>236656560</v>
      </c>
      <c r="AI5" s="122">
        <f>S2+S3+S4+S5+S36+S37+S38+S39+S40+S41+S42+S43+S44+S45+S46+S48+S49+S50+S51+S52+S53+S54+S55+S78+S57+S58+S59+S60+S61</f>
        <v>879062672</v>
      </c>
      <c r="AJ5" s="125"/>
      <c r="AK5" s="30"/>
      <c r="AL5" s="30"/>
      <c r="AM5" s="30"/>
    </row>
    <row r="6" spans="2:39" ht="48" x14ac:dyDescent="0.25">
      <c r="B6" s="145"/>
      <c r="C6" s="145"/>
      <c r="D6" s="144" t="s">
        <v>16</v>
      </c>
      <c r="E6" s="144" t="s">
        <v>275</v>
      </c>
      <c r="F6" s="144" t="s">
        <v>275</v>
      </c>
      <c r="G6" s="5" t="s">
        <v>272</v>
      </c>
      <c r="H6" s="7" t="s">
        <v>271</v>
      </c>
      <c r="I6" s="5" t="s">
        <v>276</v>
      </c>
      <c r="J6" s="8">
        <v>30</v>
      </c>
      <c r="K6" s="8">
        <v>3</v>
      </c>
      <c r="L6" s="102">
        <f t="shared" si="6"/>
        <v>11778002</v>
      </c>
      <c r="M6" s="102">
        <f t="shared" si="7"/>
        <v>324.99</v>
      </c>
      <c r="N6" s="102">
        <f>+(L6+M6)*10%</f>
        <v>1177832.699</v>
      </c>
      <c r="O6" s="102">
        <f t="shared" si="0"/>
        <v>38868480</v>
      </c>
      <c r="P6" s="9">
        <f t="shared" si="1"/>
        <v>12956160</v>
      </c>
      <c r="Q6" s="10">
        <f t="shared" si="2"/>
        <v>3886848</v>
      </c>
      <c r="R6" s="9">
        <f t="shared" si="3"/>
        <v>738501.12</v>
      </c>
      <c r="S6" s="126">
        <f t="shared" si="4"/>
        <v>39606981</v>
      </c>
      <c r="T6" s="127"/>
      <c r="U6" s="128"/>
      <c r="V6" s="128"/>
      <c r="W6" s="129"/>
      <c r="X6" s="129"/>
      <c r="Y6" s="130">
        <v>38752390.730832368</v>
      </c>
      <c r="Z6" s="131">
        <f t="shared" si="5"/>
        <v>-854590.26916763186</v>
      </c>
      <c r="AA6" s="132"/>
      <c r="AB6" s="129"/>
      <c r="AC6" s="129"/>
      <c r="AD6" s="129"/>
      <c r="AE6" s="133"/>
      <c r="AF6" s="134"/>
      <c r="AG6" s="128"/>
      <c r="AH6" s="115">
        <f t="shared" si="9"/>
        <v>276263541</v>
      </c>
      <c r="AI6" s="30"/>
      <c r="AJ6" s="30"/>
      <c r="AK6" s="30"/>
      <c r="AL6" s="30"/>
      <c r="AM6" s="30"/>
    </row>
    <row r="7" spans="2:39" ht="48" x14ac:dyDescent="0.25">
      <c r="B7" s="145"/>
      <c r="C7" s="145"/>
      <c r="D7" s="128"/>
      <c r="E7" s="128"/>
      <c r="F7" s="128"/>
      <c r="G7" s="5" t="s">
        <v>268</v>
      </c>
      <c r="H7" s="7" t="s">
        <v>277</v>
      </c>
      <c r="I7" s="5" t="s">
        <v>80</v>
      </c>
      <c r="J7" s="8">
        <v>30</v>
      </c>
      <c r="K7" s="8">
        <v>1</v>
      </c>
      <c r="L7" s="102">
        <f t="shared" ref="L7:L8" si="10">9.06*1300000*55.97%/15*12+2</f>
        <v>5273719.28</v>
      </c>
      <c r="M7" s="102">
        <f t="shared" ref="M7:M8" si="11">+W$2*55.97%/15*12</f>
        <v>145.51752240000002</v>
      </c>
      <c r="N7" s="102">
        <f>+(L7+M7)*11%</f>
        <v>580125.12772746407</v>
      </c>
      <c r="O7" s="102">
        <f t="shared" si="0"/>
        <v>5853990</v>
      </c>
      <c r="P7" s="9">
        <f t="shared" si="1"/>
        <v>5853990</v>
      </c>
      <c r="Q7" s="10">
        <f t="shared" si="2"/>
        <v>585399</v>
      </c>
      <c r="R7" s="9">
        <f t="shared" si="3"/>
        <v>111225.81</v>
      </c>
      <c r="S7" s="9">
        <f t="shared" si="4"/>
        <v>5965216</v>
      </c>
      <c r="T7" s="105"/>
      <c r="U7" s="33"/>
      <c r="V7" s="33"/>
      <c r="W7" s="35"/>
      <c r="X7" s="35"/>
      <c r="Y7" s="108">
        <v>48440488.413540453</v>
      </c>
      <c r="Z7" s="109">
        <f t="shared" si="5"/>
        <v>42475272.413540453</v>
      </c>
      <c r="AA7" s="34"/>
      <c r="AB7" s="35"/>
      <c r="AC7" s="35"/>
      <c r="AD7" s="35"/>
      <c r="AE7" s="41"/>
      <c r="AF7" s="42"/>
      <c r="AG7" s="33"/>
      <c r="AH7" s="115">
        <f t="shared" si="9"/>
        <v>282228757</v>
      </c>
      <c r="AI7" s="30"/>
      <c r="AJ7" s="125"/>
      <c r="AK7" s="125"/>
      <c r="AL7" s="125"/>
      <c r="AM7" s="125"/>
    </row>
    <row r="8" spans="2:39" ht="48" x14ac:dyDescent="0.25">
      <c r="B8" s="145"/>
      <c r="C8" s="145"/>
      <c r="D8" s="5" t="s">
        <v>278</v>
      </c>
      <c r="E8" s="144" t="s">
        <v>88</v>
      </c>
      <c r="F8" s="144" t="s">
        <v>88</v>
      </c>
      <c r="G8" s="5" t="s">
        <v>268</v>
      </c>
      <c r="H8" s="7" t="s">
        <v>269</v>
      </c>
      <c r="I8" s="5" t="s">
        <v>83</v>
      </c>
      <c r="J8" s="8">
        <v>30</v>
      </c>
      <c r="K8" s="8">
        <v>1</v>
      </c>
      <c r="L8" s="102">
        <f t="shared" si="10"/>
        <v>5273719.28</v>
      </c>
      <c r="M8" s="102">
        <f t="shared" si="11"/>
        <v>145.51752240000002</v>
      </c>
      <c r="N8" s="102">
        <f>+(L8+M8)*8%</f>
        <v>421909.18380179204</v>
      </c>
      <c r="O8" s="102">
        <f t="shared" si="0"/>
        <v>5695774</v>
      </c>
      <c r="P8" s="9">
        <f t="shared" si="1"/>
        <v>5695774</v>
      </c>
      <c r="Q8" s="10">
        <f t="shared" si="2"/>
        <v>569577.4</v>
      </c>
      <c r="R8" s="9">
        <f t="shared" si="3"/>
        <v>108219.70600000001</v>
      </c>
      <c r="S8" s="9">
        <f t="shared" si="4"/>
        <v>5803994</v>
      </c>
      <c r="T8" s="105"/>
      <c r="U8" s="33"/>
      <c r="V8" s="33"/>
      <c r="W8" s="35"/>
      <c r="X8" s="35"/>
      <c r="Y8" s="108">
        <v>29602520.697163612</v>
      </c>
      <c r="Z8" s="109">
        <f t="shared" si="5"/>
        <v>23798526.697163612</v>
      </c>
      <c r="AA8" s="34"/>
      <c r="AB8" s="35"/>
      <c r="AC8" s="35"/>
      <c r="AD8" s="35"/>
      <c r="AE8" s="41"/>
      <c r="AF8" s="42"/>
      <c r="AG8" s="33"/>
      <c r="AH8" s="115">
        <f t="shared" si="9"/>
        <v>288032751</v>
      </c>
      <c r="AI8" s="30"/>
      <c r="AJ8" s="30"/>
      <c r="AK8" s="30"/>
      <c r="AL8" s="30"/>
      <c r="AM8" s="30"/>
    </row>
    <row r="9" spans="2:39" ht="48" x14ac:dyDescent="0.25">
      <c r="B9" s="145"/>
      <c r="C9" s="145"/>
      <c r="D9" s="5" t="s">
        <v>278</v>
      </c>
      <c r="E9" s="128"/>
      <c r="F9" s="128"/>
      <c r="G9" s="5" t="s">
        <v>272</v>
      </c>
      <c r="H9" s="7" t="s">
        <v>271</v>
      </c>
      <c r="I9" s="5" t="s">
        <v>86</v>
      </c>
      <c r="J9" s="8">
        <v>30</v>
      </c>
      <c r="K9" s="8">
        <v>3</v>
      </c>
      <c r="L9" s="102">
        <f t="shared" ref="L9:L10" si="12">9.06*1300000+2</f>
        <v>11778002</v>
      </c>
      <c r="M9" s="102">
        <f t="shared" ref="M9:M10" si="13">+W$2</f>
        <v>324.99</v>
      </c>
      <c r="N9" s="102">
        <f t="shared" ref="N9:N10" si="14">+(L9+M9)*10%</f>
        <v>1177832.699</v>
      </c>
      <c r="O9" s="102">
        <f t="shared" si="0"/>
        <v>38868480</v>
      </c>
      <c r="P9" s="9">
        <f t="shared" si="1"/>
        <v>12956160</v>
      </c>
      <c r="Q9" s="10">
        <f t="shared" si="2"/>
        <v>3886848</v>
      </c>
      <c r="R9" s="9">
        <f t="shared" si="3"/>
        <v>738501.12</v>
      </c>
      <c r="S9" s="9">
        <f t="shared" si="4"/>
        <v>39606981</v>
      </c>
      <c r="T9" s="105"/>
      <c r="U9" s="33"/>
      <c r="V9" s="33"/>
      <c r="W9" s="35"/>
      <c r="X9" s="35"/>
      <c r="Y9" s="108">
        <v>4540767.9355263505</v>
      </c>
      <c r="Z9" s="109">
        <f t="shared" si="5"/>
        <v>-35066213.064473651</v>
      </c>
      <c r="AA9" s="34"/>
      <c r="AB9" s="35"/>
      <c r="AC9" s="35"/>
      <c r="AD9" s="35"/>
      <c r="AE9" s="41"/>
      <c r="AF9" s="42"/>
      <c r="AG9" s="33"/>
      <c r="AH9" s="115">
        <f t="shared" si="9"/>
        <v>327639732</v>
      </c>
      <c r="AI9" s="30"/>
      <c r="AJ9" s="30"/>
      <c r="AK9" s="30"/>
      <c r="AL9" s="30"/>
      <c r="AM9" s="30"/>
    </row>
    <row r="10" spans="2:39" ht="48" x14ac:dyDescent="0.25">
      <c r="B10" s="145"/>
      <c r="C10" s="145"/>
      <c r="D10" s="5" t="s">
        <v>279</v>
      </c>
      <c r="E10" s="144" t="s">
        <v>280</v>
      </c>
      <c r="F10" s="144" t="s">
        <v>281</v>
      </c>
      <c r="G10" s="5" t="s">
        <v>272</v>
      </c>
      <c r="H10" s="7" t="s">
        <v>271</v>
      </c>
      <c r="I10" s="5" t="s">
        <v>282</v>
      </c>
      <c r="J10" s="8">
        <v>30</v>
      </c>
      <c r="K10" s="8">
        <v>9</v>
      </c>
      <c r="L10" s="102">
        <f t="shared" si="12"/>
        <v>11778002</v>
      </c>
      <c r="M10" s="102">
        <f t="shared" si="13"/>
        <v>324.99</v>
      </c>
      <c r="N10" s="102">
        <f t="shared" si="14"/>
        <v>1177832.699</v>
      </c>
      <c r="O10" s="102">
        <f t="shared" si="0"/>
        <v>116605440</v>
      </c>
      <c r="P10" s="9">
        <f t="shared" si="1"/>
        <v>12956160</v>
      </c>
      <c r="Q10" s="10">
        <f t="shared" si="2"/>
        <v>11660544</v>
      </c>
      <c r="R10" s="9">
        <f t="shared" si="3"/>
        <v>2215503.36</v>
      </c>
      <c r="S10" s="9">
        <f t="shared" si="4"/>
        <v>118820943</v>
      </c>
      <c r="T10" s="105"/>
      <c r="U10" s="33"/>
      <c r="V10" s="33"/>
      <c r="W10" s="35"/>
      <c r="X10" s="35"/>
      <c r="Y10" s="108">
        <v>4337741.4081367375</v>
      </c>
      <c r="Z10" s="109">
        <f t="shared" si="5"/>
        <v>-114483201.59186326</v>
      </c>
      <c r="AA10" s="34"/>
      <c r="AB10" s="35"/>
      <c r="AC10" s="35"/>
      <c r="AD10" s="35"/>
      <c r="AE10" s="41"/>
      <c r="AF10" s="42"/>
      <c r="AG10" s="33"/>
      <c r="AH10" s="115">
        <f t="shared" si="9"/>
        <v>446460675</v>
      </c>
      <c r="AI10" s="30"/>
      <c r="AJ10" s="30"/>
      <c r="AK10" s="30"/>
      <c r="AL10" s="30"/>
      <c r="AM10" s="30"/>
    </row>
    <row r="11" spans="2:39" ht="48" x14ac:dyDescent="0.25">
      <c r="B11" s="145"/>
      <c r="C11" s="145"/>
      <c r="D11" s="5" t="s">
        <v>279</v>
      </c>
      <c r="E11" s="145"/>
      <c r="F11" s="145"/>
      <c r="G11" s="5" t="s">
        <v>283</v>
      </c>
      <c r="H11" s="7" t="s">
        <v>269</v>
      </c>
      <c r="I11" s="5" t="s">
        <v>284</v>
      </c>
      <c r="J11" s="8">
        <v>30</v>
      </c>
      <c r="K11" s="8">
        <v>5</v>
      </c>
      <c r="L11" s="102">
        <f>(9.06*1300000*55.97%)+(9.06*1300000*44.03%/9*1)+2</f>
        <v>7168354.5333333332</v>
      </c>
      <c r="M11" s="102">
        <f>+(W$2*55.97%)+(W2*44.03%/9*1)</f>
        <v>197.79613600000002</v>
      </c>
      <c r="N11" s="102">
        <f>+(L11+M11)*8%</f>
        <v>573484.18635754671</v>
      </c>
      <c r="O11" s="102">
        <f t="shared" si="0"/>
        <v>38710185</v>
      </c>
      <c r="P11" s="9">
        <f t="shared" si="1"/>
        <v>7742037</v>
      </c>
      <c r="Q11" s="10">
        <f t="shared" si="2"/>
        <v>3871018.5</v>
      </c>
      <c r="R11" s="9">
        <f t="shared" si="3"/>
        <v>735493.51500000001</v>
      </c>
      <c r="S11" s="9">
        <f t="shared" si="4"/>
        <v>39445679</v>
      </c>
      <c r="T11" s="105"/>
      <c r="U11" s="33"/>
      <c r="V11" s="33"/>
      <c r="W11" s="35"/>
      <c r="X11" s="35"/>
      <c r="Y11" s="108">
        <v>29602520.697163612</v>
      </c>
      <c r="Z11" s="109">
        <f t="shared" si="5"/>
        <v>-9843158.3028363883</v>
      </c>
      <c r="AA11" s="34"/>
      <c r="AB11" s="35"/>
      <c r="AC11" s="35"/>
      <c r="AD11" s="35"/>
      <c r="AE11" s="41"/>
      <c r="AF11" s="42"/>
      <c r="AG11" s="33"/>
      <c r="AH11" s="115">
        <f t="shared" si="9"/>
        <v>485906354</v>
      </c>
      <c r="AI11" s="30"/>
      <c r="AJ11" s="30"/>
      <c r="AK11" s="30"/>
      <c r="AL11" s="30"/>
      <c r="AM11" s="30"/>
    </row>
    <row r="12" spans="2:39" ht="48" x14ac:dyDescent="0.25">
      <c r="B12" s="145"/>
      <c r="C12" s="145"/>
      <c r="D12" s="5" t="s">
        <v>279</v>
      </c>
      <c r="E12" s="128"/>
      <c r="F12" s="128"/>
      <c r="G12" s="5" t="s">
        <v>285</v>
      </c>
      <c r="H12" s="7" t="s">
        <v>277</v>
      </c>
      <c r="I12" s="5" t="s">
        <v>92</v>
      </c>
      <c r="J12" s="8">
        <v>30</v>
      </c>
      <c r="K12" s="8">
        <v>1</v>
      </c>
      <c r="L12" s="102">
        <f>9.06*1300000*55.97%/15*12+2</f>
        <v>5273719.28</v>
      </c>
      <c r="M12" s="102">
        <f>+W$2*55.97%/15*12</f>
        <v>145.51752240000002</v>
      </c>
      <c r="N12" s="102">
        <f>+(L12+M12)*11%</f>
        <v>580125.12772746407</v>
      </c>
      <c r="O12" s="102">
        <f t="shared" si="0"/>
        <v>5853990</v>
      </c>
      <c r="P12" s="9">
        <f t="shared" si="1"/>
        <v>5853990</v>
      </c>
      <c r="Q12" s="10">
        <f t="shared" si="2"/>
        <v>585399</v>
      </c>
      <c r="R12" s="9">
        <f t="shared" si="3"/>
        <v>111225.81</v>
      </c>
      <c r="S12" s="9">
        <f t="shared" si="4"/>
        <v>5965216</v>
      </c>
      <c r="T12" s="105"/>
      <c r="U12" s="33"/>
      <c r="V12" s="33"/>
      <c r="W12" s="35"/>
      <c r="X12" s="35"/>
      <c r="Y12" s="108">
        <v>88807562.09149085</v>
      </c>
      <c r="Z12" s="109">
        <f t="shared" si="5"/>
        <v>82842346.09149085</v>
      </c>
      <c r="AA12" s="34"/>
      <c r="AB12" s="35"/>
      <c r="AC12" s="35"/>
      <c r="AD12" s="35"/>
      <c r="AE12" s="41"/>
      <c r="AF12" s="42"/>
      <c r="AG12" s="33"/>
      <c r="AH12" s="115">
        <f t="shared" si="9"/>
        <v>491871570</v>
      </c>
      <c r="AI12" s="30"/>
      <c r="AJ12" s="30"/>
      <c r="AK12" s="30"/>
      <c r="AL12" s="30"/>
      <c r="AM12" s="125" t="e">
        <f>AI5+#REF!+AJ14+AK17</f>
        <v>#REF!</v>
      </c>
    </row>
    <row r="13" spans="2:39" ht="48" x14ac:dyDescent="0.25">
      <c r="B13" s="145"/>
      <c r="C13" s="145"/>
      <c r="D13" s="5" t="s">
        <v>278</v>
      </c>
      <c r="E13" s="144" t="s">
        <v>286</v>
      </c>
      <c r="F13" s="144" t="s">
        <v>287</v>
      </c>
      <c r="G13" s="5" t="s">
        <v>272</v>
      </c>
      <c r="H13" s="7" t="s">
        <v>271</v>
      </c>
      <c r="I13" s="5" t="s">
        <v>93</v>
      </c>
      <c r="J13" s="8">
        <v>30</v>
      </c>
      <c r="K13" s="8">
        <v>11</v>
      </c>
      <c r="L13" s="102">
        <f>9.06*1300000+2</f>
        <v>11778002</v>
      </c>
      <c r="M13" s="102">
        <f>+W$2</f>
        <v>324.99</v>
      </c>
      <c r="N13" s="102">
        <f>+(L13+M13)*10%</f>
        <v>1177832.699</v>
      </c>
      <c r="O13" s="102">
        <f t="shared" si="0"/>
        <v>142517760</v>
      </c>
      <c r="P13" s="9">
        <f t="shared" si="1"/>
        <v>12956160</v>
      </c>
      <c r="Q13" s="10">
        <f t="shared" si="2"/>
        <v>14251776</v>
      </c>
      <c r="R13" s="9">
        <f t="shared" si="3"/>
        <v>2707837.44</v>
      </c>
      <c r="S13" s="9">
        <f t="shared" si="4"/>
        <v>145225597</v>
      </c>
      <c r="T13" s="105"/>
      <c r="U13" s="33"/>
      <c r="V13" s="33"/>
      <c r="W13" s="35"/>
      <c r="X13" s="35"/>
      <c r="Y13" s="108">
        <v>29483347.424130812</v>
      </c>
      <c r="Z13" s="109">
        <f t="shared" si="5"/>
        <v>-115742249.57586919</v>
      </c>
      <c r="AA13" s="34"/>
      <c r="AB13" s="35"/>
      <c r="AC13" s="35"/>
      <c r="AD13" s="35"/>
      <c r="AE13" s="41"/>
      <c r="AF13" s="42"/>
      <c r="AG13" s="33"/>
      <c r="AH13" s="115">
        <f t="shared" si="9"/>
        <v>637097167</v>
      </c>
      <c r="AI13" s="30"/>
      <c r="AJ13" s="30"/>
      <c r="AK13" s="30"/>
      <c r="AL13" s="30"/>
      <c r="AM13" s="30"/>
    </row>
    <row r="14" spans="2:39" ht="15.75" customHeight="1" x14ac:dyDescent="0.25">
      <c r="B14" s="145"/>
      <c r="C14" s="145"/>
      <c r="D14" s="5" t="s">
        <v>278</v>
      </c>
      <c r="E14" s="128"/>
      <c r="F14" s="128"/>
      <c r="G14" s="5" t="s">
        <v>283</v>
      </c>
      <c r="H14" s="7" t="s">
        <v>269</v>
      </c>
      <c r="I14" s="5" t="s">
        <v>288</v>
      </c>
      <c r="J14" s="8">
        <v>30</v>
      </c>
      <c r="K14" s="8">
        <v>5</v>
      </c>
      <c r="L14" s="102">
        <f>(9.06*1300000*55.97%)+(9.06*1300000*44.03%/9*1)+2</f>
        <v>7168354.5333333332</v>
      </c>
      <c r="M14" s="102">
        <f>+(W$2*55.97%)+(W2*44.03%/9*1)</f>
        <v>197.79613600000002</v>
      </c>
      <c r="N14" s="102">
        <f>+(L14+M14)*8%</f>
        <v>573484.18635754671</v>
      </c>
      <c r="O14" s="102">
        <f t="shared" si="0"/>
        <v>38710185</v>
      </c>
      <c r="P14" s="9">
        <f t="shared" si="1"/>
        <v>7742037</v>
      </c>
      <c r="Q14" s="10">
        <f t="shared" si="2"/>
        <v>3871018.5</v>
      </c>
      <c r="R14" s="9">
        <f t="shared" si="3"/>
        <v>735493.51500000001</v>
      </c>
      <c r="S14" s="9">
        <f t="shared" si="4"/>
        <v>39445679</v>
      </c>
      <c r="T14" s="105"/>
      <c r="U14" s="33"/>
      <c r="V14" s="33"/>
      <c r="W14" s="35"/>
      <c r="X14" s="35"/>
      <c r="Y14" s="108">
        <v>4458234.2250294229</v>
      </c>
      <c r="Z14" s="109">
        <f t="shared" si="5"/>
        <v>-34987444.774970576</v>
      </c>
      <c r="AA14" s="34"/>
      <c r="AB14" s="35"/>
      <c r="AC14" s="35"/>
      <c r="AD14" s="35"/>
      <c r="AE14" s="41"/>
      <c r="AF14" s="42"/>
      <c r="AG14" s="33"/>
      <c r="AH14" s="115">
        <f t="shared" si="9"/>
        <v>676542846</v>
      </c>
      <c r="AI14" s="125"/>
      <c r="AJ14" s="115">
        <f>S8+S9+S10+S11+S12+S13+S14+S19+S20+S21+S22+S23+S24+S25+S26+S27+S28+S29+S30+S31+S32+S33+S34+S35+S56+S62+S63+S64+S65+S68+S69+S70+S71+S72+S73+S75+S77</f>
        <v>1158045476</v>
      </c>
      <c r="AK14" s="125"/>
      <c r="AL14" s="30"/>
      <c r="AM14" s="30"/>
    </row>
    <row r="15" spans="2:39" ht="15.75" customHeight="1" x14ac:dyDescent="0.25">
      <c r="B15" s="147"/>
      <c r="C15" s="147"/>
      <c r="D15" s="148" t="s">
        <v>140</v>
      </c>
      <c r="E15" s="149" t="s">
        <v>141</v>
      </c>
      <c r="F15" s="149" t="s">
        <v>289</v>
      </c>
      <c r="G15" s="148" t="s">
        <v>272</v>
      </c>
      <c r="H15" s="150" t="s">
        <v>271</v>
      </c>
      <c r="I15" s="148" t="s">
        <v>97</v>
      </c>
      <c r="J15" s="151">
        <v>30</v>
      </c>
      <c r="K15" s="151">
        <v>14</v>
      </c>
      <c r="L15" s="152">
        <f>9.06*1300000+2</f>
        <v>11778002</v>
      </c>
      <c r="M15" s="152">
        <f>+W$2</f>
        <v>324.99</v>
      </c>
      <c r="N15" s="152">
        <f>+(L15+M15)*10%</f>
        <v>1177832.699</v>
      </c>
      <c r="O15" s="152">
        <f t="shared" si="0"/>
        <v>181386240</v>
      </c>
      <c r="P15" s="153">
        <f t="shared" si="1"/>
        <v>12956160</v>
      </c>
      <c r="Q15" s="154">
        <v>0</v>
      </c>
      <c r="R15" s="153">
        <v>0</v>
      </c>
      <c r="S15" s="153">
        <f t="shared" si="4"/>
        <v>181386240</v>
      </c>
      <c r="T15" s="155"/>
      <c r="U15" s="156"/>
      <c r="V15" s="156"/>
      <c r="W15" s="157"/>
      <c r="X15" s="157"/>
      <c r="Y15" s="158">
        <v>108542575.88959992</v>
      </c>
      <c r="Z15" s="159">
        <f t="shared" si="5"/>
        <v>-72843664.110400081</v>
      </c>
      <c r="AA15" s="160"/>
      <c r="AB15" s="157"/>
      <c r="AC15" s="157"/>
      <c r="AD15" s="157"/>
      <c r="AE15" s="161"/>
      <c r="AF15" s="162"/>
      <c r="AG15" s="156"/>
      <c r="AH15" s="163">
        <f t="shared" si="9"/>
        <v>857929086</v>
      </c>
      <c r="AI15" s="164"/>
      <c r="AJ15" s="164"/>
      <c r="AK15" s="164"/>
      <c r="AL15" s="164"/>
      <c r="AM15" s="164"/>
    </row>
    <row r="16" spans="2:39" ht="15.75" customHeight="1" x14ac:dyDescent="0.25">
      <c r="B16" s="147"/>
      <c r="C16" s="147"/>
      <c r="D16" s="148" t="s">
        <v>140</v>
      </c>
      <c r="E16" s="147"/>
      <c r="F16" s="147"/>
      <c r="G16" s="148" t="s">
        <v>268</v>
      </c>
      <c r="H16" s="150" t="s">
        <v>269</v>
      </c>
      <c r="I16" s="148" t="s">
        <v>290</v>
      </c>
      <c r="J16" s="151">
        <v>30</v>
      </c>
      <c r="K16" s="151">
        <v>5</v>
      </c>
      <c r="L16" s="152">
        <f t="shared" ref="L16:L17" si="15">9.06*1300000*55.97%/15*12+2</f>
        <v>5273719.28</v>
      </c>
      <c r="M16" s="152">
        <f t="shared" ref="M16:M17" si="16">+W$2*55.97%/15*12</f>
        <v>145.51752240000002</v>
      </c>
      <c r="N16" s="152">
        <f>+(L16+M16)*8%</f>
        <v>421909.18380179204</v>
      </c>
      <c r="O16" s="152">
        <f t="shared" si="0"/>
        <v>28478870</v>
      </c>
      <c r="P16" s="153">
        <f t="shared" si="1"/>
        <v>5695774</v>
      </c>
      <c r="Q16" s="154">
        <v>0</v>
      </c>
      <c r="R16" s="153">
        <v>0</v>
      </c>
      <c r="S16" s="153">
        <f t="shared" si="4"/>
        <v>28478870</v>
      </c>
      <c r="T16" s="155"/>
      <c r="U16" s="156"/>
      <c r="V16" s="156"/>
      <c r="W16" s="157"/>
      <c r="X16" s="157"/>
      <c r="Y16" s="158">
        <v>29483347.424130812</v>
      </c>
      <c r="Z16" s="159">
        <f t="shared" si="5"/>
        <v>1004477.4241308123</v>
      </c>
      <c r="AA16" s="160"/>
      <c r="AB16" s="157"/>
      <c r="AC16" s="157"/>
      <c r="AD16" s="157"/>
      <c r="AE16" s="161"/>
      <c r="AF16" s="162"/>
      <c r="AG16" s="156"/>
      <c r="AH16" s="163">
        <f t="shared" si="9"/>
        <v>886407956</v>
      </c>
      <c r="AI16" s="164"/>
      <c r="AJ16" s="164"/>
      <c r="AK16" s="164"/>
      <c r="AL16" s="164"/>
      <c r="AM16" s="164"/>
    </row>
    <row r="17" spans="2:37" ht="15.75" customHeight="1" x14ac:dyDescent="0.25">
      <c r="B17" s="147"/>
      <c r="C17" s="147"/>
      <c r="D17" s="148" t="s">
        <v>140</v>
      </c>
      <c r="E17" s="147"/>
      <c r="F17" s="147"/>
      <c r="G17" s="148" t="s">
        <v>268</v>
      </c>
      <c r="H17" s="150" t="s">
        <v>277</v>
      </c>
      <c r="I17" s="148" t="s">
        <v>291</v>
      </c>
      <c r="J17" s="151">
        <v>30</v>
      </c>
      <c r="K17" s="151">
        <v>1</v>
      </c>
      <c r="L17" s="152">
        <f t="shared" si="15"/>
        <v>5273719.28</v>
      </c>
      <c r="M17" s="152">
        <f t="shared" si="16"/>
        <v>145.51752240000002</v>
      </c>
      <c r="N17" s="152">
        <f>+(L17+M17)*11%</f>
        <v>580125.12772746407</v>
      </c>
      <c r="O17" s="152">
        <f t="shared" si="0"/>
        <v>5853990</v>
      </c>
      <c r="P17" s="153">
        <f t="shared" si="1"/>
        <v>5853990</v>
      </c>
      <c r="Q17" s="154">
        <v>0</v>
      </c>
      <c r="R17" s="153">
        <v>0</v>
      </c>
      <c r="S17" s="153">
        <f t="shared" si="4"/>
        <v>5853990</v>
      </c>
      <c r="T17" s="155"/>
      <c r="U17" s="156"/>
      <c r="V17" s="156"/>
      <c r="W17" s="157"/>
      <c r="X17" s="157"/>
      <c r="Y17" s="158">
        <v>144603946.95463517</v>
      </c>
      <c r="Z17" s="159">
        <f t="shared" si="5"/>
        <v>138749956.95463517</v>
      </c>
      <c r="AA17" s="160"/>
      <c r="AB17" s="157"/>
      <c r="AC17" s="157"/>
      <c r="AD17" s="157"/>
      <c r="AE17" s="161"/>
      <c r="AF17" s="162"/>
      <c r="AG17" s="156"/>
      <c r="AH17" s="163">
        <f t="shared" si="9"/>
        <v>892261946</v>
      </c>
      <c r="AI17" s="164"/>
      <c r="AJ17" s="164"/>
      <c r="AK17" s="163">
        <f>S15+S16+S17+S18+S66+S67</f>
        <v>280780065</v>
      </c>
    </row>
    <row r="18" spans="2:37" ht="15.75" customHeight="1" x14ac:dyDescent="0.25">
      <c r="B18" s="147"/>
      <c r="C18" s="147"/>
      <c r="D18" s="148" t="s">
        <v>140</v>
      </c>
      <c r="E18" s="165"/>
      <c r="F18" s="165"/>
      <c r="G18" s="148" t="s">
        <v>272</v>
      </c>
      <c r="H18" s="150" t="s">
        <v>269</v>
      </c>
      <c r="I18" s="148" t="s">
        <v>101</v>
      </c>
      <c r="J18" s="151">
        <v>30</v>
      </c>
      <c r="K18" s="151">
        <v>2</v>
      </c>
      <c r="L18" s="152">
        <f t="shared" ref="L18:L19" si="17">9.06*1300000+2</f>
        <v>11778002</v>
      </c>
      <c r="M18" s="152">
        <f t="shared" ref="M18:M19" si="18">+W$2</f>
        <v>324.99</v>
      </c>
      <c r="N18" s="152">
        <f>+(L18+M18)*8%</f>
        <v>942266.15919999999</v>
      </c>
      <c r="O18" s="152">
        <f t="shared" si="0"/>
        <v>25441186</v>
      </c>
      <c r="P18" s="153">
        <f t="shared" si="1"/>
        <v>12720593</v>
      </c>
      <c r="Q18" s="154">
        <v>0</v>
      </c>
      <c r="R18" s="153">
        <v>0</v>
      </c>
      <c r="S18" s="153">
        <f t="shared" si="4"/>
        <v>25441186</v>
      </c>
      <c r="T18" s="155"/>
      <c r="U18" s="156"/>
      <c r="V18" s="156"/>
      <c r="W18" s="157"/>
      <c r="X18" s="157"/>
      <c r="Y18" s="158">
        <v>21284305.241102733</v>
      </c>
      <c r="Z18" s="159">
        <f t="shared" si="5"/>
        <v>-4156880.7588972673</v>
      </c>
      <c r="AA18" s="160"/>
      <c r="AB18" s="157"/>
      <c r="AC18" s="157"/>
      <c r="AD18" s="157"/>
      <c r="AE18" s="161"/>
      <c r="AF18" s="162"/>
      <c r="AG18" s="156"/>
      <c r="AH18" s="163">
        <f t="shared" si="9"/>
        <v>917703132</v>
      </c>
      <c r="AI18" s="164"/>
      <c r="AJ18" s="164"/>
      <c r="AK18" s="164"/>
    </row>
    <row r="19" spans="2:37" ht="15.75" customHeight="1" x14ac:dyDescent="0.25">
      <c r="B19" s="145"/>
      <c r="C19" s="145"/>
      <c r="D19" s="5" t="s">
        <v>292</v>
      </c>
      <c r="E19" s="144" t="s">
        <v>293</v>
      </c>
      <c r="F19" s="144" t="s">
        <v>294</v>
      </c>
      <c r="G19" s="5" t="s">
        <v>272</v>
      </c>
      <c r="H19" s="7" t="s">
        <v>271</v>
      </c>
      <c r="I19" s="5" t="s">
        <v>104</v>
      </c>
      <c r="J19" s="8">
        <v>30</v>
      </c>
      <c r="K19" s="8">
        <v>13</v>
      </c>
      <c r="L19" s="102">
        <f t="shared" si="17"/>
        <v>11778002</v>
      </c>
      <c r="M19" s="102">
        <f t="shared" si="18"/>
        <v>324.99</v>
      </c>
      <c r="N19" s="102">
        <f>+(L19+M19)*10%</f>
        <v>1177832.699</v>
      </c>
      <c r="O19" s="102">
        <f t="shared" si="0"/>
        <v>168430080</v>
      </c>
      <c r="P19" s="9">
        <f t="shared" si="1"/>
        <v>12956160</v>
      </c>
      <c r="Q19" s="10">
        <f t="shared" ref="Q19:Q54" si="19">+O19*10%</f>
        <v>16843008</v>
      </c>
      <c r="R19" s="9">
        <f t="shared" ref="R19:R54" si="20">+Q19*19%</f>
        <v>3200171.52</v>
      </c>
      <c r="S19" s="9">
        <f t="shared" si="4"/>
        <v>171630252</v>
      </c>
      <c r="T19" s="105"/>
      <c r="U19" s="33"/>
      <c r="V19" s="33"/>
      <c r="W19" s="35"/>
      <c r="X19" s="35"/>
      <c r="Y19" s="108">
        <v>4375107.1884488938</v>
      </c>
      <c r="Z19" s="109">
        <f t="shared" si="5"/>
        <v>-167255144.81155109</v>
      </c>
      <c r="AA19" s="34"/>
      <c r="AB19" s="35"/>
      <c r="AC19" s="35"/>
      <c r="AD19" s="35"/>
      <c r="AE19" s="41"/>
      <c r="AF19" s="42"/>
      <c r="AG19" s="33"/>
      <c r="AH19" s="115">
        <f t="shared" si="9"/>
        <v>1089333384</v>
      </c>
      <c r="AI19" s="30"/>
      <c r="AJ19" s="30"/>
      <c r="AK19" s="30"/>
    </row>
    <row r="20" spans="2:37" ht="15.75" customHeight="1" x14ac:dyDescent="0.25">
      <c r="B20" s="145"/>
      <c r="C20" s="145"/>
      <c r="D20" s="5" t="s">
        <v>292</v>
      </c>
      <c r="E20" s="145"/>
      <c r="F20" s="145"/>
      <c r="G20" s="5" t="s">
        <v>283</v>
      </c>
      <c r="H20" s="7" t="s">
        <v>269</v>
      </c>
      <c r="I20" s="5" t="s">
        <v>295</v>
      </c>
      <c r="J20" s="8">
        <v>30</v>
      </c>
      <c r="K20" s="8">
        <v>7</v>
      </c>
      <c r="L20" s="102">
        <f>(9.06*1300000*55.97%)+(9.06*1300000*44.03%/9*1)+2</f>
        <v>7168354.5333333332</v>
      </c>
      <c r="M20" s="102">
        <f>+(W$2*55.97%)+(W2*44.03%/9)</f>
        <v>197.79613600000002</v>
      </c>
      <c r="N20" s="102">
        <f>+(L20+M20)*8%</f>
        <v>573484.18635754671</v>
      </c>
      <c r="O20" s="102">
        <f t="shared" si="0"/>
        <v>54194259</v>
      </c>
      <c r="P20" s="9">
        <f t="shared" si="1"/>
        <v>7742037</v>
      </c>
      <c r="Q20" s="10">
        <f t="shared" si="19"/>
        <v>5419425.9000000004</v>
      </c>
      <c r="R20" s="9">
        <f t="shared" si="20"/>
        <v>1029690.9210000001</v>
      </c>
      <c r="S20" s="9">
        <f t="shared" si="4"/>
        <v>55223950</v>
      </c>
      <c r="T20" s="105"/>
      <c r="U20" s="33"/>
      <c r="V20" s="33"/>
      <c r="W20" s="35"/>
      <c r="X20" s="35"/>
      <c r="Y20" s="108">
        <v>19367040.037398506</v>
      </c>
      <c r="Z20" s="109">
        <f t="shared" si="5"/>
        <v>-35856909.962601498</v>
      </c>
      <c r="AA20" s="34"/>
      <c r="AB20" s="35"/>
      <c r="AC20" s="35"/>
      <c r="AD20" s="35"/>
      <c r="AE20" s="41"/>
      <c r="AF20" s="42"/>
      <c r="AG20" s="33"/>
      <c r="AH20" s="115">
        <f t="shared" si="9"/>
        <v>1144557334</v>
      </c>
      <c r="AI20" s="30"/>
      <c r="AJ20" s="30"/>
      <c r="AK20" s="30"/>
    </row>
    <row r="21" spans="2:37" ht="15.75" customHeight="1" x14ac:dyDescent="0.25">
      <c r="B21" s="145"/>
      <c r="C21" s="145"/>
      <c r="D21" s="5" t="s">
        <v>292</v>
      </c>
      <c r="E21" s="128"/>
      <c r="F21" s="128"/>
      <c r="G21" s="5" t="s">
        <v>268</v>
      </c>
      <c r="H21" s="7" t="s">
        <v>277</v>
      </c>
      <c r="I21" s="5" t="s">
        <v>25</v>
      </c>
      <c r="J21" s="8">
        <v>30</v>
      </c>
      <c r="K21" s="8">
        <v>1</v>
      </c>
      <c r="L21" s="102">
        <f>9.06*1300000*55.97%/15*12+2</f>
        <v>5273719.28</v>
      </c>
      <c r="M21" s="102">
        <f>+W$2*55.97%/15*12</f>
        <v>145.51752240000002</v>
      </c>
      <c r="N21" s="102">
        <f>+(L21+M21)*11%</f>
        <v>580125.12772746407</v>
      </c>
      <c r="O21" s="102">
        <f t="shared" si="0"/>
        <v>5853990</v>
      </c>
      <c r="P21" s="9">
        <f t="shared" si="1"/>
        <v>5853990</v>
      </c>
      <c r="Q21" s="10">
        <f t="shared" si="19"/>
        <v>585399</v>
      </c>
      <c r="R21" s="9">
        <f t="shared" si="20"/>
        <v>111225.81</v>
      </c>
      <c r="S21" s="9">
        <f t="shared" si="4"/>
        <v>5965216</v>
      </c>
      <c r="T21" s="105"/>
      <c r="U21" s="33"/>
      <c r="V21" s="33"/>
      <c r="W21" s="35"/>
      <c r="X21" s="35"/>
      <c r="Y21" s="108">
        <v>128277589.68770899</v>
      </c>
      <c r="Z21" s="109">
        <f t="shared" si="5"/>
        <v>122312373.68770899</v>
      </c>
      <c r="AA21" s="34"/>
      <c r="AB21" s="35"/>
      <c r="AC21" s="35"/>
      <c r="AD21" s="35"/>
      <c r="AE21" s="41"/>
      <c r="AF21" s="42"/>
      <c r="AG21" s="33"/>
      <c r="AH21" s="115">
        <f t="shared" si="9"/>
        <v>1150522550</v>
      </c>
      <c r="AI21" s="30"/>
      <c r="AJ21" s="30"/>
      <c r="AK21" s="30"/>
    </row>
    <row r="22" spans="2:37" ht="15.75" customHeight="1" x14ac:dyDescent="0.25">
      <c r="B22" s="145"/>
      <c r="C22" s="145"/>
      <c r="D22" s="5" t="s">
        <v>292</v>
      </c>
      <c r="E22" s="144" t="s">
        <v>296</v>
      </c>
      <c r="F22" s="144" t="s">
        <v>297</v>
      </c>
      <c r="G22" s="5" t="s">
        <v>272</v>
      </c>
      <c r="H22" s="7" t="s">
        <v>271</v>
      </c>
      <c r="I22" s="5" t="s">
        <v>111</v>
      </c>
      <c r="J22" s="8">
        <v>30</v>
      </c>
      <c r="K22" s="8">
        <v>3</v>
      </c>
      <c r="L22" s="102">
        <f>9.06*1300000+2</f>
        <v>11778002</v>
      </c>
      <c r="M22" s="102">
        <f>+W$2</f>
        <v>324.99</v>
      </c>
      <c r="N22" s="102">
        <f>+(L22+M22)*10%</f>
        <v>1177832.699</v>
      </c>
      <c r="O22" s="102">
        <f t="shared" si="0"/>
        <v>38868480</v>
      </c>
      <c r="P22" s="9">
        <f t="shared" si="1"/>
        <v>12956160</v>
      </c>
      <c r="Q22" s="10">
        <f t="shared" si="19"/>
        <v>3886848</v>
      </c>
      <c r="R22" s="9">
        <f t="shared" si="20"/>
        <v>738501.12</v>
      </c>
      <c r="S22" s="9">
        <f t="shared" si="4"/>
        <v>39606981</v>
      </c>
      <c r="T22" s="105"/>
      <c r="U22" s="33"/>
      <c r="V22" s="33"/>
      <c r="W22" s="35"/>
      <c r="X22" s="35"/>
      <c r="Y22" s="108">
        <v>41276686.393783145</v>
      </c>
      <c r="Z22" s="109">
        <f t="shared" si="5"/>
        <v>1669705.3937831447</v>
      </c>
      <c r="AA22" s="34"/>
      <c r="AB22" s="35"/>
      <c r="AC22" s="35"/>
      <c r="AD22" s="35"/>
      <c r="AE22" s="41"/>
      <c r="AF22" s="42"/>
      <c r="AG22" s="33"/>
      <c r="AH22" s="115">
        <f t="shared" si="9"/>
        <v>1190129531</v>
      </c>
      <c r="AI22" s="30"/>
      <c r="AJ22" s="30"/>
      <c r="AK22" s="30"/>
    </row>
    <row r="23" spans="2:37" ht="15.75" customHeight="1" x14ac:dyDescent="0.25">
      <c r="B23" s="145"/>
      <c r="C23" s="145"/>
      <c r="D23" s="5" t="s">
        <v>292</v>
      </c>
      <c r="E23" s="128"/>
      <c r="F23" s="128"/>
      <c r="G23" s="5" t="s">
        <v>268</v>
      </c>
      <c r="H23" s="7" t="s">
        <v>269</v>
      </c>
      <c r="I23" s="5" t="s">
        <v>112</v>
      </c>
      <c r="J23" s="8">
        <v>30</v>
      </c>
      <c r="K23" s="8">
        <v>5</v>
      </c>
      <c r="L23" s="102">
        <f>9.06*1300000*55.97%/15*12+2</f>
        <v>5273719.28</v>
      </c>
      <c r="M23" s="102">
        <f>+(W$2*55.97%/15*12)</f>
        <v>145.51752240000002</v>
      </c>
      <c r="N23" s="102">
        <f t="shared" ref="N23:N30" si="21">+(L23+M23)*8%</f>
        <v>421909.18380179204</v>
      </c>
      <c r="O23" s="102">
        <f t="shared" si="0"/>
        <v>28478870</v>
      </c>
      <c r="P23" s="9">
        <f t="shared" si="1"/>
        <v>5695774</v>
      </c>
      <c r="Q23" s="10">
        <f t="shared" si="19"/>
        <v>2847887</v>
      </c>
      <c r="R23" s="9">
        <f t="shared" si="20"/>
        <v>541098.53</v>
      </c>
      <c r="S23" s="9">
        <f t="shared" si="4"/>
        <v>29019969</v>
      </c>
      <c r="T23" s="105"/>
      <c r="U23" s="33"/>
      <c r="V23" s="33"/>
      <c r="W23" s="35"/>
      <c r="X23" s="35"/>
      <c r="Y23" s="108">
        <v>4458234.2250294229</v>
      </c>
      <c r="Z23" s="109">
        <f t="shared" si="5"/>
        <v>-24561734.774970576</v>
      </c>
      <c r="AA23" s="34"/>
      <c r="AB23" s="35"/>
      <c r="AC23" s="35"/>
      <c r="AD23" s="35"/>
      <c r="AE23" s="41"/>
      <c r="AF23" s="42"/>
      <c r="AG23" s="33"/>
      <c r="AH23" s="115">
        <f t="shared" si="9"/>
        <v>1219149500</v>
      </c>
      <c r="AI23" s="30"/>
      <c r="AJ23" s="30"/>
      <c r="AK23" s="30"/>
    </row>
    <row r="24" spans="2:37" ht="15.75" customHeight="1" x14ac:dyDescent="0.25">
      <c r="B24" s="145"/>
      <c r="C24" s="145"/>
      <c r="D24" s="5" t="s">
        <v>278</v>
      </c>
      <c r="E24" s="5" t="s">
        <v>298</v>
      </c>
      <c r="F24" s="5" t="s">
        <v>299</v>
      </c>
      <c r="G24" s="5" t="s">
        <v>272</v>
      </c>
      <c r="H24" s="7" t="s">
        <v>269</v>
      </c>
      <c r="I24" s="5" t="s">
        <v>115</v>
      </c>
      <c r="J24" s="8">
        <v>30</v>
      </c>
      <c r="K24" s="8">
        <v>3</v>
      </c>
      <c r="L24" s="102">
        <f>9.06*1300000+2</f>
        <v>11778002</v>
      </c>
      <c r="M24" s="102">
        <f>+W$2</f>
        <v>324.99</v>
      </c>
      <c r="N24" s="102">
        <f t="shared" si="21"/>
        <v>942266.15919999999</v>
      </c>
      <c r="O24" s="102">
        <f t="shared" si="0"/>
        <v>38161779</v>
      </c>
      <c r="P24" s="9">
        <f t="shared" si="1"/>
        <v>12720593</v>
      </c>
      <c r="Q24" s="10">
        <f t="shared" si="19"/>
        <v>3816177.9000000004</v>
      </c>
      <c r="R24" s="9">
        <f t="shared" si="20"/>
        <v>725073.80100000009</v>
      </c>
      <c r="S24" s="9">
        <f t="shared" si="4"/>
        <v>38886853</v>
      </c>
      <c r="T24" s="105"/>
      <c r="U24" s="33"/>
      <c r="V24" s="33"/>
      <c r="W24" s="35"/>
      <c r="X24" s="35"/>
      <c r="Y24" s="108">
        <v>29602520.697163612</v>
      </c>
      <c r="Z24" s="109">
        <f t="shared" si="5"/>
        <v>-9284332.3028363883</v>
      </c>
      <c r="AA24" s="34"/>
      <c r="AB24" s="35"/>
      <c r="AC24" s="35"/>
      <c r="AD24" s="35"/>
      <c r="AE24" s="41"/>
      <c r="AF24" s="42"/>
      <c r="AG24" s="33"/>
      <c r="AH24" s="115">
        <f t="shared" si="9"/>
        <v>1258036353</v>
      </c>
      <c r="AI24" s="30"/>
      <c r="AJ24" s="30"/>
      <c r="AK24" s="30"/>
    </row>
    <row r="25" spans="2:37" ht="15.75" customHeight="1" x14ac:dyDescent="0.25">
      <c r="B25" s="145"/>
      <c r="C25" s="145"/>
      <c r="D25" s="5" t="s">
        <v>300</v>
      </c>
      <c r="E25" s="144" t="s">
        <v>301</v>
      </c>
      <c r="F25" s="144" t="s">
        <v>302</v>
      </c>
      <c r="G25" s="5" t="s">
        <v>268</v>
      </c>
      <c r="H25" s="7" t="s">
        <v>269</v>
      </c>
      <c r="I25" s="5" t="s">
        <v>118</v>
      </c>
      <c r="J25" s="8">
        <v>30</v>
      </c>
      <c r="K25" s="8">
        <v>6</v>
      </c>
      <c r="L25" s="102">
        <f>9.06*1300000*55.97%/15*12+2</f>
        <v>5273719.28</v>
      </c>
      <c r="M25" s="102">
        <f>+W$2*55.97%/15*12</f>
        <v>145.51752240000002</v>
      </c>
      <c r="N25" s="102">
        <f t="shared" si="21"/>
        <v>421909.18380179204</v>
      </c>
      <c r="O25" s="102">
        <f t="shared" si="0"/>
        <v>34174644</v>
      </c>
      <c r="P25" s="9">
        <f t="shared" si="1"/>
        <v>5695774</v>
      </c>
      <c r="Q25" s="10">
        <f t="shared" si="19"/>
        <v>3417464.4000000004</v>
      </c>
      <c r="R25" s="9">
        <f t="shared" si="20"/>
        <v>649318.23600000003</v>
      </c>
      <c r="S25" s="9">
        <f t="shared" si="4"/>
        <v>34823962</v>
      </c>
      <c r="T25" s="105"/>
      <c r="U25" s="33"/>
      <c r="V25" s="33"/>
      <c r="W25" s="35"/>
      <c r="X25" s="35"/>
      <c r="Y25" s="108">
        <v>17350965.63254695</v>
      </c>
      <c r="Z25" s="109">
        <f t="shared" si="5"/>
        <v>-17472996.36745305</v>
      </c>
      <c r="AA25" s="34"/>
      <c r="AB25" s="35"/>
      <c r="AC25" s="35"/>
      <c r="AD25" s="35"/>
      <c r="AE25" s="41"/>
      <c r="AF25" s="42"/>
      <c r="AG25" s="33"/>
      <c r="AH25" s="115">
        <f t="shared" si="9"/>
        <v>1292860315</v>
      </c>
      <c r="AI25" s="30"/>
      <c r="AJ25" s="30"/>
      <c r="AK25" s="30"/>
    </row>
    <row r="26" spans="2:37" ht="15.75" customHeight="1" x14ac:dyDescent="0.25">
      <c r="B26" s="145"/>
      <c r="C26" s="145"/>
      <c r="D26" s="5" t="s">
        <v>300</v>
      </c>
      <c r="E26" s="145"/>
      <c r="F26" s="145"/>
      <c r="G26" s="5" t="s">
        <v>272</v>
      </c>
      <c r="H26" s="7" t="s">
        <v>269</v>
      </c>
      <c r="I26" s="5" t="s">
        <v>121</v>
      </c>
      <c r="J26" s="8">
        <v>30</v>
      </c>
      <c r="K26" s="8">
        <f>8-1-1</f>
        <v>6</v>
      </c>
      <c r="L26" s="102">
        <f t="shared" ref="L26:L28" si="22">9.06*1300000+2</f>
        <v>11778002</v>
      </c>
      <c r="M26" s="102">
        <f t="shared" ref="M26:M28" si="23">+W$2</f>
        <v>324.99</v>
      </c>
      <c r="N26" s="102">
        <f t="shared" si="21"/>
        <v>942266.15919999999</v>
      </c>
      <c r="O26" s="102">
        <f t="shared" si="0"/>
        <v>76323558</v>
      </c>
      <c r="P26" s="9">
        <f t="shared" si="1"/>
        <v>12720593</v>
      </c>
      <c r="Q26" s="10">
        <f t="shared" si="19"/>
        <v>7632355.8000000007</v>
      </c>
      <c r="R26" s="9">
        <f t="shared" si="20"/>
        <v>1450147.6020000002</v>
      </c>
      <c r="S26" s="9">
        <f t="shared" si="4"/>
        <v>77773706</v>
      </c>
      <c r="T26" s="105"/>
      <c r="U26" s="33"/>
      <c r="V26" s="33"/>
      <c r="W26" s="35"/>
      <c r="X26" s="35"/>
      <c r="Y26" s="108">
        <v>4337741.4081367375</v>
      </c>
      <c r="Z26" s="109">
        <f t="shared" si="5"/>
        <v>-73435964.59186326</v>
      </c>
      <c r="AA26" s="34"/>
      <c r="AB26" s="35"/>
      <c r="AC26" s="35"/>
      <c r="AD26" s="35"/>
      <c r="AE26" s="41"/>
      <c r="AF26" s="42"/>
      <c r="AG26" s="33"/>
      <c r="AH26" s="115">
        <f t="shared" si="9"/>
        <v>1370634021</v>
      </c>
      <c r="AI26" s="30"/>
      <c r="AJ26" s="30"/>
      <c r="AK26" s="30"/>
    </row>
    <row r="27" spans="2:37" ht="15.75" customHeight="1" x14ac:dyDescent="0.25">
      <c r="B27" s="145"/>
      <c r="C27" s="145"/>
      <c r="D27" s="5" t="s">
        <v>300</v>
      </c>
      <c r="E27" s="128"/>
      <c r="F27" s="128"/>
      <c r="G27" s="5" t="s">
        <v>272</v>
      </c>
      <c r="H27" s="7" t="s">
        <v>269</v>
      </c>
      <c r="I27" s="5" t="s">
        <v>121</v>
      </c>
      <c r="J27" s="8">
        <v>30</v>
      </c>
      <c r="K27" s="8">
        <v>1</v>
      </c>
      <c r="L27" s="102">
        <f t="shared" si="22"/>
        <v>11778002</v>
      </c>
      <c r="M27" s="102">
        <f t="shared" si="23"/>
        <v>324.99</v>
      </c>
      <c r="N27" s="102">
        <f t="shared" si="21"/>
        <v>942266.15919999999</v>
      </c>
      <c r="O27" s="102">
        <f t="shared" si="0"/>
        <v>12720593</v>
      </c>
      <c r="P27" s="9">
        <f t="shared" si="1"/>
        <v>12720593</v>
      </c>
      <c r="Q27" s="10">
        <f t="shared" si="19"/>
        <v>1272059.3</v>
      </c>
      <c r="R27" s="9">
        <f t="shared" si="20"/>
        <v>241691.26700000002</v>
      </c>
      <c r="S27" s="9">
        <f t="shared" si="4"/>
        <v>12962284</v>
      </c>
      <c r="T27" s="105"/>
      <c r="U27" s="33"/>
      <c r="V27" s="33"/>
      <c r="W27" s="35"/>
      <c r="X27" s="35"/>
      <c r="Y27" s="108">
        <v>29064293.048124272</v>
      </c>
      <c r="Z27" s="109">
        <f t="shared" si="5"/>
        <v>16102009.048124272</v>
      </c>
      <c r="AA27" s="34"/>
      <c r="AB27" s="35"/>
      <c r="AC27" s="35"/>
      <c r="AD27" s="35"/>
      <c r="AE27" s="41"/>
      <c r="AF27" s="42"/>
      <c r="AG27" s="33"/>
      <c r="AH27" s="115">
        <f t="shared" si="9"/>
        <v>1383596305</v>
      </c>
      <c r="AI27" s="30"/>
      <c r="AJ27" s="30"/>
      <c r="AK27" s="30"/>
    </row>
    <row r="28" spans="2:37" ht="24" customHeight="1" x14ac:dyDescent="0.25">
      <c r="B28" s="145"/>
      <c r="C28" s="145"/>
      <c r="D28" s="5" t="s">
        <v>279</v>
      </c>
      <c r="E28" s="144" t="s">
        <v>303</v>
      </c>
      <c r="F28" s="144" t="s">
        <v>304</v>
      </c>
      <c r="G28" s="5" t="s">
        <v>272</v>
      </c>
      <c r="H28" s="7" t="s">
        <v>269</v>
      </c>
      <c r="I28" s="5" t="s">
        <v>47</v>
      </c>
      <c r="J28" s="8">
        <v>30</v>
      </c>
      <c r="K28" s="8">
        <f>5-2</f>
        <v>3</v>
      </c>
      <c r="L28" s="102">
        <f t="shared" si="22"/>
        <v>11778002</v>
      </c>
      <c r="M28" s="102">
        <f t="shared" si="23"/>
        <v>324.99</v>
      </c>
      <c r="N28" s="102">
        <f t="shared" si="21"/>
        <v>942266.15919999999</v>
      </c>
      <c r="O28" s="102">
        <f t="shared" si="0"/>
        <v>38161779</v>
      </c>
      <c r="P28" s="9">
        <f t="shared" si="1"/>
        <v>12720593</v>
      </c>
      <c r="Q28" s="10">
        <f t="shared" si="19"/>
        <v>3816177.9000000004</v>
      </c>
      <c r="R28" s="9">
        <f t="shared" si="20"/>
        <v>725073.80100000009</v>
      </c>
      <c r="S28" s="9">
        <f t="shared" si="4"/>
        <v>38886853</v>
      </c>
      <c r="T28" s="105"/>
      <c r="U28" s="33"/>
      <c r="V28" s="33"/>
      <c r="W28" s="35"/>
      <c r="X28" s="35"/>
      <c r="Y28" s="108">
        <v>26026448.448820423</v>
      </c>
      <c r="Z28" s="109">
        <f t="shared" si="5"/>
        <v>-12860404.551179577</v>
      </c>
      <c r="AA28" s="34"/>
      <c r="AB28" s="35"/>
      <c r="AC28" s="35"/>
      <c r="AD28" s="35"/>
      <c r="AE28" s="41"/>
      <c r="AF28" s="42"/>
      <c r="AG28" s="33"/>
      <c r="AH28" s="115">
        <f t="shared" si="9"/>
        <v>1422483158</v>
      </c>
      <c r="AI28" s="30"/>
      <c r="AJ28" s="30"/>
      <c r="AK28" s="30"/>
    </row>
    <row r="29" spans="2:37" ht="15.75" customHeight="1" x14ac:dyDescent="0.25">
      <c r="B29" s="145"/>
      <c r="C29" s="145"/>
      <c r="D29" s="5" t="s">
        <v>279</v>
      </c>
      <c r="E29" s="145"/>
      <c r="F29" s="145"/>
      <c r="G29" s="5" t="s">
        <v>268</v>
      </c>
      <c r="H29" s="7" t="s">
        <v>269</v>
      </c>
      <c r="I29" s="5" t="s">
        <v>127</v>
      </c>
      <c r="J29" s="8">
        <v>30</v>
      </c>
      <c r="K29" s="8">
        <v>1</v>
      </c>
      <c r="L29" s="102">
        <f t="shared" ref="L29:L30" si="24">9.06*1300000*55.97%/15*12+2</f>
        <v>5273719.28</v>
      </c>
      <c r="M29" s="102">
        <f t="shared" ref="M29:M30" si="25">+W$2*55.97%/15*12</f>
        <v>145.51752240000002</v>
      </c>
      <c r="N29" s="102">
        <f t="shared" si="21"/>
        <v>421909.18380179204</v>
      </c>
      <c r="O29" s="102">
        <f t="shared" si="0"/>
        <v>5695774</v>
      </c>
      <c r="P29" s="9">
        <f t="shared" si="1"/>
        <v>5695774</v>
      </c>
      <c r="Q29" s="10">
        <f t="shared" si="19"/>
        <v>569577.4</v>
      </c>
      <c r="R29" s="9">
        <f t="shared" si="20"/>
        <v>108219.70600000001</v>
      </c>
      <c r="S29" s="9">
        <f t="shared" si="4"/>
        <v>5803994</v>
      </c>
      <c r="T29" s="105"/>
      <c r="U29" s="33"/>
      <c r="V29" s="33"/>
      <c r="W29" s="35"/>
      <c r="X29" s="35"/>
      <c r="Y29" s="108">
        <v>58128586.096248545</v>
      </c>
      <c r="Z29" s="109">
        <f t="shared" si="5"/>
        <v>52324592.096248545</v>
      </c>
      <c r="AA29" s="34"/>
      <c r="AB29" s="35"/>
      <c r="AC29" s="35"/>
      <c r="AD29" s="35"/>
      <c r="AE29" s="41"/>
      <c r="AF29" s="42"/>
      <c r="AG29" s="33"/>
      <c r="AH29" s="115">
        <f t="shared" si="9"/>
        <v>1428287152</v>
      </c>
      <c r="AI29" s="30"/>
      <c r="AJ29" s="30"/>
      <c r="AK29" s="30"/>
    </row>
    <row r="30" spans="2:37" ht="15.75" customHeight="1" x14ac:dyDescent="0.25">
      <c r="B30" s="145"/>
      <c r="C30" s="145"/>
      <c r="D30" s="5" t="s">
        <v>279</v>
      </c>
      <c r="E30" s="128"/>
      <c r="F30" s="128"/>
      <c r="G30" s="5" t="s">
        <v>268</v>
      </c>
      <c r="H30" s="7" t="s">
        <v>269</v>
      </c>
      <c r="I30" s="5" t="s">
        <v>127</v>
      </c>
      <c r="J30" s="8">
        <v>30</v>
      </c>
      <c r="K30" s="8">
        <v>1</v>
      </c>
      <c r="L30" s="102">
        <f t="shared" si="24"/>
        <v>5273719.28</v>
      </c>
      <c r="M30" s="102">
        <f t="shared" si="25"/>
        <v>145.51752240000002</v>
      </c>
      <c r="N30" s="102">
        <f t="shared" si="21"/>
        <v>421909.18380179204</v>
      </c>
      <c r="O30" s="102">
        <f t="shared" si="0"/>
        <v>5695774</v>
      </c>
      <c r="P30" s="9">
        <f t="shared" si="1"/>
        <v>5695774</v>
      </c>
      <c r="Q30" s="10">
        <f t="shared" si="19"/>
        <v>569577.4</v>
      </c>
      <c r="R30" s="9">
        <f t="shared" si="20"/>
        <v>108219.70600000001</v>
      </c>
      <c r="S30" s="9">
        <f t="shared" si="4"/>
        <v>5803994</v>
      </c>
      <c r="T30" s="105"/>
      <c r="U30" s="33"/>
      <c r="V30" s="33"/>
      <c r="W30" s="35"/>
      <c r="X30" s="35"/>
      <c r="Y30" s="108">
        <v>9688097.682708092</v>
      </c>
      <c r="Z30" s="109">
        <f t="shared" si="5"/>
        <v>3884103.682708092</v>
      </c>
      <c r="AA30" s="34"/>
      <c r="AB30" s="35"/>
      <c r="AC30" s="35"/>
      <c r="AD30" s="35"/>
      <c r="AE30" s="41"/>
      <c r="AF30" s="42"/>
      <c r="AG30" s="33"/>
      <c r="AH30" s="115">
        <f t="shared" si="9"/>
        <v>1434091146</v>
      </c>
      <c r="AI30" s="30"/>
      <c r="AJ30" s="30"/>
      <c r="AK30" s="30"/>
    </row>
    <row r="31" spans="2:37" ht="15.75" customHeight="1" x14ac:dyDescent="0.25">
      <c r="B31" s="145"/>
      <c r="C31" s="145"/>
      <c r="D31" s="144" t="s">
        <v>146</v>
      </c>
      <c r="E31" s="144" t="s">
        <v>170</v>
      </c>
      <c r="F31" s="144" t="s">
        <v>305</v>
      </c>
      <c r="G31" s="5" t="s">
        <v>272</v>
      </c>
      <c r="H31" s="7" t="s">
        <v>271</v>
      </c>
      <c r="I31" s="5" t="s">
        <v>306</v>
      </c>
      <c r="J31" s="8">
        <v>30</v>
      </c>
      <c r="K31" s="8">
        <v>3</v>
      </c>
      <c r="L31" s="102">
        <f>9.06*1300000+2</f>
        <v>11778002</v>
      </c>
      <c r="M31" s="102">
        <f>+W$2</f>
        <v>324.99</v>
      </c>
      <c r="N31" s="102">
        <f>+(L31+M31)*10%</f>
        <v>1177832.699</v>
      </c>
      <c r="O31" s="102">
        <f t="shared" si="0"/>
        <v>38868480</v>
      </c>
      <c r="P31" s="9">
        <f t="shared" si="1"/>
        <v>12956160</v>
      </c>
      <c r="Q31" s="10">
        <f t="shared" si="19"/>
        <v>3886848</v>
      </c>
      <c r="R31" s="9">
        <f t="shared" si="20"/>
        <v>738501.12</v>
      </c>
      <c r="S31" s="9">
        <f t="shared" si="4"/>
        <v>39606981</v>
      </c>
      <c r="T31" s="105"/>
      <c r="U31" s="33"/>
      <c r="V31" s="33"/>
      <c r="W31" s="35"/>
      <c r="X31" s="35"/>
      <c r="Y31" s="108">
        <v>29064293.048124272</v>
      </c>
      <c r="Z31" s="109">
        <f t="shared" si="5"/>
        <v>-10542687.951875728</v>
      </c>
      <c r="AA31" s="34"/>
      <c r="AB31" s="35"/>
      <c r="AC31" s="35"/>
      <c r="AD31" s="35"/>
      <c r="AE31" s="41"/>
      <c r="AF31" s="42"/>
      <c r="AG31" s="33"/>
      <c r="AH31" s="115">
        <f t="shared" si="9"/>
        <v>1473698127</v>
      </c>
      <c r="AI31" s="30"/>
      <c r="AJ31" s="30"/>
      <c r="AK31" s="30"/>
    </row>
    <row r="32" spans="2:37" ht="15.75" customHeight="1" x14ac:dyDescent="0.25">
      <c r="B32" s="145"/>
      <c r="C32" s="145"/>
      <c r="D32" s="128"/>
      <c r="E32" s="128"/>
      <c r="F32" s="128"/>
      <c r="G32" s="5" t="s">
        <v>268</v>
      </c>
      <c r="H32" s="7" t="s">
        <v>269</v>
      </c>
      <c r="I32" s="5" t="s">
        <v>307</v>
      </c>
      <c r="J32" s="8">
        <v>30</v>
      </c>
      <c r="K32" s="8">
        <v>4</v>
      </c>
      <c r="L32" s="102">
        <f>9.06*1300000*55.97%/15*12/30*26+2</f>
        <v>4570556.9759999998</v>
      </c>
      <c r="M32" s="102">
        <f>+W$2*55.97%/15*12/30*26</f>
        <v>126.11518608000003</v>
      </c>
      <c r="N32" s="102">
        <f>+(L32+M32)*8%</f>
        <v>365654.64729488641</v>
      </c>
      <c r="O32" s="102">
        <f t="shared" si="0"/>
        <v>19745352</v>
      </c>
      <c r="P32" s="9">
        <f t="shared" si="1"/>
        <v>4936338</v>
      </c>
      <c r="Q32" s="10">
        <f t="shared" si="19"/>
        <v>1974535.2000000002</v>
      </c>
      <c r="R32" s="9">
        <f t="shared" si="20"/>
        <v>375161.68800000002</v>
      </c>
      <c r="S32" s="9">
        <f t="shared" si="4"/>
        <v>20120514</v>
      </c>
      <c r="T32" s="105"/>
      <c r="U32" s="33"/>
      <c r="V32" s="33"/>
      <c r="W32" s="35"/>
      <c r="X32" s="35"/>
      <c r="Y32" s="108">
        <v>4337741.4081367375</v>
      </c>
      <c r="Z32" s="109">
        <f t="shared" si="5"/>
        <v>-15782772.591863263</v>
      </c>
      <c r="AA32" s="34"/>
      <c r="AB32" s="35"/>
      <c r="AC32" s="35"/>
      <c r="AD32" s="35"/>
      <c r="AE32" s="41"/>
      <c r="AF32" s="42"/>
      <c r="AG32" s="33"/>
      <c r="AH32" s="115">
        <f t="shared" si="9"/>
        <v>1493818641</v>
      </c>
      <c r="AI32" s="30"/>
      <c r="AJ32" s="30"/>
      <c r="AK32" s="30"/>
    </row>
    <row r="33" spans="2:37" ht="15.75" customHeight="1" x14ac:dyDescent="0.25">
      <c r="B33" s="145"/>
      <c r="C33" s="145"/>
      <c r="D33" s="5" t="s">
        <v>300</v>
      </c>
      <c r="E33" s="144" t="s">
        <v>308</v>
      </c>
      <c r="F33" s="166" t="s">
        <v>308</v>
      </c>
      <c r="G33" s="5" t="s">
        <v>272</v>
      </c>
      <c r="H33" s="7" t="s">
        <v>271</v>
      </c>
      <c r="I33" s="5" t="s">
        <v>134</v>
      </c>
      <c r="J33" s="8">
        <v>30</v>
      </c>
      <c r="K33" s="8">
        <v>2</v>
      </c>
      <c r="L33" s="102">
        <f>9.06*1300000+2</f>
        <v>11778002</v>
      </c>
      <c r="M33" s="102">
        <f>+W$2</f>
        <v>324.99</v>
      </c>
      <c r="N33" s="102">
        <f>+(L33+M33)*10%</f>
        <v>1177832.699</v>
      </c>
      <c r="O33" s="102">
        <f t="shared" si="0"/>
        <v>25912320</v>
      </c>
      <c r="P33" s="9">
        <f t="shared" si="1"/>
        <v>12956160</v>
      </c>
      <c r="Q33" s="10">
        <f t="shared" si="19"/>
        <v>2591232</v>
      </c>
      <c r="R33" s="9">
        <f t="shared" si="20"/>
        <v>492334.08000000002</v>
      </c>
      <c r="S33" s="9">
        <f t="shared" si="4"/>
        <v>26404654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-22066912.591863263</v>
      </c>
      <c r="AA33" s="34"/>
      <c r="AB33" s="35"/>
      <c r="AC33" s="35"/>
      <c r="AD33" s="35"/>
      <c r="AE33" s="41"/>
      <c r="AF33" s="42"/>
      <c r="AG33" s="33"/>
      <c r="AH33" s="115">
        <f t="shared" si="9"/>
        <v>1520223295</v>
      </c>
      <c r="AI33" s="30"/>
      <c r="AJ33" s="30"/>
      <c r="AK33" s="30"/>
    </row>
    <row r="34" spans="2:37" ht="15.75" customHeight="1" x14ac:dyDescent="0.25">
      <c r="B34" s="145"/>
      <c r="C34" s="145"/>
      <c r="D34" s="5" t="s">
        <v>300</v>
      </c>
      <c r="E34" s="128"/>
      <c r="F34" s="128"/>
      <c r="G34" s="5" t="s">
        <v>268</v>
      </c>
      <c r="H34" s="7" t="s">
        <v>269</v>
      </c>
      <c r="I34" s="5" t="s">
        <v>309</v>
      </c>
      <c r="J34" s="8">
        <v>30</v>
      </c>
      <c r="K34" s="8">
        <v>3</v>
      </c>
      <c r="L34" s="102">
        <f>9.06*1300000*55.97%/15*12+2</f>
        <v>5273719.28</v>
      </c>
      <c r="M34" s="102">
        <f>+W$2*55.97%/15*12</f>
        <v>145.51752240000002</v>
      </c>
      <c r="N34" s="102">
        <f>+(L34+M34)*8%</f>
        <v>421909.18380179204</v>
      </c>
      <c r="O34" s="102">
        <f t="shared" si="0"/>
        <v>17087322</v>
      </c>
      <c r="P34" s="9">
        <f t="shared" si="1"/>
        <v>5695774</v>
      </c>
      <c r="Q34" s="10">
        <f t="shared" si="19"/>
        <v>1708732.2000000002</v>
      </c>
      <c r="R34" s="9">
        <f t="shared" si="20"/>
        <v>324659.11800000002</v>
      </c>
      <c r="S34" s="9">
        <f t="shared" si="4"/>
        <v>17411981</v>
      </c>
      <c r="T34" s="105"/>
      <c r="U34" s="33"/>
      <c r="V34" s="33"/>
      <c r="W34" s="35"/>
      <c r="X34" s="35"/>
      <c r="Y34" s="108">
        <v>29602520.697163612</v>
      </c>
      <c r="Z34" s="109">
        <f t="shared" si="5"/>
        <v>12190539.697163612</v>
      </c>
      <c r="AA34" s="34"/>
      <c r="AB34" s="35"/>
      <c r="AC34" s="35"/>
      <c r="AD34" s="35"/>
      <c r="AE34" s="41"/>
      <c r="AF34" s="42"/>
      <c r="AG34" s="33"/>
      <c r="AH34" s="115">
        <f t="shared" si="9"/>
        <v>1537635276</v>
      </c>
      <c r="AI34" s="30"/>
      <c r="AJ34" s="30"/>
      <c r="AK34" s="30"/>
    </row>
    <row r="35" spans="2:37" ht="15.75" customHeight="1" x14ac:dyDescent="0.25">
      <c r="B35" s="145"/>
      <c r="C35" s="128"/>
      <c r="D35" s="5" t="s">
        <v>146</v>
      </c>
      <c r="E35" s="5" t="s">
        <v>152</v>
      </c>
      <c r="F35" s="5" t="s">
        <v>310</v>
      </c>
      <c r="G35" s="5" t="s">
        <v>272</v>
      </c>
      <c r="H35" s="7" t="s">
        <v>271</v>
      </c>
      <c r="I35" s="5" t="s">
        <v>311</v>
      </c>
      <c r="J35" s="8">
        <v>30</v>
      </c>
      <c r="K35" s="8">
        <v>2</v>
      </c>
      <c r="L35" s="102">
        <f t="shared" ref="L35:L42" si="26">9.06*1300000+2</f>
        <v>11778002</v>
      </c>
      <c r="M35" s="102">
        <f t="shared" ref="M35:M42" si="27">+W$2</f>
        <v>324.99</v>
      </c>
      <c r="N35" s="102">
        <f t="shared" ref="N35:N40" si="28">+(L35+M35)*10%</f>
        <v>1177832.699</v>
      </c>
      <c r="O35" s="102">
        <f t="shared" si="0"/>
        <v>25912320</v>
      </c>
      <c r="P35" s="9">
        <f t="shared" si="1"/>
        <v>12956160</v>
      </c>
      <c r="Q35" s="10">
        <f t="shared" si="19"/>
        <v>2591232</v>
      </c>
      <c r="R35" s="9">
        <f t="shared" si="20"/>
        <v>492334.08000000002</v>
      </c>
      <c r="S35" s="9">
        <f t="shared" si="4"/>
        <v>26404654</v>
      </c>
      <c r="T35" s="105"/>
      <c r="U35" s="33"/>
      <c r="V35" s="33"/>
      <c r="W35" s="35"/>
      <c r="X35" s="35"/>
      <c r="Y35" s="108">
        <v>17350965.63254695</v>
      </c>
      <c r="Z35" s="109">
        <f t="shared" si="5"/>
        <v>-9053688.3674530499</v>
      </c>
      <c r="AA35" s="34"/>
      <c r="AB35" s="35"/>
      <c r="AC35" s="35"/>
      <c r="AD35" s="35"/>
      <c r="AE35" s="41"/>
      <c r="AF35" s="42"/>
      <c r="AG35" s="33"/>
      <c r="AH35" s="115">
        <f t="shared" si="9"/>
        <v>1564039930</v>
      </c>
      <c r="AI35" s="30"/>
      <c r="AJ35" s="30"/>
      <c r="AK35" s="125"/>
    </row>
    <row r="36" spans="2:37" ht="27.75" customHeight="1" x14ac:dyDescent="0.25">
      <c r="B36" s="145"/>
      <c r="C36" s="143" t="s">
        <v>312</v>
      </c>
      <c r="D36" s="8" t="s">
        <v>278</v>
      </c>
      <c r="E36" s="5" t="s">
        <v>88</v>
      </c>
      <c r="F36" s="5" t="s">
        <v>313</v>
      </c>
      <c r="G36" s="5" t="s">
        <v>270</v>
      </c>
      <c r="H36" s="7" t="s">
        <v>271</v>
      </c>
      <c r="I36" s="5" t="s">
        <v>143</v>
      </c>
      <c r="J36" s="8">
        <v>30</v>
      </c>
      <c r="K36" s="8">
        <v>1</v>
      </c>
      <c r="L36" s="102">
        <f t="shared" si="26"/>
        <v>11778002</v>
      </c>
      <c r="M36" s="102">
        <f t="shared" si="27"/>
        <v>324.99</v>
      </c>
      <c r="N36" s="102">
        <f t="shared" si="28"/>
        <v>1177832.699</v>
      </c>
      <c r="O36" s="102">
        <f t="shared" si="0"/>
        <v>12956160</v>
      </c>
      <c r="P36" s="9">
        <f t="shared" si="1"/>
        <v>12956160</v>
      </c>
      <c r="Q36" s="10">
        <f t="shared" si="19"/>
        <v>1295616</v>
      </c>
      <c r="R36" s="9">
        <f t="shared" si="20"/>
        <v>246167.04000000001</v>
      </c>
      <c r="S36" s="9">
        <f t="shared" si="4"/>
        <v>13202327</v>
      </c>
      <c r="T36" s="105"/>
      <c r="U36" s="33"/>
      <c r="V36" s="33"/>
      <c r="W36" s="35"/>
      <c r="X36" s="35"/>
      <c r="Y36" s="108">
        <v>19735013.798109073</v>
      </c>
      <c r="Z36" s="109">
        <f t="shared" si="5"/>
        <v>6532686.7981090732</v>
      </c>
      <c r="AA36" s="34"/>
      <c r="AB36" s="35"/>
      <c r="AC36" s="35"/>
      <c r="AD36" s="35"/>
      <c r="AE36" s="41"/>
      <c r="AF36" s="42"/>
      <c r="AG36" s="33"/>
      <c r="AH36" s="115">
        <f t="shared" si="9"/>
        <v>1577242257</v>
      </c>
      <c r="AI36" s="125">
        <f>S36+S37+S38+S39+S40+S41+S42+S43+S44+S45+S46+S47+S48+S49+S50+S51+S52+S53+S54+S55+S57+S58+S59+S60+S61+S78</f>
        <v>655608439</v>
      </c>
      <c r="AJ36" s="30"/>
      <c r="AK36" s="30"/>
    </row>
    <row r="37" spans="2:37" ht="27.75" customHeight="1" x14ac:dyDescent="0.25">
      <c r="B37" s="145"/>
      <c r="C37" s="145"/>
      <c r="D37" s="5" t="s">
        <v>278</v>
      </c>
      <c r="E37" s="5" t="s">
        <v>314</v>
      </c>
      <c r="F37" s="5" t="s">
        <v>315</v>
      </c>
      <c r="G37" s="5" t="s">
        <v>272</v>
      </c>
      <c r="H37" s="7" t="s">
        <v>271</v>
      </c>
      <c r="I37" s="5" t="s">
        <v>316</v>
      </c>
      <c r="J37" s="8">
        <v>30</v>
      </c>
      <c r="K37" s="8">
        <v>1</v>
      </c>
      <c r="L37" s="102">
        <f t="shared" si="26"/>
        <v>11778002</v>
      </c>
      <c r="M37" s="102">
        <f t="shared" si="27"/>
        <v>324.99</v>
      </c>
      <c r="N37" s="102">
        <f t="shared" si="28"/>
        <v>1177832.699</v>
      </c>
      <c r="O37" s="102">
        <f t="shared" si="0"/>
        <v>12956160</v>
      </c>
      <c r="P37" s="9">
        <f t="shared" si="1"/>
        <v>12956160</v>
      </c>
      <c r="Q37" s="10">
        <f t="shared" si="19"/>
        <v>1295616</v>
      </c>
      <c r="R37" s="9">
        <f t="shared" si="20"/>
        <v>246167.04000000001</v>
      </c>
      <c r="S37" s="9">
        <f t="shared" si="4"/>
        <v>13202327</v>
      </c>
      <c r="T37" s="105"/>
      <c r="U37" s="33"/>
      <c r="V37" s="33"/>
      <c r="W37" s="35"/>
      <c r="X37" s="35"/>
      <c r="Y37" s="108">
        <v>13013224.224410212</v>
      </c>
      <c r="Z37" s="109">
        <f t="shared" si="5"/>
        <v>-189102.77558978833</v>
      </c>
      <c r="AA37" s="34"/>
      <c r="AB37" s="35"/>
      <c r="AC37" s="35"/>
      <c r="AD37" s="35"/>
      <c r="AE37" s="41"/>
      <c r="AF37" s="42"/>
      <c r="AG37" s="33"/>
      <c r="AH37" s="115">
        <f t="shared" si="9"/>
        <v>1590444584</v>
      </c>
      <c r="AI37" s="30"/>
      <c r="AJ37" s="30"/>
      <c r="AK37" s="30"/>
    </row>
    <row r="38" spans="2:37" ht="27.75" customHeight="1" x14ac:dyDescent="0.25">
      <c r="B38" s="145"/>
      <c r="C38" s="145"/>
      <c r="D38" s="5" t="s">
        <v>278</v>
      </c>
      <c r="E38" s="5" t="s">
        <v>286</v>
      </c>
      <c r="F38" s="5" t="s">
        <v>317</v>
      </c>
      <c r="G38" s="5" t="s">
        <v>272</v>
      </c>
      <c r="H38" s="7" t="s">
        <v>271</v>
      </c>
      <c r="I38" s="5" t="s">
        <v>318</v>
      </c>
      <c r="J38" s="8">
        <v>30</v>
      </c>
      <c r="K38" s="8">
        <v>1</v>
      </c>
      <c r="L38" s="102">
        <f t="shared" si="26"/>
        <v>11778002</v>
      </c>
      <c r="M38" s="102">
        <f t="shared" si="27"/>
        <v>324.99</v>
      </c>
      <c r="N38" s="102">
        <f t="shared" si="28"/>
        <v>1177832.699</v>
      </c>
      <c r="O38" s="102">
        <f t="shared" si="0"/>
        <v>12956160</v>
      </c>
      <c r="P38" s="9">
        <f t="shared" si="1"/>
        <v>12956160</v>
      </c>
      <c r="Q38" s="10">
        <f t="shared" si="19"/>
        <v>1295616</v>
      </c>
      <c r="R38" s="9">
        <f t="shared" si="20"/>
        <v>246167.04000000001</v>
      </c>
      <c r="S38" s="9">
        <f t="shared" si="4"/>
        <v>13202327</v>
      </c>
      <c r="T38" s="105"/>
      <c r="U38" s="33"/>
      <c r="V38" s="33"/>
      <c r="W38" s="35"/>
      <c r="X38" s="35"/>
      <c r="Y38" s="108">
        <v>19735013.798109073</v>
      </c>
      <c r="Z38" s="109">
        <f t="shared" si="5"/>
        <v>6532686.7981090732</v>
      </c>
      <c r="AA38" s="34"/>
      <c r="AB38" s="35"/>
      <c r="AC38" s="35"/>
      <c r="AD38" s="35"/>
      <c r="AE38" s="41"/>
      <c r="AF38" s="42"/>
      <c r="AG38" s="33"/>
      <c r="AH38" s="115">
        <f t="shared" si="9"/>
        <v>1603646911</v>
      </c>
      <c r="AI38" s="30"/>
      <c r="AJ38" s="30"/>
      <c r="AK38" s="30"/>
    </row>
    <row r="39" spans="2:37" ht="31.5" customHeight="1" x14ac:dyDescent="0.25">
      <c r="B39" s="145"/>
      <c r="C39" s="145"/>
      <c r="D39" s="5" t="s">
        <v>292</v>
      </c>
      <c r="E39" s="5" t="s">
        <v>293</v>
      </c>
      <c r="F39" s="5" t="s">
        <v>319</v>
      </c>
      <c r="G39" s="5" t="s">
        <v>272</v>
      </c>
      <c r="H39" s="7" t="s">
        <v>271</v>
      </c>
      <c r="I39" s="5" t="s">
        <v>138</v>
      </c>
      <c r="J39" s="8">
        <v>30</v>
      </c>
      <c r="K39" s="8">
        <v>1</v>
      </c>
      <c r="L39" s="102">
        <f t="shared" si="26"/>
        <v>11778002</v>
      </c>
      <c r="M39" s="102">
        <f t="shared" si="27"/>
        <v>324.99</v>
      </c>
      <c r="N39" s="102">
        <f t="shared" si="28"/>
        <v>1177832.699</v>
      </c>
      <c r="O39" s="102">
        <f t="shared" si="0"/>
        <v>12956160</v>
      </c>
      <c r="P39" s="9">
        <f t="shared" si="1"/>
        <v>12956160</v>
      </c>
      <c r="Q39" s="10">
        <f t="shared" si="19"/>
        <v>1295616</v>
      </c>
      <c r="R39" s="9">
        <f t="shared" si="20"/>
        <v>246167.04000000001</v>
      </c>
      <c r="S39" s="9">
        <f t="shared" si="4"/>
        <v>13202327</v>
      </c>
      <c r="T39" s="105"/>
      <c r="U39" s="33"/>
      <c r="V39" s="33"/>
      <c r="W39" s="35"/>
      <c r="X39" s="35"/>
      <c r="Y39" s="108">
        <v>9867506.8990545366</v>
      </c>
      <c r="Z39" s="109">
        <f t="shared" si="5"/>
        <v>-3334820.1009454634</v>
      </c>
      <c r="AA39" s="34"/>
      <c r="AB39" s="35"/>
      <c r="AC39" s="35"/>
      <c r="AD39" s="35"/>
      <c r="AE39" s="41"/>
      <c r="AF39" s="42"/>
      <c r="AG39" s="33"/>
      <c r="AH39" s="115">
        <f t="shared" si="9"/>
        <v>1616849238</v>
      </c>
      <c r="AI39" s="30"/>
      <c r="AJ39" s="30"/>
      <c r="AK39" s="30"/>
    </row>
    <row r="40" spans="2:37" ht="36" customHeight="1" x14ac:dyDescent="0.25">
      <c r="B40" s="145"/>
      <c r="C40" s="128"/>
      <c r="D40" s="5" t="s">
        <v>278</v>
      </c>
      <c r="E40" s="5" t="s">
        <v>298</v>
      </c>
      <c r="F40" s="5" t="s">
        <v>320</v>
      </c>
      <c r="G40" s="5" t="s">
        <v>272</v>
      </c>
      <c r="H40" s="7" t="s">
        <v>271</v>
      </c>
      <c r="I40" s="5" t="s">
        <v>321</v>
      </c>
      <c r="J40" s="8">
        <v>30</v>
      </c>
      <c r="K40" s="8">
        <v>1</v>
      </c>
      <c r="L40" s="102">
        <f t="shared" si="26"/>
        <v>11778002</v>
      </c>
      <c r="M40" s="102">
        <f t="shared" si="27"/>
        <v>324.99</v>
      </c>
      <c r="N40" s="102">
        <f t="shared" si="28"/>
        <v>1177832.699</v>
      </c>
      <c r="O40" s="102">
        <f t="shared" si="0"/>
        <v>12956160</v>
      </c>
      <c r="P40" s="9">
        <f t="shared" si="1"/>
        <v>12956160</v>
      </c>
      <c r="Q40" s="10">
        <f t="shared" si="19"/>
        <v>1295616</v>
      </c>
      <c r="R40" s="9">
        <f t="shared" si="20"/>
        <v>246167.04000000001</v>
      </c>
      <c r="S40" s="9">
        <f t="shared" si="4"/>
        <v>13202327</v>
      </c>
      <c r="T40" s="105"/>
      <c r="U40" s="33"/>
      <c r="V40" s="33"/>
      <c r="W40" s="35"/>
      <c r="X40" s="35"/>
      <c r="Y40" s="108">
        <v>9867506.8990545366</v>
      </c>
      <c r="Z40" s="109">
        <f t="shared" si="5"/>
        <v>-3334820.1009454634</v>
      </c>
      <c r="AA40" s="34"/>
      <c r="AB40" s="35"/>
      <c r="AC40" s="35"/>
      <c r="AD40" s="35"/>
      <c r="AE40" s="41"/>
      <c r="AF40" s="42"/>
      <c r="AG40" s="33"/>
      <c r="AH40" s="115">
        <f t="shared" si="9"/>
        <v>1630051565</v>
      </c>
      <c r="AI40" s="30"/>
      <c r="AJ40" s="30"/>
      <c r="AK40" s="30"/>
    </row>
    <row r="41" spans="2:37" ht="15" customHeight="1" x14ac:dyDescent="0.25">
      <c r="B41" s="145"/>
      <c r="C41" s="143" t="s">
        <v>322</v>
      </c>
      <c r="D41" s="144" t="s">
        <v>16</v>
      </c>
      <c r="E41" s="144" t="s">
        <v>266</v>
      </c>
      <c r="F41" s="144" t="s">
        <v>267</v>
      </c>
      <c r="G41" s="5" t="s">
        <v>272</v>
      </c>
      <c r="H41" s="7" t="s">
        <v>269</v>
      </c>
      <c r="I41" s="5" t="s">
        <v>323</v>
      </c>
      <c r="J41" s="8">
        <v>30</v>
      </c>
      <c r="K41" s="8">
        <v>6</v>
      </c>
      <c r="L41" s="102">
        <f t="shared" si="26"/>
        <v>11778002</v>
      </c>
      <c r="M41" s="102">
        <f t="shared" si="27"/>
        <v>324.99</v>
      </c>
      <c r="N41" s="102">
        <f>+(L41+M41)*8%</f>
        <v>942266.15919999999</v>
      </c>
      <c r="O41" s="102">
        <f t="shared" si="0"/>
        <v>76323558</v>
      </c>
      <c r="P41" s="9">
        <f t="shared" si="1"/>
        <v>12720593</v>
      </c>
      <c r="Q41" s="10">
        <f t="shared" si="19"/>
        <v>7632355.8000000007</v>
      </c>
      <c r="R41" s="9">
        <f t="shared" si="20"/>
        <v>1450147.6020000002</v>
      </c>
      <c r="S41" s="9">
        <f t="shared" si="4"/>
        <v>77773706</v>
      </c>
      <c r="T41" s="105"/>
      <c r="U41" s="33"/>
      <c r="V41" s="33"/>
      <c r="W41" s="35"/>
      <c r="X41" s="35"/>
      <c r="Y41" s="108">
        <v>9867506.8990545366</v>
      </c>
      <c r="Z41" s="109">
        <f t="shared" si="5"/>
        <v>-67906199.100945458</v>
      </c>
      <c r="AA41" s="34"/>
      <c r="AB41" s="35"/>
      <c r="AC41" s="35"/>
      <c r="AD41" s="35"/>
      <c r="AE41" s="41"/>
      <c r="AF41" s="42"/>
      <c r="AG41" s="33"/>
      <c r="AH41" s="115">
        <f t="shared" si="9"/>
        <v>1707825271</v>
      </c>
      <c r="AI41" s="30"/>
      <c r="AJ41" s="30"/>
      <c r="AK41" s="30"/>
    </row>
    <row r="42" spans="2:37" ht="15" customHeight="1" x14ac:dyDescent="0.25">
      <c r="B42" s="145"/>
      <c r="C42" s="145"/>
      <c r="D42" s="145"/>
      <c r="E42" s="145"/>
      <c r="F42" s="145"/>
      <c r="G42" s="5" t="s">
        <v>272</v>
      </c>
      <c r="H42" s="7" t="s">
        <v>271</v>
      </c>
      <c r="I42" s="5" t="s">
        <v>324</v>
      </c>
      <c r="J42" s="8">
        <v>30</v>
      </c>
      <c r="K42" s="8">
        <v>5</v>
      </c>
      <c r="L42" s="102">
        <f t="shared" si="26"/>
        <v>11778002</v>
      </c>
      <c r="M42" s="102">
        <f t="shared" si="27"/>
        <v>324.99</v>
      </c>
      <c r="N42" s="102">
        <f>+(L42+M42)*10%</f>
        <v>1177832.699</v>
      </c>
      <c r="O42" s="102">
        <f t="shared" si="0"/>
        <v>64780800</v>
      </c>
      <c r="P42" s="9">
        <f t="shared" si="1"/>
        <v>12956160</v>
      </c>
      <c r="Q42" s="10">
        <f t="shared" si="19"/>
        <v>6478080</v>
      </c>
      <c r="R42" s="9">
        <f t="shared" si="20"/>
        <v>1230835.2</v>
      </c>
      <c r="S42" s="9">
        <f t="shared" si="4"/>
        <v>66011635</v>
      </c>
      <c r="T42" s="105"/>
      <c r="U42" s="33"/>
      <c r="V42" s="33"/>
      <c r="W42" s="35"/>
      <c r="X42" s="35"/>
      <c r="Y42" s="108">
        <v>9867506.8990545366</v>
      </c>
      <c r="Z42" s="109">
        <f t="shared" si="5"/>
        <v>-56144128.100945465</v>
      </c>
      <c r="AA42" s="34"/>
      <c r="AB42" s="35"/>
      <c r="AC42" s="35"/>
      <c r="AD42" s="35"/>
      <c r="AE42" s="41"/>
      <c r="AF42" s="42"/>
      <c r="AG42" s="33"/>
      <c r="AH42" s="115">
        <f t="shared" si="9"/>
        <v>1773836906</v>
      </c>
      <c r="AI42" s="14"/>
      <c r="AJ42" s="14"/>
      <c r="AK42" s="14"/>
    </row>
    <row r="43" spans="2:37" ht="15.75" customHeight="1" x14ac:dyDescent="0.25">
      <c r="B43" s="145"/>
      <c r="C43" s="145"/>
      <c r="D43" s="145"/>
      <c r="E43" s="145"/>
      <c r="F43" s="145"/>
      <c r="G43" s="5" t="s">
        <v>268</v>
      </c>
      <c r="H43" s="7" t="s">
        <v>269</v>
      </c>
      <c r="I43" s="5" t="s">
        <v>325</v>
      </c>
      <c r="J43" s="8">
        <v>30</v>
      </c>
      <c r="K43" s="8">
        <v>2</v>
      </c>
      <c r="L43" s="102">
        <f t="shared" ref="L43:L44" si="29">9.06*1300000*55.97%/15*12+2</f>
        <v>5273719.28</v>
      </c>
      <c r="M43" s="102">
        <f t="shared" ref="M43:M44" si="30">+W$2*55.97%/15*12</f>
        <v>145.51752240000002</v>
      </c>
      <c r="N43" s="102">
        <f>+(L43+M43)*8%</f>
        <v>421909.18380179204</v>
      </c>
      <c r="O43" s="102">
        <f t="shared" si="0"/>
        <v>11391548</v>
      </c>
      <c r="P43" s="9">
        <f t="shared" si="1"/>
        <v>5695774</v>
      </c>
      <c r="Q43" s="10">
        <f t="shared" si="19"/>
        <v>1139154.8</v>
      </c>
      <c r="R43" s="9">
        <f t="shared" si="20"/>
        <v>216439.41200000001</v>
      </c>
      <c r="S43" s="9">
        <f t="shared" si="4"/>
        <v>11607987</v>
      </c>
      <c r="T43" s="105"/>
      <c r="U43" s="33"/>
      <c r="V43" s="33"/>
      <c r="W43" s="35"/>
      <c r="X43" s="35"/>
      <c r="Y43" s="108">
        <v>9867506.8990545366</v>
      </c>
      <c r="Z43" s="109">
        <f t="shared" si="5"/>
        <v>-1740480.1009454634</v>
      </c>
      <c r="AA43" s="34"/>
      <c r="AB43" s="35"/>
      <c r="AC43" s="35"/>
      <c r="AD43" s="35"/>
      <c r="AE43" s="41"/>
      <c r="AF43" s="42"/>
      <c r="AG43" s="33"/>
      <c r="AH43" s="115">
        <f t="shared" si="9"/>
        <v>1785444893</v>
      </c>
      <c r="AI43" s="14"/>
      <c r="AJ43" s="14"/>
      <c r="AK43" s="14"/>
    </row>
    <row r="44" spans="2:37" ht="15.75" customHeight="1" x14ac:dyDescent="0.25">
      <c r="B44" s="145"/>
      <c r="C44" s="145"/>
      <c r="D44" s="145"/>
      <c r="E44" s="145"/>
      <c r="F44" s="145"/>
      <c r="G44" s="5" t="s">
        <v>326</v>
      </c>
      <c r="H44" s="7" t="s">
        <v>277</v>
      </c>
      <c r="I44" s="5" t="s">
        <v>149</v>
      </c>
      <c r="J44" s="8">
        <v>11</v>
      </c>
      <c r="K44" s="8">
        <v>2</v>
      </c>
      <c r="L44" s="102">
        <f t="shared" si="29"/>
        <v>5273719.28</v>
      </c>
      <c r="M44" s="102">
        <f t="shared" si="30"/>
        <v>145.51752240000002</v>
      </c>
      <c r="N44" s="102">
        <f>+(L44+M44)*11%</f>
        <v>580125.12772746407</v>
      </c>
      <c r="O44" s="102">
        <f t="shared" si="0"/>
        <v>4292926</v>
      </c>
      <c r="P44" s="9">
        <f t="shared" si="1"/>
        <v>2146463</v>
      </c>
      <c r="Q44" s="10">
        <f t="shared" si="19"/>
        <v>429292.60000000003</v>
      </c>
      <c r="R44" s="9">
        <f t="shared" si="20"/>
        <v>81565.594000000012</v>
      </c>
      <c r="S44" s="9">
        <f t="shared" si="4"/>
        <v>4374492</v>
      </c>
      <c r="T44" s="105"/>
      <c r="U44" s="33"/>
      <c r="V44" s="33"/>
      <c r="W44" s="35"/>
      <c r="X44" s="35"/>
      <c r="Y44" s="108">
        <v>58128586.096248545</v>
      </c>
      <c r="Z44" s="109">
        <f t="shared" si="5"/>
        <v>53754094.096248545</v>
      </c>
      <c r="AA44" s="34"/>
      <c r="AB44" s="35"/>
      <c r="AC44" s="35"/>
      <c r="AD44" s="35"/>
      <c r="AE44" s="41"/>
      <c r="AF44" s="42"/>
      <c r="AG44" s="33"/>
      <c r="AH44" s="115">
        <f t="shared" si="9"/>
        <v>1789819385</v>
      </c>
      <c r="AI44" s="14"/>
      <c r="AJ44" s="14"/>
      <c r="AK44" s="14"/>
    </row>
    <row r="45" spans="2:37" ht="15.75" customHeight="1" x14ac:dyDescent="0.25">
      <c r="B45" s="145"/>
      <c r="C45" s="145"/>
      <c r="D45" s="128"/>
      <c r="E45" s="128"/>
      <c r="F45" s="128"/>
      <c r="G45" s="5" t="s">
        <v>327</v>
      </c>
      <c r="H45" s="7" t="s">
        <v>269</v>
      </c>
      <c r="I45" s="5" t="s">
        <v>151</v>
      </c>
      <c r="J45" s="8">
        <v>20</v>
      </c>
      <c r="K45" s="8">
        <v>3</v>
      </c>
      <c r="L45" s="102">
        <f>9.06*1300000*55.97%/15*12/30*20+2</f>
        <v>3515813.52</v>
      </c>
      <c r="M45" s="102">
        <f>+W2*55.97%/15*12/30*20</f>
        <v>97.011681600000017</v>
      </c>
      <c r="N45" s="102">
        <f t="shared" ref="N45:N46" si="31">+(L45+M45)*8%</f>
        <v>281272.842534528</v>
      </c>
      <c r="O45" s="102">
        <f t="shared" si="0"/>
        <v>7594366</v>
      </c>
      <c r="P45" s="9">
        <f t="shared" si="1"/>
        <v>2531455.3333333335</v>
      </c>
      <c r="Q45" s="10">
        <f t="shared" si="19"/>
        <v>759436.60000000009</v>
      </c>
      <c r="R45" s="9">
        <f t="shared" si="20"/>
        <v>144292.95400000003</v>
      </c>
      <c r="S45" s="9">
        <f t="shared" si="4"/>
        <v>7738659</v>
      </c>
      <c r="T45" s="105"/>
      <c r="U45" s="33"/>
      <c r="V45" s="33"/>
      <c r="W45" s="35"/>
      <c r="X45" s="35"/>
      <c r="Y45" s="108">
        <v>49337534.495272696</v>
      </c>
      <c r="Z45" s="109">
        <f t="shared" si="5"/>
        <v>41598875.495272696</v>
      </c>
      <c r="AA45" s="34"/>
      <c r="AB45" s="35"/>
      <c r="AC45" s="35"/>
      <c r="AD45" s="35"/>
      <c r="AE45" s="41"/>
      <c r="AF45" s="42"/>
      <c r="AG45" s="33"/>
      <c r="AH45" s="115">
        <f t="shared" si="9"/>
        <v>1797558044</v>
      </c>
      <c r="AI45" s="14"/>
      <c r="AJ45" s="14"/>
      <c r="AK45" s="14"/>
    </row>
    <row r="46" spans="2:37" ht="15.75" customHeight="1" x14ac:dyDescent="0.25">
      <c r="B46" s="145"/>
      <c r="C46" s="145"/>
      <c r="D46" s="144" t="s">
        <v>278</v>
      </c>
      <c r="E46" s="144" t="s">
        <v>88</v>
      </c>
      <c r="F46" s="144" t="s">
        <v>88</v>
      </c>
      <c r="G46" s="5" t="s">
        <v>272</v>
      </c>
      <c r="H46" s="7" t="s">
        <v>269</v>
      </c>
      <c r="I46" s="5" t="s">
        <v>154</v>
      </c>
      <c r="J46" s="8">
        <v>30</v>
      </c>
      <c r="K46" s="8">
        <v>1</v>
      </c>
      <c r="L46" s="102">
        <f t="shared" ref="L46:L55" si="32">9.06*1300000+2</f>
        <v>11778002</v>
      </c>
      <c r="M46" s="102">
        <f t="shared" ref="M46:M55" si="33">+W$2</f>
        <v>324.99</v>
      </c>
      <c r="N46" s="102">
        <f t="shared" si="31"/>
        <v>942266.15919999999</v>
      </c>
      <c r="O46" s="102">
        <f t="shared" si="0"/>
        <v>12720593</v>
      </c>
      <c r="P46" s="9">
        <f t="shared" si="1"/>
        <v>12720593</v>
      </c>
      <c r="Q46" s="10">
        <f t="shared" si="19"/>
        <v>1272059.3</v>
      </c>
      <c r="R46" s="9">
        <f t="shared" si="20"/>
        <v>241691.26700000002</v>
      </c>
      <c r="S46" s="9">
        <f t="shared" si="4"/>
        <v>12962284</v>
      </c>
      <c r="T46" s="105"/>
      <c r="U46" s="33"/>
      <c r="V46" s="33"/>
      <c r="W46" s="35"/>
      <c r="X46" s="35"/>
      <c r="Y46" s="108">
        <v>8675482.8162734751</v>
      </c>
      <c r="Z46" s="109">
        <f t="shared" si="5"/>
        <v>-4286801.1837265249</v>
      </c>
      <c r="AA46" s="34"/>
      <c r="AB46" s="35"/>
      <c r="AC46" s="35"/>
      <c r="AD46" s="35"/>
      <c r="AE46" s="41"/>
      <c r="AF46" s="42"/>
      <c r="AG46" s="33"/>
      <c r="AH46" s="115">
        <f t="shared" si="9"/>
        <v>1810520328</v>
      </c>
      <c r="AI46" s="14"/>
      <c r="AJ46" s="14"/>
      <c r="AK46" s="14"/>
    </row>
    <row r="47" spans="2:37" ht="15.75" customHeight="1" x14ac:dyDescent="0.25">
      <c r="B47" s="145"/>
      <c r="C47" s="145"/>
      <c r="D47" s="128"/>
      <c r="E47" s="128"/>
      <c r="F47" s="128"/>
      <c r="G47" s="5" t="s">
        <v>272</v>
      </c>
      <c r="H47" s="7" t="s">
        <v>271</v>
      </c>
      <c r="I47" s="5" t="s">
        <v>157</v>
      </c>
      <c r="J47" s="8">
        <v>30</v>
      </c>
      <c r="K47" s="8">
        <v>1</v>
      </c>
      <c r="L47" s="102">
        <f t="shared" si="32"/>
        <v>11778002</v>
      </c>
      <c r="M47" s="102">
        <f t="shared" si="33"/>
        <v>324.99</v>
      </c>
      <c r="N47" s="102">
        <f t="shared" ref="N47:N48" si="34">+(L47+M47)*10%</f>
        <v>1177832.699</v>
      </c>
      <c r="O47" s="102">
        <f t="shared" si="0"/>
        <v>12956160</v>
      </c>
      <c r="P47" s="9">
        <f t="shared" si="1"/>
        <v>12956160</v>
      </c>
      <c r="Q47" s="10">
        <f t="shared" si="19"/>
        <v>1295616</v>
      </c>
      <c r="R47" s="9">
        <f t="shared" si="20"/>
        <v>246167.04000000001</v>
      </c>
      <c r="S47" s="9">
        <f t="shared" si="4"/>
        <v>13202327</v>
      </c>
      <c r="T47" s="105"/>
      <c r="U47" s="33"/>
      <c r="V47" s="33"/>
      <c r="W47" s="35"/>
      <c r="X47" s="35"/>
      <c r="Y47" s="108">
        <v>8836088.9556188453</v>
      </c>
      <c r="Z47" s="109">
        <f t="shared" si="5"/>
        <v>-4366238.0443811547</v>
      </c>
      <c r="AA47" s="34"/>
      <c r="AB47" s="35"/>
      <c r="AC47" s="35"/>
      <c r="AD47" s="35"/>
      <c r="AE47" s="41"/>
      <c r="AF47" s="42"/>
      <c r="AG47" s="33"/>
      <c r="AH47" s="115">
        <f t="shared" si="9"/>
        <v>1823722655</v>
      </c>
      <c r="AI47" s="14"/>
      <c r="AJ47" s="14"/>
      <c r="AK47" s="14"/>
    </row>
    <row r="48" spans="2:37" ht="15.75" customHeight="1" x14ac:dyDescent="0.25">
      <c r="B48" s="145"/>
      <c r="C48" s="145"/>
      <c r="D48" s="144" t="s">
        <v>16</v>
      </c>
      <c r="E48" s="144" t="s">
        <v>275</v>
      </c>
      <c r="F48" s="144" t="s">
        <v>275</v>
      </c>
      <c r="G48" s="5" t="s">
        <v>272</v>
      </c>
      <c r="H48" s="7" t="s">
        <v>271</v>
      </c>
      <c r="I48" s="5" t="s">
        <v>157</v>
      </c>
      <c r="J48" s="8">
        <v>30</v>
      </c>
      <c r="K48" s="8">
        <v>3</v>
      </c>
      <c r="L48" s="102">
        <f t="shared" si="32"/>
        <v>11778002</v>
      </c>
      <c r="M48" s="102">
        <f t="shared" si="33"/>
        <v>324.99</v>
      </c>
      <c r="N48" s="102">
        <f t="shared" si="34"/>
        <v>1177832.699</v>
      </c>
      <c r="O48" s="102">
        <f t="shared" si="0"/>
        <v>38868480</v>
      </c>
      <c r="P48" s="9">
        <f t="shared" si="1"/>
        <v>12956160</v>
      </c>
      <c r="Q48" s="10">
        <f t="shared" si="19"/>
        <v>3886848</v>
      </c>
      <c r="R48" s="9">
        <f t="shared" si="20"/>
        <v>738501.12</v>
      </c>
      <c r="S48" s="9">
        <f t="shared" si="4"/>
        <v>39606981</v>
      </c>
      <c r="T48" s="105"/>
      <c r="U48" s="33"/>
      <c r="V48" s="33"/>
      <c r="W48" s="35"/>
      <c r="X48" s="35"/>
      <c r="Y48" s="108">
        <v>8676693.7551134806</v>
      </c>
      <c r="Z48" s="109">
        <f t="shared" si="5"/>
        <v>-30930287.244886518</v>
      </c>
      <c r="AA48" s="34"/>
      <c r="AB48" s="35"/>
      <c r="AC48" s="35"/>
      <c r="AD48" s="35"/>
      <c r="AE48" s="41"/>
      <c r="AF48" s="42"/>
      <c r="AG48" s="33"/>
      <c r="AH48" s="115">
        <f t="shared" si="9"/>
        <v>1863329636</v>
      </c>
      <c r="AI48" s="14"/>
      <c r="AJ48" s="14"/>
      <c r="AK48" s="14"/>
    </row>
    <row r="49" spans="2:37" ht="15.75" customHeight="1" x14ac:dyDescent="0.25">
      <c r="B49" s="145"/>
      <c r="C49" s="145"/>
      <c r="D49" s="128"/>
      <c r="E49" s="128"/>
      <c r="F49" s="128"/>
      <c r="G49" s="5" t="s">
        <v>272</v>
      </c>
      <c r="H49" s="7" t="s">
        <v>269</v>
      </c>
      <c r="I49" s="5" t="s">
        <v>161</v>
      </c>
      <c r="J49" s="8">
        <v>30</v>
      </c>
      <c r="K49" s="8">
        <v>1</v>
      </c>
      <c r="L49" s="102">
        <f t="shared" si="32"/>
        <v>11778002</v>
      </c>
      <c r="M49" s="102">
        <f t="shared" si="33"/>
        <v>324.99</v>
      </c>
      <c r="N49" s="102">
        <f t="shared" ref="N49:N78" si="35">+(L49+M49)*8%</f>
        <v>942266.15919999999</v>
      </c>
      <c r="O49" s="102">
        <f t="shared" si="0"/>
        <v>12720593</v>
      </c>
      <c r="P49" s="9">
        <f t="shared" si="1"/>
        <v>12720593</v>
      </c>
      <c r="Q49" s="10">
        <f t="shared" si="19"/>
        <v>1272059.3</v>
      </c>
      <c r="R49" s="9">
        <f t="shared" si="20"/>
        <v>241691.26700000002</v>
      </c>
      <c r="S49" s="9">
        <f t="shared" si="4"/>
        <v>12962284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-3094777.1009454634</v>
      </c>
      <c r="AA49" s="34"/>
      <c r="AB49" s="35"/>
      <c r="AC49" s="35"/>
      <c r="AD49" s="35"/>
      <c r="AE49" s="41"/>
      <c r="AF49" s="42"/>
      <c r="AG49" s="33"/>
      <c r="AH49" s="115">
        <f t="shared" si="9"/>
        <v>1876291920</v>
      </c>
      <c r="AI49" s="14"/>
      <c r="AJ49" s="14"/>
      <c r="AK49" s="14"/>
    </row>
    <row r="50" spans="2:37" ht="15.75" customHeight="1" x14ac:dyDescent="0.25">
      <c r="B50" s="145"/>
      <c r="C50" s="145"/>
      <c r="D50" s="144" t="s">
        <v>278</v>
      </c>
      <c r="E50" s="5" t="s">
        <v>286</v>
      </c>
      <c r="F50" s="5" t="s">
        <v>287</v>
      </c>
      <c r="G50" s="5" t="s">
        <v>272</v>
      </c>
      <c r="H50" s="7" t="s">
        <v>269</v>
      </c>
      <c r="I50" s="5" t="s">
        <v>328</v>
      </c>
      <c r="J50" s="8">
        <v>30</v>
      </c>
      <c r="K50" s="8">
        <v>1</v>
      </c>
      <c r="L50" s="102">
        <f t="shared" si="32"/>
        <v>11778002</v>
      </c>
      <c r="M50" s="102">
        <f t="shared" si="33"/>
        <v>324.99</v>
      </c>
      <c r="N50" s="102">
        <f t="shared" si="35"/>
        <v>942266.15919999999</v>
      </c>
      <c r="O50" s="102">
        <f t="shared" si="0"/>
        <v>12720593</v>
      </c>
      <c r="P50" s="9">
        <f t="shared" si="1"/>
        <v>12720593</v>
      </c>
      <c r="Q50" s="10">
        <f t="shared" si="19"/>
        <v>1272059.3</v>
      </c>
      <c r="R50" s="9">
        <f t="shared" si="20"/>
        <v>241691.26700000002</v>
      </c>
      <c r="S50" s="9">
        <f t="shared" si="4"/>
        <v>12962284</v>
      </c>
      <c r="T50" s="105"/>
      <c r="U50" s="33"/>
      <c r="V50" s="33"/>
      <c r="W50" s="35"/>
      <c r="X50" s="35"/>
      <c r="Y50" s="108">
        <v>9688097.682708092</v>
      </c>
      <c r="Z50" s="109">
        <f t="shared" si="5"/>
        <v>-3274186.317291908</v>
      </c>
      <c r="AA50" s="34"/>
      <c r="AB50" s="35"/>
      <c r="AC50" s="35"/>
      <c r="AD50" s="35"/>
      <c r="AE50" s="41"/>
      <c r="AF50" s="42"/>
      <c r="AG50" s="33"/>
      <c r="AH50" s="115">
        <f t="shared" si="9"/>
        <v>1889254204</v>
      </c>
      <c r="AI50" s="14"/>
      <c r="AJ50" s="14"/>
      <c r="AK50" s="14"/>
    </row>
    <row r="51" spans="2:37" ht="15.75" customHeight="1" x14ac:dyDescent="0.25">
      <c r="B51" s="145"/>
      <c r="C51" s="145"/>
      <c r="D51" s="128"/>
      <c r="E51" s="5" t="s">
        <v>298</v>
      </c>
      <c r="F51" s="5" t="s">
        <v>298</v>
      </c>
      <c r="G51" s="5" t="s">
        <v>272</v>
      </c>
      <c r="H51" s="7" t="s">
        <v>269</v>
      </c>
      <c r="I51" s="5" t="s">
        <v>329</v>
      </c>
      <c r="J51" s="8">
        <v>30</v>
      </c>
      <c r="K51" s="8">
        <v>2</v>
      </c>
      <c r="L51" s="102">
        <f t="shared" si="32"/>
        <v>11778002</v>
      </c>
      <c r="M51" s="102">
        <f t="shared" si="33"/>
        <v>324.99</v>
      </c>
      <c r="N51" s="102">
        <f t="shared" si="35"/>
        <v>942266.15919999999</v>
      </c>
      <c r="O51" s="102">
        <f t="shared" si="0"/>
        <v>25441186</v>
      </c>
      <c r="P51" s="9">
        <f t="shared" si="1"/>
        <v>12720593</v>
      </c>
      <c r="Q51" s="10">
        <f t="shared" si="19"/>
        <v>2544118.6</v>
      </c>
      <c r="R51" s="9">
        <f t="shared" si="20"/>
        <v>483382.53400000004</v>
      </c>
      <c r="S51" s="9">
        <f t="shared" si="4"/>
        <v>25924569</v>
      </c>
      <c r="T51" s="105"/>
      <c r="U51" s="33"/>
      <c r="V51" s="33"/>
      <c r="W51" s="35"/>
      <c r="X51" s="35"/>
      <c r="Y51" s="108">
        <v>29602520.697163612</v>
      </c>
      <c r="Z51" s="109">
        <f t="shared" si="5"/>
        <v>3677951.6971636117</v>
      </c>
      <c r="AA51" s="34"/>
      <c r="AB51" s="35"/>
      <c r="AC51" s="35"/>
      <c r="AD51" s="35"/>
      <c r="AE51" s="41"/>
      <c r="AF51" s="42"/>
      <c r="AG51" s="33"/>
      <c r="AH51" s="115">
        <f t="shared" si="9"/>
        <v>1915178773</v>
      </c>
      <c r="AI51" s="14"/>
      <c r="AJ51" s="14"/>
      <c r="AK51" s="14"/>
    </row>
    <row r="52" spans="2:37" ht="15.75" customHeight="1" x14ac:dyDescent="0.25">
      <c r="B52" s="145"/>
      <c r="C52" s="145"/>
      <c r="D52" s="5" t="s">
        <v>146</v>
      </c>
      <c r="E52" s="5" t="s">
        <v>170</v>
      </c>
      <c r="F52" s="5" t="s">
        <v>170</v>
      </c>
      <c r="G52" s="5" t="s">
        <v>272</v>
      </c>
      <c r="H52" s="7" t="s">
        <v>269</v>
      </c>
      <c r="I52" s="5" t="s">
        <v>330</v>
      </c>
      <c r="J52" s="8">
        <v>30</v>
      </c>
      <c r="K52" s="8">
        <v>1</v>
      </c>
      <c r="L52" s="102">
        <f t="shared" si="32"/>
        <v>11778002</v>
      </c>
      <c r="M52" s="102">
        <f t="shared" si="33"/>
        <v>324.99</v>
      </c>
      <c r="N52" s="102">
        <f t="shared" si="35"/>
        <v>942266.15919999999</v>
      </c>
      <c r="O52" s="102">
        <f t="shared" si="0"/>
        <v>12720593</v>
      </c>
      <c r="P52" s="9">
        <f t="shared" si="1"/>
        <v>12720593</v>
      </c>
      <c r="Q52" s="10">
        <f t="shared" si="19"/>
        <v>1272059.3</v>
      </c>
      <c r="R52" s="9">
        <f t="shared" si="20"/>
        <v>241691.26700000002</v>
      </c>
      <c r="S52" s="9">
        <f t="shared" si="4"/>
        <v>12962284</v>
      </c>
      <c r="T52" s="105"/>
      <c r="U52" s="33"/>
      <c r="V52" s="33"/>
      <c r="W52" s="35"/>
      <c r="X52" s="35"/>
      <c r="Y52" s="108">
        <v>9688097.682708092</v>
      </c>
      <c r="Z52" s="109">
        <f t="shared" si="5"/>
        <v>-3274186.317291908</v>
      </c>
      <c r="AA52" s="34"/>
      <c r="AB52" s="35"/>
      <c r="AC52" s="35"/>
      <c r="AD52" s="35"/>
      <c r="AE52" s="41"/>
      <c r="AF52" s="42"/>
      <c r="AG52" s="33"/>
      <c r="AH52" s="115">
        <f t="shared" si="9"/>
        <v>1928141057</v>
      </c>
      <c r="AI52" s="14"/>
      <c r="AJ52" s="14"/>
      <c r="AK52" s="14"/>
    </row>
    <row r="53" spans="2:37" ht="15.75" customHeight="1" x14ac:dyDescent="0.25">
      <c r="B53" s="145"/>
      <c r="C53" s="145"/>
      <c r="D53" s="5" t="s">
        <v>278</v>
      </c>
      <c r="E53" s="5" t="s">
        <v>331</v>
      </c>
      <c r="F53" s="5" t="s">
        <v>332</v>
      </c>
      <c r="G53" s="5" t="s">
        <v>272</v>
      </c>
      <c r="H53" s="7" t="s">
        <v>269</v>
      </c>
      <c r="I53" s="5" t="s">
        <v>333</v>
      </c>
      <c r="J53" s="8">
        <v>30</v>
      </c>
      <c r="K53" s="8">
        <v>1</v>
      </c>
      <c r="L53" s="102">
        <f t="shared" si="32"/>
        <v>11778002</v>
      </c>
      <c r="M53" s="102">
        <f t="shared" si="33"/>
        <v>324.99</v>
      </c>
      <c r="N53" s="102">
        <f t="shared" si="35"/>
        <v>942266.15919999999</v>
      </c>
      <c r="O53" s="102">
        <f t="shared" si="0"/>
        <v>12720593</v>
      </c>
      <c r="P53" s="9">
        <f t="shared" si="1"/>
        <v>12720593</v>
      </c>
      <c r="Q53" s="10">
        <f t="shared" si="19"/>
        <v>1272059.3</v>
      </c>
      <c r="R53" s="9">
        <f t="shared" si="20"/>
        <v>241691.26700000002</v>
      </c>
      <c r="S53" s="9">
        <f t="shared" si="4"/>
        <v>12962284</v>
      </c>
      <c r="T53" s="105"/>
      <c r="U53" s="33"/>
      <c r="V53" s="33"/>
      <c r="W53" s="35"/>
      <c r="X53" s="35"/>
      <c r="Y53" s="108">
        <v>9688097.682708092</v>
      </c>
      <c r="Z53" s="109">
        <f t="shared" si="5"/>
        <v>-3274186.317291908</v>
      </c>
      <c r="AA53" s="34"/>
      <c r="AB53" s="35"/>
      <c r="AC53" s="35"/>
      <c r="AD53" s="35"/>
      <c r="AE53" s="41"/>
      <c r="AF53" s="35"/>
      <c r="AG53" s="35"/>
      <c r="AH53" s="115">
        <f t="shared" si="9"/>
        <v>1941103341</v>
      </c>
      <c r="AI53" s="14"/>
      <c r="AJ53" s="14"/>
      <c r="AK53" s="14"/>
    </row>
    <row r="54" spans="2:37" ht="15.75" customHeight="1" x14ac:dyDescent="0.25">
      <c r="B54" s="145"/>
      <c r="C54" s="145"/>
      <c r="D54" s="5" t="s">
        <v>279</v>
      </c>
      <c r="E54" s="5" t="s">
        <v>303</v>
      </c>
      <c r="F54" s="5" t="s">
        <v>304</v>
      </c>
      <c r="G54" s="5" t="s">
        <v>272</v>
      </c>
      <c r="H54" s="7" t="s">
        <v>269</v>
      </c>
      <c r="I54" s="5" t="s">
        <v>334</v>
      </c>
      <c r="J54" s="8">
        <v>30</v>
      </c>
      <c r="K54" s="8">
        <v>2</v>
      </c>
      <c r="L54" s="102">
        <f t="shared" si="32"/>
        <v>11778002</v>
      </c>
      <c r="M54" s="102">
        <f t="shared" si="33"/>
        <v>324.99</v>
      </c>
      <c r="N54" s="102">
        <f t="shared" si="35"/>
        <v>942266.15919999999</v>
      </c>
      <c r="O54" s="102">
        <f t="shared" si="0"/>
        <v>25441186</v>
      </c>
      <c r="P54" s="9">
        <f t="shared" si="1"/>
        <v>12720593</v>
      </c>
      <c r="Q54" s="10">
        <f t="shared" si="19"/>
        <v>2544118.6</v>
      </c>
      <c r="R54" s="9">
        <f t="shared" si="20"/>
        <v>483382.53400000004</v>
      </c>
      <c r="S54" s="9">
        <f t="shared" si="4"/>
        <v>25924569</v>
      </c>
      <c r="T54" s="105"/>
      <c r="U54" s="33"/>
      <c r="V54" s="33"/>
      <c r="W54" s="35"/>
      <c r="X54" s="35"/>
      <c r="Y54" s="108">
        <v>19376195.365416184</v>
      </c>
      <c r="Z54" s="109">
        <f t="shared" si="5"/>
        <v>-6548373.6345838159</v>
      </c>
      <c r="AA54" s="34"/>
      <c r="AB54" s="35"/>
      <c r="AC54" s="35"/>
      <c r="AD54" s="35"/>
      <c r="AE54" s="41"/>
      <c r="AF54" s="35"/>
      <c r="AG54" s="35"/>
      <c r="AH54" s="115">
        <f t="shared" si="9"/>
        <v>1967027910</v>
      </c>
      <c r="AI54" s="14"/>
      <c r="AJ54" s="14"/>
      <c r="AK54" s="14"/>
    </row>
    <row r="55" spans="2:37" ht="15.75" customHeight="1" x14ac:dyDescent="0.25">
      <c r="B55" s="165"/>
      <c r="C55" s="165"/>
      <c r="D55" s="148" t="s">
        <v>140</v>
      </c>
      <c r="E55" s="148" t="s">
        <v>141</v>
      </c>
      <c r="F55" s="148" t="s">
        <v>289</v>
      </c>
      <c r="G55" s="148" t="s">
        <v>272</v>
      </c>
      <c r="H55" s="150" t="s">
        <v>269</v>
      </c>
      <c r="I55" s="148" t="s">
        <v>382</v>
      </c>
      <c r="J55" s="151">
        <v>30</v>
      </c>
      <c r="K55" s="151">
        <v>1</v>
      </c>
      <c r="L55" s="152">
        <f t="shared" si="32"/>
        <v>11778002</v>
      </c>
      <c r="M55" s="152">
        <f t="shared" si="33"/>
        <v>324.99</v>
      </c>
      <c r="N55" s="152">
        <f t="shared" si="35"/>
        <v>942266.15919999999</v>
      </c>
      <c r="O55" s="152">
        <f t="shared" si="0"/>
        <v>12720593</v>
      </c>
      <c r="P55" s="153">
        <f t="shared" si="1"/>
        <v>12720593</v>
      </c>
      <c r="Q55" s="154">
        <v>0</v>
      </c>
      <c r="R55" s="153">
        <v>0</v>
      </c>
      <c r="S55" s="153">
        <f t="shared" si="4"/>
        <v>12720593</v>
      </c>
      <c r="T55" s="155"/>
      <c r="U55" s="156"/>
      <c r="V55" s="156"/>
      <c r="W55" s="157"/>
      <c r="X55" s="157"/>
      <c r="Y55" s="158">
        <v>9688097.682708092</v>
      </c>
      <c r="Z55" s="159">
        <f t="shared" si="5"/>
        <v>-3032495.317291908</v>
      </c>
      <c r="AA55" s="160"/>
      <c r="AB55" s="157" t="s">
        <v>399</v>
      </c>
      <c r="AC55" s="157" t="s">
        <v>400</v>
      </c>
      <c r="AD55" s="157"/>
      <c r="AE55" s="161" t="s">
        <v>401</v>
      </c>
      <c r="AF55" s="157"/>
      <c r="AG55" s="157"/>
      <c r="AH55" s="163">
        <f t="shared" si="9"/>
        <v>1979748503</v>
      </c>
      <c r="AI55" s="146"/>
      <c r="AJ55" s="163"/>
      <c r="AK55" s="146"/>
    </row>
    <row r="56" spans="2:37" ht="24" customHeight="1" x14ac:dyDescent="0.25">
      <c r="B56" s="167" t="s">
        <v>335</v>
      </c>
      <c r="C56" s="143" t="s">
        <v>336</v>
      </c>
      <c r="D56" s="5" t="s">
        <v>300</v>
      </c>
      <c r="E56" s="5" t="s">
        <v>308</v>
      </c>
      <c r="F56" s="5" t="s">
        <v>308</v>
      </c>
      <c r="G56" s="7" t="s">
        <v>337</v>
      </c>
      <c r="H56" s="7" t="s">
        <v>338</v>
      </c>
      <c r="I56" s="7" t="s">
        <v>339</v>
      </c>
      <c r="J56" s="8">
        <v>30</v>
      </c>
      <c r="K56" s="8">
        <v>1</v>
      </c>
      <c r="L56" s="102">
        <f>9.06*1300000*55.97%/15*12+2</f>
        <v>5273719.28</v>
      </c>
      <c r="M56" s="102">
        <f>+W$2*55.97%/15*12</f>
        <v>145.51752240000002</v>
      </c>
      <c r="N56" s="102">
        <f t="shared" si="35"/>
        <v>421909.18380179204</v>
      </c>
      <c r="O56" s="102">
        <f t="shared" si="0"/>
        <v>5695774</v>
      </c>
      <c r="P56" s="9">
        <f t="shared" si="1"/>
        <v>5695774</v>
      </c>
      <c r="Q56" s="10">
        <f t="shared" ref="Q56:Q65" si="36">+O56*10%</f>
        <v>569577.4</v>
      </c>
      <c r="R56" s="9">
        <f t="shared" ref="R56:R65" si="37">+Q56*19%</f>
        <v>108219.70600000001</v>
      </c>
      <c r="S56" s="9">
        <f t="shared" si="4"/>
        <v>5803994</v>
      </c>
      <c r="T56" s="105"/>
      <c r="U56" s="33"/>
      <c r="V56" s="33"/>
      <c r="W56" s="35"/>
      <c r="X56" s="35"/>
      <c r="Y56" s="108">
        <v>9688097.6827080995</v>
      </c>
      <c r="Z56" s="109">
        <f t="shared" si="5"/>
        <v>3884103.6827080995</v>
      </c>
      <c r="AA56" s="34"/>
      <c r="AB56" s="108">
        <f t="shared" ref="AB56:AB75" si="38">+S56</f>
        <v>5803994</v>
      </c>
      <c r="AC56" s="110">
        <v>4703841.6785409814</v>
      </c>
      <c r="AD56" s="110">
        <f t="shared" ref="AD56:AD75" si="39">+AC56-AB56</f>
        <v>-1100152.3214590186</v>
      </c>
      <c r="AE56" s="41">
        <f t="shared" ref="AE56:AE75" si="40">+AC56*80%</f>
        <v>3763073.3428327851</v>
      </c>
      <c r="AF56" s="41">
        <f t="shared" ref="AF56:AF75" si="41">+AB56-AE56</f>
        <v>2040920.6571672149</v>
      </c>
      <c r="AG56" s="35"/>
      <c r="AH56" s="115">
        <f t="shared" si="9"/>
        <v>1985552497</v>
      </c>
      <c r="AI56" s="14"/>
      <c r="AJ56" s="14"/>
      <c r="AK56" s="14"/>
    </row>
    <row r="57" spans="2:37" ht="15" customHeight="1" x14ac:dyDescent="0.25">
      <c r="B57" s="145"/>
      <c r="C57" s="145"/>
      <c r="D57" s="168" t="s">
        <v>16</v>
      </c>
      <c r="E57" s="168" t="s">
        <v>266</v>
      </c>
      <c r="F57" s="168" t="s">
        <v>267</v>
      </c>
      <c r="G57" s="7" t="s">
        <v>340</v>
      </c>
      <c r="H57" s="7" t="s">
        <v>338</v>
      </c>
      <c r="I57" s="7" t="s">
        <v>341</v>
      </c>
      <c r="J57" s="8">
        <v>30</v>
      </c>
      <c r="K57" s="101">
        <v>1</v>
      </c>
      <c r="L57" s="102">
        <f t="shared" ref="L57:L60" si="42">9.06*1300000+2+450000</f>
        <v>12228002</v>
      </c>
      <c r="M57" s="102">
        <f t="shared" ref="M57:M62" si="43">+W$2</f>
        <v>324.99</v>
      </c>
      <c r="N57" s="102">
        <f t="shared" si="35"/>
        <v>978266.15919999999</v>
      </c>
      <c r="O57" s="102">
        <f t="shared" si="0"/>
        <v>13206593</v>
      </c>
      <c r="P57" s="9">
        <f t="shared" si="1"/>
        <v>13206593</v>
      </c>
      <c r="Q57" s="10">
        <f t="shared" si="36"/>
        <v>1320659.3</v>
      </c>
      <c r="R57" s="9">
        <f t="shared" si="37"/>
        <v>250925.26700000002</v>
      </c>
      <c r="S57" s="9">
        <f t="shared" si="4"/>
        <v>13457518</v>
      </c>
      <c r="T57" s="105"/>
      <c r="U57" s="33"/>
      <c r="V57" s="33"/>
      <c r="W57" s="35"/>
      <c r="X57" s="35"/>
      <c r="Y57" s="108">
        <v>19376195.365416184</v>
      </c>
      <c r="Z57" s="109">
        <f t="shared" si="5"/>
        <v>5918677.3654161841</v>
      </c>
      <c r="AA57" s="34"/>
      <c r="AB57" s="108">
        <f t="shared" si="38"/>
        <v>13457518</v>
      </c>
      <c r="AC57" s="110">
        <v>10636447.008159766</v>
      </c>
      <c r="AD57" s="110">
        <f t="shared" si="39"/>
        <v>-2821070.991840234</v>
      </c>
      <c r="AE57" s="41">
        <f t="shared" si="40"/>
        <v>8509157.6065278128</v>
      </c>
      <c r="AF57" s="41">
        <f t="shared" si="41"/>
        <v>4948360.3934721872</v>
      </c>
      <c r="AG57" s="35"/>
      <c r="AH57" s="115">
        <f t="shared" si="9"/>
        <v>1999010015</v>
      </c>
      <c r="AI57" s="14"/>
      <c r="AJ57" s="14"/>
      <c r="AK57" s="14"/>
    </row>
    <row r="58" spans="2:37" ht="15.75" customHeight="1" x14ac:dyDescent="0.25">
      <c r="B58" s="145"/>
      <c r="C58" s="145"/>
      <c r="D58" s="145"/>
      <c r="E58" s="145"/>
      <c r="F58" s="128"/>
      <c r="G58" s="7" t="s">
        <v>342</v>
      </c>
      <c r="H58" s="7" t="s">
        <v>338</v>
      </c>
      <c r="I58" s="7" t="s">
        <v>343</v>
      </c>
      <c r="J58" s="8">
        <v>30</v>
      </c>
      <c r="K58" s="101">
        <v>1</v>
      </c>
      <c r="L58" s="102">
        <f t="shared" si="42"/>
        <v>12228002</v>
      </c>
      <c r="M58" s="102">
        <f t="shared" si="43"/>
        <v>324.99</v>
      </c>
      <c r="N58" s="102">
        <f t="shared" si="35"/>
        <v>978266.15919999999</v>
      </c>
      <c r="O58" s="102">
        <f t="shared" si="0"/>
        <v>13206593</v>
      </c>
      <c r="P58" s="9">
        <f t="shared" si="1"/>
        <v>13206593</v>
      </c>
      <c r="Q58" s="10">
        <f t="shared" si="36"/>
        <v>1320659.3</v>
      </c>
      <c r="R58" s="9">
        <f t="shared" si="37"/>
        <v>250925.26700000002</v>
      </c>
      <c r="S58" s="9">
        <f t="shared" si="4"/>
        <v>13457518</v>
      </c>
      <c r="T58" s="105"/>
      <c r="U58" s="33"/>
      <c r="V58" s="33"/>
      <c r="W58" s="35"/>
      <c r="X58" s="35"/>
      <c r="Y58" s="108">
        <v>9507456.0183592662</v>
      </c>
      <c r="Z58" s="109">
        <f t="shared" si="5"/>
        <v>-3950061.9816407338</v>
      </c>
      <c r="AA58" s="34"/>
      <c r="AB58" s="108">
        <f t="shared" si="38"/>
        <v>13457518</v>
      </c>
      <c r="AC58" s="110">
        <v>10636447.008159766</v>
      </c>
      <c r="AD58" s="110">
        <f t="shared" si="39"/>
        <v>-2821070.991840234</v>
      </c>
      <c r="AE58" s="41">
        <f t="shared" si="40"/>
        <v>8509157.6065278128</v>
      </c>
      <c r="AF58" s="41">
        <f t="shared" si="41"/>
        <v>4948360.3934721872</v>
      </c>
      <c r="AG58" s="35"/>
      <c r="AH58" s="115">
        <f t="shared" si="9"/>
        <v>2012467533</v>
      </c>
      <c r="AI58" s="14"/>
      <c r="AJ58" s="14"/>
      <c r="AK58" s="14"/>
    </row>
    <row r="59" spans="2:37" ht="15.75" customHeight="1" x14ac:dyDescent="0.25">
      <c r="B59" s="145"/>
      <c r="C59" s="145"/>
      <c r="D59" s="145"/>
      <c r="E59" s="145"/>
      <c r="F59" s="7" t="s">
        <v>267</v>
      </c>
      <c r="G59" s="7" t="s">
        <v>344</v>
      </c>
      <c r="H59" s="7" t="s">
        <v>338</v>
      </c>
      <c r="I59" s="7" t="s">
        <v>345</v>
      </c>
      <c r="J59" s="8">
        <v>30</v>
      </c>
      <c r="K59" s="101">
        <v>2</v>
      </c>
      <c r="L59" s="102">
        <f t="shared" si="42"/>
        <v>12228002</v>
      </c>
      <c r="M59" s="102">
        <f t="shared" si="43"/>
        <v>324.99</v>
      </c>
      <c r="N59" s="102">
        <f t="shared" si="35"/>
        <v>978266.15919999999</v>
      </c>
      <c r="O59" s="102">
        <f t="shared" si="0"/>
        <v>26413186</v>
      </c>
      <c r="P59" s="9">
        <f t="shared" si="1"/>
        <v>13206593</v>
      </c>
      <c r="Q59" s="10">
        <f t="shared" si="36"/>
        <v>2641318.6</v>
      </c>
      <c r="R59" s="9">
        <f t="shared" si="37"/>
        <v>501850.53400000004</v>
      </c>
      <c r="S59" s="9">
        <f t="shared" si="4"/>
        <v>26915037</v>
      </c>
      <c r="T59" s="105"/>
      <c r="U59" s="33"/>
      <c r="V59" s="33"/>
      <c r="W59" s="35"/>
      <c r="X59" s="35"/>
      <c r="Y59" s="108">
        <v>4703841.6785409814</v>
      </c>
      <c r="Z59" s="109">
        <f t="shared" si="5"/>
        <v>-22211195.321459018</v>
      </c>
      <c r="AA59" s="34"/>
      <c r="AB59" s="108">
        <f t="shared" si="38"/>
        <v>26915037</v>
      </c>
      <c r="AC59" s="110">
        <v>21272894.016319532</v>
      </c>
      <c r="AD59" s="110">
        <f t="shared" si="39"/>
        <v>-5642142.9836804681</v>
      </c>
      <c r="AE59" s="41">
        <f t="shared" si="40"/>
        <v>17018315.213055626</v>
      </c>
      <c r="AF59" s="41">
        <f t="shared" si="41"/>
        <v>9896721.7869443744</v>
      </c>
      <c r="AG59" s="35"/>
      <c r="AH59" s="115">
        <f t="shared" si="9"/>
        <v>2039382570</v>
      </c>
      <c r="AI59" s="14"/>
      <c r="AJ59" s="14"/>
      <c r="AK59" s="14"/>
    </row>
    <row r="60" spans="2:37" ht="15.75" customHeight="1" x14ac:dyDescent="0.25">
      <c r="B60" s="145"/>
      <c r="C60" s="145"/>
      <c r="D60" s="145"/>
      <c r="E60" s="145"/>
      <c r="F60" s="7" t="s">
        <v>267</v>
      </c>
      <c r="G60" s="7" t="s">
        <v>346</v>
      </c>
      <c r="H60" s="7" t="s">
        <v>338</v>
      </c>
      <c r="I60" s="7" t="s">
        <v>343</v>
      </c>
      <c r="J60" s="8">
        <v>30</v>
      </c>
      <c r="K60" s="101">
        <v>1</v>
      </c>
      <c r="L60" s="102">
        <f t="shared" si="42"/>
        <v>12228002</v>
      </c>
      <c r="M60" s="102">
        <f t="shared" si="43"/>
        <v>324.99</v>
      </c>
      <c r="N60" s="102">
        <f t="shared" si="35"/>
        <v>978266.15919999999</v>
      </c>
      <c r="O60" s="102">
        <f t="shared" si="0"/>
        <v>13206593</v>
      </c>
      <c r="P60" s="9">
        <f t="shared" si="1"/>
        <v>13206593</v>
      </c>
      <c r="Q60" s="10">
        <f t="shared" si="36"/>
        <v>1320659.3</v>
      </c>
      <c r="R60" s="9">
        <f t="shared" si="37"/>
        <v>250925.26700000002</v>
      </c>
      <c r="S60" s="9">
        <f t="shared" si="4"/>
        <v>13457518</v>
      </c>
      <c r="T60" s="105"/>
      <c r="U60" s="33"/>
      <c r="V60" s="33"/>
      <c r="W60" s="35"/>
      <c r="X60" s="35"/>
      <c r="Y60" s="108">
        <v>10636447.008159766</v>
      </c>
      <c r="Z60" s="109">
        <f t="shared" si="5"/>
        <v>-2821070.991840234</v>
      </c>
      <c r="AA60" s="34"/>
      <c r="AB60" s="108">
        <f t="shared" si="38"/>
        <v>13457518</v>
      </c>
      <c r="AC60" s="110">
        <v>10636447.008159766</v>
      </c>
      <c r="AD60" s="110">
        <f t="shared" si="39"/>
        <v>-2821070.991840234</v>
      </c>
      <c r="AE60" s="41">
        <f t="shared" si="40"/>
        <v>8509157.6065278128</v>
      </c>
      <c r="AF60" s="41">
        <f t="shared" si="41"/>
        <v>4948360.3934721872</v>
      </c>
      <c r="AG60" s="35"/>
      <c r="AH60" s="115">
        <f t="shared" si="9"/>
        <v>2052840088</v>
      </c>
      <c r="AI60" s="14"/>
      <c r="AJ60" s="14"/>
      <c r="AK60" s="14"/>
    </row>
    <row r="61" spans="2:37" ht="14.25" customHeight="1" x14ac:dyDescent="0.25">
      <c r="B61" s="145"/>
      <c r="C61" s="145"/>
      <c r="D61" s="128"/>
      <c r="E61" s="128"/>
      <c r="F61" s="7" t="s">
        <v>421</v>
      </c>
      <c r="G61" s="7" t="s">
        <v>348</v>
      </c>
      <c r="H61" s="7" t="s">
        <v>338</v>
      </c>
      <c r="I61" s="7" t="s">
        <v>349</v>
      </c>
      <c r="J61" s="8">
        <v>30</v>
      </c>
      <c r="K61" s="101">
        <v>12</v>
      </c>
      <c r="L61" s="102">
        <f>9.06*1300000</f>
        <v>11778000</v>
      </c>
      <c r="M61" s="102">
        <f t="shared" si="43"/>
        <v>324.99</v>
      </c>
      <c r="N61" s="102">
        <f t="shared" si="35"/>
        <v>942265.99920000008</v>
      </c>
      <c r="O61" s="102">
        <f t="shared" si="0"/>
        <v>152647092</v>
      </c>
      <c r="P61" s="9">
        <f t="shared" si="1"/>
        <v>12720591</v>
      </c>
      <c r="Q61" s="10">
        <f t="shared" si="36"/>
        <v>15264709.200000001</v>
      </c>
      <c r="R61" s="9">
        <f t="shared" si="37"/>
        <v>2900294.7480000001</v>
      </c>
      <c r="S61" s="9">
        <f t="shared" si="4"/>
        <v>155547387</v>
      </c>
      <c r="T61" s="105"/>
      <c r="U61" s="33"/>
      <c r="V61" s="33"/>
      <c r="W61" s="35"/>
      <c r="X61" s="35"/>
      <c r="Y61" s="108">
        <v>10636447.008159766</v>
      </c>
      <c r="Z61" s="109">
        <f t="shared" si="5"/>
        <v>-144910939.99184024</v>
      </c>
      <c r="AA61" s="34"/>
      <c r="AB61" s="108">
        <f t="shared" si="38"/>
        <v>155547387</v>
      </c>
      <c r="AC61" s="110">
        <v>106364470.08159767</v>
      </c>
      <c r="AD61" s="110">
        <f t="shared" si="39"/>
        <v>-49182916.918402329</v>
      </c>
      <c r="AE61" s="41">
        <f t="shared" si="40"/>
        <v>85091576.065278143</v>
      </c>
      <c r="AF61" s="41">
        <f t="shared" si="41"/>
        <v>70455810.934721857</v>
      </c>
      <c r="AG61" s="35"/>
      <c r="AH61" s="115">
        <f t="shared" si="9"/>
        <v>2208387475</v>
      </c>
      <c r="AI61" s="14"/>
      <c r="AJ61" s="14"/>
      <c r="AK61" s="14"/>
    </row>
    <row r="62" spans="2:37" ht="15.75" customHeight="1" x14ac:dyDescent="0.25">
      <c r="B62" s="145"/>
      <c r="C62" s="145"/>
      <c r="D62" s="168" t="s">
        <v>279</v>
      </c>
      <c r="E62" s="168" t="s">
        <v>280</v>
      </c>
      <c r="F62" s="168" t="s">
        <v>281</v>
      </c>
      <c r="G62" s="7" t="s">
        <v>350</v>
      </c>
      <c r="H62" s="7" t="s">
        <v>338</v>
      </c>
      <c r="I62" s="7" t="s">
        <v>351</v>
      </c>
      <c r="J62" s="8">
        <v>30</v>
      </c>
      <c r="K62" s="101">
        <v>1</v>
      </c>
      <c r="L62" s="102">
        <f>9.06*1300000+2+450000</f>
        <v>12228002</v>
      </c>
      <c r="M62" s="102">
        <f t="shared" si="43"/>
        <v>324.99</v>
      </c>
      <c r="N62" s="102">
        <f t="shared" si="35"/>
        <v>978266.15919999999</v>
      </c>
      <c r="O62" s="102">
        <f t="shared" si="0"/>
        <v>13206593</v>
      </c>
      <c r="P62" s="9">
        <f t="shared" si="1"/>
        <v>13206593</v>
      </c>
      <c r="Q62" s="10">
        <f t="shared" si="36"/>
        <v>1320659.3</v>
      </c>
      <c r="R62" s="9">
        <f t="shared" si="37"/>
        <v>250925.26700000002</v>
      </c>
      <c r="S62" s="9">
        <f t="shared" si="4"/>
        <v>13457518</v>
      </c>
      <c r="T62" s="105"/>
      <c r="U62" s="33"/>
      <c r="V62" s="33"/>
      <c r="W62" s="35"/>
      <c r="X62" s="35"/>
      <c r="Y62" s="108">
        <v>21272894.016319532</v>
      </c>
      <c r="Z62" s="109">
        <f t="shared" si="5"/>
        <v>7815376.0163195319</v>
      </c>
      <c r="AA62" s="34"/>
      <c r="AB62" s="108">
        <f t="shared" si="38"/>
        <v>13457518</v>
      </c>
      <c r="AC62" s="110">
        <v>10636447.008159766</v>
      </c>
      <c r="AD62" s="110">
        <f t="shared" si="39"/>
        <v>-2821070.991840234</v>
      </c>
      <c r="AE62" s="41">
        <f t="shared" si="40"/>
        <v>8509157.6065278128</v>
      </c>
      <c r="AF62" s="41">
        <f t="shared" si="41"/>
        <v>4948360.3934721872</v>
      </c>
      <c r="AG62" s="35"/>
      <c r="AH62" s="115">
        <f t="shared" si="9"/>
        <v>2221844993</v>
      </c>
      <c r="AI62" s="14"/>
      <c r="AJ62" s="14"/>
      <c r="AK62" s="14"/>
    </row>
    <row r="63" spans="2:37" ht="15.75" customHeight="1" x14ac:dyDescent="0.25">
      <c r="B63" s="145"/>
      <c r="C63" s="145"/>
      <c r="D63" s="128"/>
      <c r="E63" s="128"/>
      <c r="F63" s="128"/>
      <c r="G63" s="7" t="s">
        <v>352</v>
      </c>
      <c r="H63" s="7" t="s">
        <v>338</v>
      </c>
      <c r="I63" s="7" t="s">
        <v>353</v>
      </c>
      <c r="J63" s="8">
        <v>30</v>
      </c>
      <c r="K63" s="101">
        <v>1</v>
      </c>
      <c r="L63" s="102">
        <f>(9.06*1300000*55.97%)+(9.06*1300000*44.03%/9*1)</f>
        <v>7168352.5333333332</v>
      </c>
      <c r="M63" s="102">
        <f>+(W$2*55.97%)+(W2*44.03%/9*1)</f>
        <v>197.79613600000002</v>
      </c>
      <c r="N63" s="102">
        <f t="shared" si="35"/>
        <v>573484.02635754668</v>
      </c>
      <c r="O63" s="102">
        <f t="shared" si="0"/>
        <v>7742034</v>
      </c>
      <c r="P63" s="9">
        <f t="shared" si="1"/>
        <v>7742034</v>
      </c>
      <c r="Q63" s="10">
        <f t="shared" si="36"/>
        <v>774203.4</v>
      </c>
      <c r="R63" s="9">
        <f t="shared" si="37"/>
        <v>147098.64600000001</v>
      </c>
      <c r="S63" s="9">
        <f t="shared" si="4"/>
        <v>7889133</v>
      </c>
      <c r="T63" s="105"/>
      <c r="U63" s="33"/>
      <c r="V63" s="33"/>
      <c r="W63" s="35"/>
      <c r="X63" s="35"/>
      <c r="Y63" s="108">
        <v>10636447.008159766</v>
      </c>
      <c r="Z63" s="109">
        <f t="shared" si="5"/>
        <v>2747314.008159766</v>
      </c>
      <c r="AA63" s="34"/>
      <c r="AB63" s="108">
        <f t="shared" si="38"/>
        <v>7889133</v>
      </c>
      <c r="AC63" s="110">
        <v>7737445.0613655103</v>
      </c>
      <c r="AD63" s="110">
        <f t="shared" si="39"/>
        <v>-151687.93863448966</v>
      </c>
      <c r="AE63" s="41">
        <f t="shared" si="40"/>
        <v>6189956.0490924083</v>
      </c>
      <c r="AF63" s="41">
        <f t="shared" si="41"/>
        <v>1699176.9509075917</v>
      </c>
      <c r="AG63" s="35"/>
      <c r="AH63" s="115">
        <f t="shared" si="9"/>
        <v>2229734126</v>
      </c>
      <c r="AI63" s="14"/>
      <c r="AJ63" s="14"/>
      <c r="AK63" s="14"/>
    </row>
    <row r="64" spans="2:37" ht="15.75" customHeight="1" x14ac:dyDescent="0.25">
      <c r="B64" s="145"/>
      <c r="C64" s="145"/>
      <c r="D64" s="168" t="s">
        <v>278</v>
      </c>
      <c r="E64" s="168" t="s">
        <v>286</v>
      </c>
      <c r="F64" s="168" t="s">
        <v>287</v>
      </c>
      <c r="G64" s="7" t="s">
        <v>354</v>
      </c>
      <c r="H64" s="7" t="s">
        <v>338</v>
      </c>
      <c r="I64" s="7" t="s">
        <v>355</v>
      </c>
      <c r="J64" s="8">
        <v>30</v>
      </c>
      <c r="K64" s="101">
        <v>1</v>
      </c>
      <c r="L64" s="102">
        <f>(9.06*1300000*55.97%)+(9.06*1300000*44.03%/9*1)+2</f>
        <v>7168354.5333333332</v>
      </c>
      <c r="M64" s="102">
        <f>+(W$2*55.97%)+(W2*44.03%/9*1)</f>
        <v>197.79613600000002</v>
      </c>
      <c r="N64" s="102">
        <f t="shared" si="35"/>
        <v>573484.18635754671</v>
      </c>
      <c r="O64" s="102">
        <f t="shared" si="0"/>
        <v>7742037</v>
      </c>
      <c r="P64" s="9">
        <f t="shared" si="1"/>
        <v>7742037</v>
      </c>
      <c r="Q64" s="10">
        <f t="shared" si="36"/>
        <v>774203.70000000007</v>
      </c>
      <c r="R64" s="9">
        <f t="shared" si="37"/>
        <v>147098.70300000001</v>
      </c>
      <c r="S64" s="9">
        <f t="shared" si="4"/>
        <v>7889136</v>
      </c>
      <c r="T64" s="105"/>
      <c r="U64" s="33"/>
      <c r="V64" s="33"/>
      <c r="W64" s="35"/>
      <c r="X64" s="35"/>
      <c r="Y64" s="108">
        <v>106364470.08159767</v>
      </c>
      <c r="Z64" s="109">
        <f t="shared" si="5"/>
        <v>98475334.081597671</v>
      </c>
      <c r="AA64" s="34"/>
      <c r="AB64" s="108">
        <f t="shared" si="38"/>
        <v>7889136</v>
      </c>
      <c r="AC64" s="110">
        <v>6230950.2164377533</v>
      </c>
      <c r="AD64" s="110">
        <f t="shared" si="39"/>
        <v>-1658185.7835622467</v>
      </c>
      <c r="AE64" s="41">
        <f t="shared" si="40"/>
        <v>4984760.1731502032</v>
      </c>
      <c r="AF64" s="41">
        <f t="shared" si="41"/>
        <v>2904375.8268497968</v>
      </c>
      <c r="AG64" s="35"/>
      <c r="AH64" s="115">
        <f t="shared" si="9"/>
        <v>2237623262</v>
      </c>
      <c r="AI64" s="14"/>
      <c r="AJ64" s="14"/>
      <c r="AK64" s="14"/>
    </row>
    <row r="65" spans="2:37" ht="15.75" customHeight="1" x14ac:dyDescent="0.25">
      <c r="B65" s="145"/>
      <c r="C65" s="145"/>
      <c r="D65" s="128"/>
      <c r="E65" s="128"/>
      <c r="F65" s="128"/>
      <c r="G65" s="7" t="s">
        <v>340</v>
      </c>
      <c r="H65" s="7" t="s">
        <v>338</v>
      </c>
      <c r="I65" s="7" t="s">
        <v>356</v>
      </c>
      <c r="J65" s="8">
        <v>30</v>
      </c>
      <c r="K65" s="101">
        <v>1</v>
      </c>
      <c r="L65" s="102">
        <f t="shared" ref="L65:L67" si="44">9.06*1300000+2+450000</f>
        <v>12228002</v>
      </c>
      <c r="M65" s="102">
        <f t="shared" ref="M65:M69" si="45">+W$2</f>
        <v>324.99</v>
      </c>
      <c r="N65" s="102">
        <f t="shared" si="35"/>
        <v>978266.15919999999</v>
      </c>
      <c r="O65" s="102">
        <f t="shared" si="0"/>
        <v>13206593</v>
      </c>
      <c r="P65" s="9">
        <f t="shared" si="1"/>
        <v>13206593</v>
      </c>
      <c r="Q65" s="10">
        <f t="shared" si="36"/>
        <v>1320659.3</v>
      </c>
      <c r="R65" s="9">
        <f t="shared" si="37"/>
        <v>250925.26700000002</v>
      </c>
      <c r="S65" s="9">
        <f t="shared" si="4"/>
        <v>13457518</v>
      </c>
      <c r="T65" s="105"/>
      <c r="U65" s="33"/>
      <c r="V65" s="33"/>
      <c r="W65" s="35"/>
      <c r="X65" s="35"/>
      <c r="Y65" s="108">
        <v>10636447.008159766</v>
      </c>
      <c r="Z65" s="109">
        <f t="shared" si="5"/>
        <v>-2821070.991840234</v>
      </c>
      <c r="AA65" s="34"/>
      <c r="AB65" s="108">
        <f t="shared" si="38"/>
        <v>13457518</v>
      </c>
      <c r="AC65" s="110">
        <v>10636447.008159766</v>
      </c>
      <c r="AD65" s="110">
        <f t="shared" si="39"/>
        <v>-2821070.991840234</v>
      </c>
      <c r="AE65" s="41">
        <f t="shared" si="40"/>
        <v>8509157.6065278128</v>
      </c>
      <c r="AF65" s="41">
        <f t="shared" si="41"/>
        <v>4948360.3934721872</v>
      </c>
      <c r="AG65" s="35"/>
      <c r="AH65" s="115">
        <f t="shared" si="9"/>
        <v>2251080780</v>
      </c>
      <c r="AI65" s="14"/>
      <c r="AJ65" s="14"/>
      <c r="AK65" s="14"/>
    </row>
    <row r="66" spans="2:37" ht="15.75" customHeight="1" x14ac:dyDescent="0.25">
      <c r="B66" s="147"/>
      <c r="C66" s="147"/>
      <c r="D66" s="169" t="s">
        <v>140</v>
      </c>
      <c r="E66" s="169" t="s">
        <v>141</v>
      </c>
      <c r="F66" s="169" t="s">
        <v>289</v>
      </c>
      <c r="G66" s="150" t="s">
        <v>340</v>
      </c>
      <c r="H66" s="150" t="s">
        <v>338</v>
      </c>
      <c r="I66" s="150" t="s">
        <v>357</v>
      </c>
      <c r="J66" s="151">
        <v>30</v>
      </c>
      <c r="K66" s="170">
        <v>1</v>
      </c>
      <c r="L66" s="152">
        <f t="shared" si="44"/>
        <v>12228002</v>
      </c>
      <c r="M66" s="152">
        <f t="shared" si="45"/>
        <v>324.99</v>
      </c>
      <c r="N66" s="152">
        <f t="shared" si="35"/>
        <v>978266.15919999999</v>
      </c>
      <c r="O66" s="152">
        <f t="shared" si="0"/>
        <v>13206593</v>
      </c>
      <c r="P66" s="153">
        <f t="shared" si="1"/>
        <v>13206593</v>
      </c>
      <c r="Q66" s="154">
        <v>0</v>
      </c>
      <c r="R66" s="153">
        <v>0</v>
      </c>
      <c r="S66" s="153">
        <f t="shared" si="4"/>
        <v>13206593</v>
      </c>
      <c r="T66" s="155"/>
      <c r="U66" s="156"/>
      <c r="V66" s="156"/>
      <c r="W66" s="157"/>
      <c r="X66" s="157"/>
      <c r="Y66" s="158">
        <v>7737445.0613655103</v>
      </c>
      <c r="Z66" s="159">
        <f t="shared" si="5"/>
        <v>-5469147.9386344897</v>
      </c>
      <c r="AA66" s="160"/>
      <c r="AB66" s="158">
        <f t="shared" si="38"/>
        <v>13206593</v>
      </c>
      <c r="AC66" s="171">
        <v>10438122.677291233</v>
      </c>
      <c r="AD66" s="171">
        <f t="shared" si="39"/>
        <v>-2768470.3227087669</v>
      </c>
      <c r="AE66" s="161">
        <f t="shared" si="40"/>
        <v>8350498.1418329868</v>
      </c>
      <c r="AF66" s="161">
        <f t="shared" si="41"/>
        <v>4856094.8581670132</v>
      </c>
      <c r="AG66" s="157"/>
      <c r="AH66" s="163">
        <f t="shared" si="9"/>
        <v>2264287373</v>
      </c>
      <c r="AI66" s="146"/>
      <c r="AJ66" s="146"/>
      <c r="AK66" s="146"/>
    </row>
    <row r="67" spans="2:37" ht="15.75" customHeight="1" x14ac:dyDescent="0.25">
      <c r="B67" s="147"/>
      <c r="C67" s="147"/>
      <c r="D67" s="165"/>
      <c r="E67" s="165"/>
      <c r="F67" s="165"/>
      <c r="G67" s="150" t="s">
        <v>358</v>
      </c>
      <c r="H67" s="150" t="s">
        <v>338</v>
      </c>
      <c r="I67" s="150" t="s">
        <v>359</v>
      </c>
      <c r="J67" s="151">
        <v>30</v>
      </c>
      <c r="K67" s="170">
        <v>2</v>
      </c>
      <c r="L67" s="152">
        <f t="shared" si="44"/>
        <v>12228002</v>
      </c>
      <c r="M67" s="152">
        <f t="shared" si="45"/>
        <v>324.99</v>
      </c>
      <c r="N67" s="152">
        <f t="shared" si="35"/>
        <v>978266.15919999999</v>
      </c>
      <c r="O67" s="152">
        <f t="shared" si="0"/>
        <v>26413186</v>
      </c>
      <c r="P67" s="153">
        <f t="shared" si="1"/>
        <v>13206593</v>
      </c>
      <c r="Q67" s="154">
        <v>0</v>
      </c>
      <c r="R67" s="153">
        <v>0</v>
      </c>
      <c r="S67" s="153">
        <f t="shared" si="4"/>
        <v>26413186</v>
      </c>
      <c r="T67" s="155"/>
      <c r="U67" s="156"/>
      <c r="V67" s="156"/>
      <c r="W67" s="157"/>
      <c r="X67" s="157"/>
      <c r="Y67" s="158">
        <v>6230950.2164377533</v>
      </c>
      <c r="Z67" s="159">
        <f t="shared" si="5"/>
        <v>-20182235.783562247</v>
      </c>
      <c r="AA67" s="160"/>
      <c r="AB67" s="158">
        <f t="shared" si="38"/>
        <v>26413186</v>
      </c>
      <c r="AC67" s="171">
        <v>20876245.354582466</v>
      </c>
      <c r="AD67" s="171">
        <f t="shared" si="39"/>
        <v>-5536940.6454175338</v>
      </c>
      <c r="AE67" s="161">
        <f t="shared" si="40"/>
        <v>16700996.283665974</v>
      </c>
      <c r="AF67" s="161">
        <f t="shared" si="41"/>
        <v>9712189.7163340263</v>
      </c>
      <c r="AG67" s="157"/>
      <c r="AH67" s="163">
        <f t="shared" si="9"/>
        <v>2290700559</v>
      </c>
      <c r="AI67" s="146"/>
      <c r="AJ67" s="146"/>
      <c r="AK67" s="146"/>
    </row>
    <row r="68" spans="2:37" ht="15.75" customHeight="1" x14ac:dyDescent="0.25">
      <c r="B68" s="145"/>
      <c r="C68" s="145"/>
      <c r="D68" s="168" t="s">
        <v>292</v>
      </c>
      <c r="E68" s="168" t="s">
        <v>293</v>
      </c>
      <c r="F68" s="168" t="s">
        <v>294</v>
      </c>
      <c r="G68" s="7" t="s">
        <v>360</v>
      </c>
      <c r="H68" s="7" t="s">
        <v>338</v>
      </c>
      <c r="I68" s="7" t="s">
        <v>361</v>
      </c>
      <c r="J68" s="8">
        <v>30</v>
      </c>
      <c r="K68" s="101">
        <v>1</v>
      </c>
      <c r="L68" s="102">
        <f>9.06*1300000+2</f>
        <v>11778002</v>
      </c>
      <c r="M68" s="102">
        <f t="shared" si="45"/>
        <v>324.99</v>
      </c>
      <c r="N68" s="102">
        <f t="shared" si="35"/>
        <v>942266.15919999999</v>
      </c>
      <c r="O68" s="102">
        <f t="shared" si="0"/>
        <v>12720593</v>
      </c>
      <c r="P68" s="9">
        <f t="shared" si="1"/>
        <v>12720593</v>
      </c>
      <c r="Q68" s="10">
        <f t="shared" ref="Q68:Q77" si="46">+O68*10%</f>
        <v>1272059.3</v>
      </c>
      <c r="R68" s="9">
        <f t="shared" ref="R68:R77" si="47">+Q68*19%</f>
        <v>241691.26700000002</v>
      </c>
      <c r="S68" s="9">
        <f t="shared" si="4"/>
        <v>12962284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-2325836.991840234</v>
      </c>
      <c r="AA68" s="34"/>
      <c r="AB68" s="108">
        <f t="shared" si="38"/>
        <v>12962284</v>
      </c>
      <c r="AC68" s="110">
        <v>10636447.008159766</v>
      </c>
      <c r="AD68" s="110">
        <f t="shared" si="39"/>
        <v>-2325836.991840234</v>
      </c>
      <c r="AE68" s="41">
        <f t="shared" si="40"/>
        <v>8509157.6065278128</v>
      </c>
      <c r="AF68" s="41">
        <f t="shared" si="41"/>
        <v>4453126.3934721872</v>
      </c>
      <c r="AG68" s="35"/>
      <c r="AH68" s="115">
        <f t="shared" si="9"/>
        <v>2303662843</v>
      </c>
      <c r="AI68" s="14"/>
      <c r="AJ68" s="14"/>
      <c r="AK68" s="14"/>
    </row>
    <row r="69" spans="2:37" ht="15.75" customHeight="1" x14ac:dyDescent="0.25">
      <c r="B69" s="145"/>
      <c r="C69" s="145"/>
      <c r="D69" s="145"/>
      <c r="E69" s="128"/>
      <c r="F69" s="128"/>
      <c r="G69" s="7" t="s">
        <v>340</v>
      </c>
      <c r="H69" s="7" t="s">
        <v>338</v>
      </c>
      <c r="I69" s="7" t="s">
        <v>362</v>
      </c>
      <c r="J69" s="8">
        <v>30</v>
      </c>
      <c r="K69" s="101">
        <v>1</v>
      </c>
      <c r="L69" s="102">
        <f>9.06*1300000+2+450000</f>
        <v>12228002</v>
      </c>
      <c r="M69" s="102">
        <f t="shared" si="45"/>
        <v>324.99</v>
      </c>
      <c r="N69" s="102">
        <f t="shared" si="35"/>
        <v>978266.15919999999</v>
      </c>
      <c r="O69" s="102">
        <f t="shared" si="0"/>
        <v>13206593</v>
      </c>
      <c r="P69" s="9">
        <f t="shared" si="1"/>
        <v>13206593</v>
      </c>
      <c r="Q69" s="10">
        <f t="shared" si="46"/>
        <v>1320659.3</v>
      </c>
      <c r="R69" s="9">
        <f t="shared" si="47"/>
        <v>250925.26700000002</v>
      </c>
      <c r="S69" s="9">
        <f t="shared" si="4"/>
        <v>13457518</v>
      </c>
      <c r="T69" s="105"/>
      <c r="U69" s="33"/>
      <c r="V69" s="33"/>
      <c r="W69" s="35"/>
      <c r="X69" s="35"/>
      <c r="Y69" s="108">
        <v>10438122.677291233</v>
      </c>
      <c r="Z69" s="109">
        <f t="shared" si="5"/>
        <v>-3019395.3227087669</v>
      </c>
      <c r="AA69" s="34"/>
      <c r="AB69" s="108">
        <f t="shared" si="38"/>
        <v>13457518</v>
      </c>
      <c r="AC69" s="110">
        <v>10636447.008159766</v>
      </c>
      <c r="AD69" s="110">
        <f t="shared" si="39"/>
        <v>-2821070.991840234</v>
      </c>
      <c r="AE69" s="41">
        <f t="shared" si="40"/>
        <v>8509157.6065278128</v>
      </c>
      <c r="AF69" s="41">
        <f t="shared" si="41"/>
        <v>4948360.3934721872</v>
      </c>
      <c r="AG69" s="35"/>
      <c r="AH69" s="115">
        <f t="shared" si="9"/>
        <v>2317120361</v>
      </c>
      <c r="AI69" s="14"/>
      <c r="AJ69" s="14"/>
      <c r="AK69" s="14"/>
    </row>
    <row r="70" spans="2:37" ht="15.75" customHeight="1" x14ac:dyDescent="0.25">
      <c r="B70" s="145"/>
      <c r="C70" s="145"/>
      <c r="D70" s="128"/>
      <c r="E70" s="7" t="s">
        <v>296</v>
      </c>
      <c r="F70" s="7" t="s">
        <v>363</v>
      </c>
      <c r="G70" s="7" t="s">
        <v>364</v>
      </c>
      <c r="H70" s="7" t="s">
        <v>338</v>
      </c>
      <c r="I70" s="7" t="s">
        <v>365</v>
      </c>
      <c r="J70" s="8">
        <v>30</v>
      </c>
      <c r="K70" s="101">
        <v>1</v>
      </c>
      <c r="L70" s="102">
        <f t="shared" ref="L70:L71" si="48">9.06*1300000*55.97%/15*12+2</f>
        <v>5273719.28</v>
      </c>
      <c r="M70" s="102">
        <f t="shared" ref="M70:M71" si="49">+W$2*55.97%/15*12</f>
        <v>145.51752240000002</v>
      </c>
      <c r="N70" s="102">
        <f t="shared" si="35"/>
        <v>421909.18380179204</v>
      </c>
      <c r="O70" s="102">
        <f t="shared" si="0"/>
        <v>5695774</v>
      </c>
      <c r="P70" s="9">
        <f t="shared" si="1"/>
        <v>5695774</v>
      </c>
      <c r="Q70" s="10">
        <f t="shared" si="46"/>
        <v>569577.4</v>
      </c>
      <c r="R70" s="9">
        <f t="shared" si="47"/>
        <v>108219.70600000001</v>
      </c>
      <c r="S70" s="9">
        <f t="shared" si="4"/>
        <v>5803994</v>
      </c>
      <c r="T70" s="105"/>
      <c r="U70" s="33"/>
      <c r="V70" s="33"/>
      <c r="W70" s="35"/>
      <c r="X70" s="35"/>
      <c r="Y70" s="108">
        <v>20876245.354582466</v>
      </c>
      <c r="Z70" s="109">
        <f t="shared" si="5"/>
        <v>15072251.354582466</v>
      </c>
      <c r="AA70" s="34"/>
      <c r="AB70" s="108">
        <f t="shared" si="38"/>
        <v>5803994</v>
      </c>
      <c r="AC70" s="110">
        <v>5202345.3234609812</v>
      </c>
      <c r="AD70" s="110">
        <f t="shared" si="39"/>
        <v>-601648.67653901875</v>
      </c>
      <c r="AE70" s="41">
        <f t="shared" si="40"/>
        <v>4161876.2587687853</v>
      </c>
      <c r="AF70" s="41">
        <f t="shared" si="41"/>
        <v>1642117.7412312147</v>
      </c>
      <c r="AG70" s="35"/>
      <c r="AH70" s="115">
        <f t="shared" si="9"/>
        <v>2322924355</v>
      </c>
      <c r="AI70" s="14"/>
      <c r="AJ70" s="14"/>
      <c r="AK70" s="14"/>
    </row>
    <row r="71" spans="2:37" ht="15.75" customHeight="1" x14ac:dyDescent="0.25">
      <c r="B71" s="145"/>
      <c r="C71" s="145"/>
      <c r="D71" s="168" t="s">
        <v>300</v>
      </c>
      <c r="E71" s="168" t="s">
        <v>301</v>
      </c>
      <c r="F71" s="168" t="s">
        <v>302</v>
      </c>
      <c r="G71" s="7" t="s">
        <v>366</v>
      </c>
      <c r="H71" s="7" t="s">
        <v>338</v>
      </c>
      <c r="I71" s="7" t="s">
        <v>367</v>
      </c>
      <c r="J71" s="8">
        <v>30</v>
      </c>
      <c r="K71" s="101">
        <v>1</v>
      </c>
      <c r="L71" s="102">
        <f t="shared" si="48"/>
        <v>5273719.28</v>
      </c>
      <c r="M71" s="102">
        <f t="shared" si="49"/>
        <v>145.51752240000002</v>
      </c>
      <c r="N71" s="102">
        <f t="shared" si="35"/>
        <v>421909.18380179204</v>
      </c>
      <c r="O71" s="102">
        <f t="shared" si="0"/>
        <v>5695774</v>
      </c>
      <c r="P71" s="9">
        <f t="shared" si="1"/>
        <v>5695774</v>
      </c>
      <c r="Q71" s="10">
        <f t="shared" si="46"/>
        <v>569577.4</v>
      </c>
      <c r="R71" s="9">
        <f t="shared" si="47"/>
        <v>108219.70600000001</v>
      </c>
      <c r="S71" s="9">
        <f t="shared" si="4"/>
        <v>5803994</v>
      </c>
      <c r="T71" s="105"/>
      <c r="U71" s="33"/>
      <c r="V71" s="33"/>
      <c r="W71" s="35"/>
      <c r="X71" s="35"/>
      <c r="Y71" s="108">
        <v>10636447.008159766</v>
      </c>
      <c r="Z71" s="109">
        <f t="shared" si="5"/>
        <v>4832453.008159766</v>
      </c>
      <c r="AA71" s="34"/>
      <c r="AB71" s="108">
        <f t="shared" si="38"/>
        <v>5803994</v>
      </c>
      <c r="AC71" s="110">
        <v>4703841.6785409814</v>
      </c>
      <c r="AD71" s="110">
        <f t="shared" si="39"/>
        <v>-1100152.3214590186</v>
      </c>
      <c r="AE71" s="41">
        <f t="shared" si="40"/>
        <v>3763073.3428327851</v>
      </c>
      <c r="AF71" s="41">
        <f t="shared" si="41"/>
        <v>2040920.6571672149</v>
      </c>
      <c r="AG71" s="35"/>
      <c r="AH71" s="115">
        <f t="shared" si="9"/>
        <v>2328728349</v>
      </c>
      <c r="AI71" s="14"/>
      <c r="AJ71" s="14"/>
      <c r="AK71" s="14"/>
    </row>
    <row r="72" spans="2:37" ht="15.75" customHeight="1" x14ac:dyDescent="0.25">
      <c r="B72" s="145"/>
      <c r="C72" s="145"/>
      <c r="D72" s="128"/>
      <c r="E72" s="128"/>
      <c r="F72" s="128"/>
      <c r="G72" s="7" t="s">
        <v>368</v>
      </c>
      <c r="H72" s="7" t="s">
        <v>338</v>
      </c>
      <c r="I72" s="7" t="s">
        <v>369</v>
      </c>
      <c r="J72" s="8">
        <v>30</v>
      </c>
      <c r="K72" s="101">
        <v>1</v>
      </c>
      <c r="L72" s="102">
        <f>9.06*1300000+2+450000</f>
        <v>12228002</v>
      </c>
      <c r="M72" s="102">
        <f>+W$2</f>
        <v>324.99</v>
      </c>
      <c r="N72" s="102">
        <f t="shared" si="35"/>
        <v>978266.15919999999</v>
      </c>
      <c r="O72" s="102">
        <f t="shared" si="0"/>
        <v>13206593</v>
      </c>
      <c r="P72" s="9">
        <f t="shared" si="1"/>
        <v>13206593</v>
      </c>
      <c r="Q72" s="10">
        <f t="shared" si="46"/>
        <v>1320659.3</v>
      </c>
      <c r="R72" s="9">
        <f t="shared" si="47"/>
        <v>250925.26700000002</v>
      </c>
      <c r="S72" s="9">
        <f t="shared" si="4"/>
        <v>13457518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-2821070.991840234</v>
      </c>
      <c r="AA72" s="34"/>
      <c r="AB72" s="108">
        <f t="shared" si="38"/>
        <v>13457518</v>
      </c>
      <c r="AC72" s="110">
        <v>10636447.008159766</v>
      </c>
      <c r="AD72" s="110">
        <f t="shared" si="39"/>
        <v>-2821070.991840234</v>
      </c>
      <c r="AE72" s="41">
        <f t="shared" si="40"/>
        <v>8509157.6065278128</v>
      </c>
      <c r="AF72" s="41">
        <f t="shared" si="41"/>
        <v>4948360.3934721872</v>
      </c>
      <c r="AG72" s="35"/>
      <c r="AH72" s="115">
        <f t="shared" si="9"/>
        <v>2342185867</v>
      </c>
      <c r="AI72" s="14"/>
      <c r="AJ72" s="14"/>
      <c r="AK72" s="14"/>
    </row>
    <row r="73" spans="2:37" ht="15.75" customHeight="1" x14ac:dyDescent="0.25">
      <c r="B73" s="145"/>
      <c r="C73" s="145"/>
      <c r="D73" s="7" t="s">
        <v>279</v>
      </c>
      <c r="E73" s="7" t="s">
        <v>303</v>
      </c>
      <c r="F73" s="7" t="s">
        <v>304</v>
      </c>
      <c r="G73" s="7" t="s">
        <v>370</v>
      </c>
      <c r="H73" s="7" t="s">
        <v>338</v>
      </c>
      <c r="I73" s="7" t="s">
        <v>371</v>
      </c>
      <c r="J73" s="8">
        <v>30</v>
      </c>
      <c r="K73" s="101">
        <v>1</v>
      </c>
      <c r="L73" s="102">
        <f t="shared" ref="L73:L77" si="50">9.06*1300000*55.97%/15*12+2</f>
        <v>5273719.28</v>
      </c>
      <c r="M73" s="102">
        <f t="shared" ref="M73:M77" si="51">+W$2*55.97%/15*12</f>
        <v>145.51752240000002</v>
      </c>
      <c r="N73" s="102">
        <f t="shared" si="35"/>
        <v>421909.18380179204</v>
      </c>
      <c r="O73" s="102">
        <f t="shared" si="0"/>
        <v>5695774</v>
      </c>
      <c r="P73" s="9">
        <f t="shared" si="1"/>
        <v>5695774</v>
      </c>
      <c r="Q73" s="10">
        <f t="shared" si="46"/>
        <v>569577.4</v>
      </c>
      <c r="R73" s="9">
        <f t="shared" si="47"/>
        <v>108219.70600000001</v>
      </c>
      <c r="S73" s="9">
        <f t="shared" si="4"/>
        <v>5803994</v>
      </c>
      <c r="T73" s="105"/>
      <c r="U73" s="33"/>
      <c r="V73" s="33"/>
      <c r="W73" s="35"/>
      <c r="X73" s="35"/>
      <c r="Y73" s="108">
        <v>5202345.3234609812</v>
      </c>
      <c r="Z73" s="109">
        <f t="shared" si="5"/>
        <v>-601648.67653901875</v>
      </c>
      <c r="AA73" s="34"/>
      <c r="AB73" s="108">
        <f t="shared" si="38"/>
        <v>5803994</v>
      </c>
      <c r="AC73" s="110">
        <v>4703841.6785409814</v>
      </c>
      <c r="AD73" s="110">
        <f t="shared" si="39"/>
        <v>-1100152.3214590186</v>
      </c>
      <c r="AE73" s="41">
        <f t="shared" si="40"/>
        <v>3763073.3428327851</v>
      </c>
      <c r="AF73" s="41">
        <f t="shared" si="41"/>
        <v>2040920.6571672149</v>
      </c>
      <c r="AG73" s="35"/>
      <c r="AH73" s="115">
        <f t="shared" si="9"/>
        <v>2347989861</v>
      </c>
      <c r="AI73" s="14"/>
      <c r="AJ73" s="14"/>
      <c r="AK73" s="14"/>
    </row>
    <row r="74" spans="2:37" ht="15.75" customHeight="1" x14ac:dyDescent="0.25">
      <c r="B74" s="145"/>
      <c r="C74" s="145"/>
      <c r="D74" s="168" t="s">
        <v>16</v>
      </c>
      <c r="E74" s="7" t="s">
        <v>275</v>
      </c>
      <c r="F74" s="7" t="s">
        <v>372</v>
      </c>
      <c r="G74" s="7" t="s">
        <v>370</v>
      </c>
      <c r="H74" s="7" t="s">
        <v>338</v>
      </c>
      <c r="I74" s="7" t="s">
        <v>373</v>
      </c>
      <c r="J74" s="8">
        <v>30</v>
      </c>
      <c r="K74" s="101">
        <v>1</v>
      </c>
      <c r="L74" s="102">
        <f t="shared" si="50"/>
        <v>5273719.28</v>
      </c>
      <c r="M74" s="102">
        <f t="shared" si="51"/>
        <v>145.51752240000002</v>
      </c>
      <c r="N74" s="102">
        <f t="shared" si="35"/>
        <v>421909.18380179204</v>
      </c>
      <c r="O74" s="102">
        <f t="shared" si="0"/>
        <v>5695774</v>
      </c>
      <c r="P74" s="9">
        <f t="shared" si="1"/>
        <v>5695774</v>
      </c>
      <c r="Q74" s="10">
        <f t="shared" si="46"/>
        <v>569577.4</v>
      </c>
      <c r="R74" s="9">
        <f t="shared" si="47"/>
        <v>108219.70600000001</v>
      </c>
      <c r="S74" s="9">
        <f t="shared" si="4"/>
        <v>5803994</v>
      </c>
      <c r="T74" s="105"/>
      <c r="U74" s="33"/>
      <c r="V74" s="33"/>
      <c r="W74" s="35"/>
      <c r="X74" s="35"/>
      <c r="Y74" s="108">
        <v>4703841.6785409814</v>
      </c>
      <c r="Z74" s="109">
        <f t="shared" si="5"/>
        <v>-1100152.3214590186</v>
      </c>
      <c r="AA74" s="34"/>
      <c r="AB74" s="108">
        <f t="shared" si="38"/>
        <v>5803994</v>
      </c>
      <c r="AC74" s="110">
        <v>4703841.6785409814</v>
      </c>
      <c r="AD74" s="110">
        <f t="shared" si="39"/>
        <v>-1100152.3214590186</v>
      </c>
      <c r="AE74" s="41">
        <f t="shared" si="40"/>
        <v>3763073.3428327851</v>
      </c>
      <c r="AF74" s="41">
        <f t="shared" si="41"/>
        <v>2040920.6571672149</v>
      </c>
      <c r="AG74" s="35"/>
      <c r="AH74" s="115">
        <f t="shared" si="9"/>
        <v>2353793855</v>
      </c>
      <c r="AI74" s="14"/>
      <c r="AJ74" s="14"/>
      <c r="AK74" s="14"/>
    </row>
    <row r="75" spans="2:37" ht="15.75" customHeight="1" x14ac:dyDescent="0.25">
      <c r="B75" s="145"/>
      <c r="C75" s="145"/>
      <c r="D75" s="128"/>
      <c r="E75" s="7" t="s">
        <v>170</v>
      </c>
      <c r="F75" s="7" t="s">
        <v>305</v>
      </c>
      <c r="G75" s="7" t="s">
        <v>370</v>
      </c>
      <c r="H75" s="7" t="s">
        <v>338</v>
      </c>
      <c r="I75" s="7" t="s">
        <v>374</v>
      </c>
      <c r="J75" s="8">
        <v>30</v>
      </c>
      <c r="K75" s="101">
        <v>1</v>
      </c>
      <c r="L75" s="102">
        <f t="shared" si="50"/>
        <v>5273719.28</v>
      </c>
      <c r="M75" s="102">
        <f t="shared" si="51"/>
        <v>145.51752240000002</v>
      </c>
      <c r="N75" s="102">
        <f t="shared" si="35"/>
        <v>421909.18380179204</v>
      </c>
      <c r="O75" s="102">
        <f t="shared" si="0"/>
        <v>5695774</v>
      </c>
      <c r="P75" s="9">
        <f t="shared" si="1"/>
        <v>5695774</v>
      </c>
      <c r="Q75" s="10">
        <f t="shared" si="46"/>
        <v>569577.4</v>
      </c>
      <c r="R75" s="9">
        <f t="shared" si="47"/>
        <v>108219.70600000001</v>
      </c>
      <c r="S75" s="9">
        <f t="shared" si="4"/>
        <v>5803994</v>
      </c>
      <c r="T75" s="105"/>
      <c r="U75" s="33"/>
      <c r="V75" s="33"/>
      <c r="W75" s="35"/>
      <c r="X75" s="35"/>
      <c r="Y75" s="108">
        <v>10636447.008159766</v>
      </c>
      <c r="Z75" s="109">
        <f t="shared" si="5"/>
        <v>4832453.008159766</v>
      </c>
      <c r="AA75" s="34"/>
      <c r="AB75" s="108">
        <f t="shared" si="38"/>
        <v>5803994</v>
      </c>
      <c r="AC75" s="110">
        <v>4703841.6785409814</v>
      </c>
      <c r="AD75" s="110">
        <f t="shared" si="39"/>
        <v>-1100152.3214590186</v>
      </c>
      <c r="AE75" s="41">
        <f t="shared" si="40"/>
        <v>3763073.3428327851</v>
      </c>
      <c r="AF75" s="41">
        <f t="shared" si="41"/>
        <v>2040920.6571672149</v>
      </c>
      <c r="AG75" s="35"/>
      <c r="AH75" s="115">
        <f t="shared" si="9"/>
        <v>2359597849</v>
      </c>
      <c r="AI75" s="14"/>
      <c r="AJ75" s="115"/>
      <c r="AK75" s="115"/>
    </row>
    <row r="76" spans="2:37" ht="15.75" customHeight="1" x14ac:dyDescent="0.25">
      <c r="B76" s="145"/>
      <c r="C76" s="145"/>
      <c r="D76" s="7" t="s">
        <v>278</v>
      </c>
      <c r="E76" s="7" t="s">
        <v>298</v>
      </c>
      <c r="F76" s="7" t="s">
        <v>299</v>
      </c>
      <c r="G76" s="7" t="s">
        <v>370</v>
      </c>
      <c r="H76" s="7" t="s">
        <v>338</v>
      </c>
      <c r="I76" s="7" t="s">
        <v>375</v>
      </c>
      <c r="J76" s="8">
        <v>30</v>
      </c>
      <c r="K76" s="101">
        <v>1</v>
      </c>
      <c r="L76" s="102">
        <f t="shared" si="50"/>
        <v>5273719.28</v>
      </c>
      <c r="M76" s="102">
        <f t="shared" si="51"/>
        <v>145.51752240000002</v>
      </c>
      <c r="N76" s="102">
        <f t="shared" si="35"/>
        <v>421909.18380179204</v>
      </c>
      <c r="O76" s="102">
        <f t="shared" si="0"/>
        <v>5695774</v>
      </c>
      <c r="P76" s="9">
        <f t="shared" si="1"/>
        <v>5695774</v>
      </c>
      <c r="Q76" s="10">
        <f t="shared" si="46"/>
        <v>569577.4</v>
      </c>
      <c r="R76" s="9">
        <f t="shared" si="47"/>
        <v>108219.70600000001</v>
      </c>
      <c r="S76" s="9">
        <f t="shared" si="4"/>
        <v>5803994</v>
      </c>
      <c r="T76" s="105"/>
      <c r="U76" s="33"/>
      <c r="V76" s="33"/>
      <c r="W76" s="35"/>
      <c r="X76" s="35"/>
      <c r="Y76" s="108"/>
      <c r="Z76" s="109"/>
      <c r="AA76" s="34"/>
      <c r="AB76" s="108"/>
      <c r="AC76" s="110"/>
      <c r="AD76" s="110"/>
      <c r="AE76" s="41"/>
      <c r="AF76" s="41"/>
      <c r="AG76" s="35"/>
      <c r="AH76" s="115"/>
      <c r="AI76" s="14"/>
      <c r="AJ76" s="115"/>
      <c r="AK76" s="115"/>
    </row>
    <row r="77" spans="2:37" ht="15.75" customHeight="1" x14ac:dyDescent="0.25">
      <c r="B77" s="145"/>
      <c r="C77" s="128"/>
      <c r="D77" s="7" t="s">
        <v>16</v>
      </c>
      <c r="E77" s="7" t="s">
        <v>88</v>
      </c>
      <c r="F77" s="7" t="s">
        <v>88</v>
      </c>
      <c r="G77" s="7" t="s">
        <v>376</v>
      </c>
      <c r="H77" s="7" t="s">
        <v>338</v>
      </c>
      <c r="I77" s="7" t="s">
        <v>377</v>
      </c>
      <c r="J77" s="8">
        <v>30</v>
      </c>
      <c r="K77" s="101">
        <v>1</v>
      </c>
      <c r="L77" s="102">
        <f t="shared" si="50"/>
        <v>5273719.28</v>
      </c>
      <c r="M77" s="102">
        <f t="shared" si="51"/>
        <v>145.51752240000002</v>
      </c>
      <c r="N77" s="102">
        <f t="shared" si="35"/>
        <v>421909.18380179204</v>
      </c>
      <c r="O77" s="102">
        <f t="shared" si="0"/>
        <v>5695774</v>
      </c>
      <c r="P77" s="9">
        <f t="shared" si="1"/>
        <v>5695774</v>
      </c>
      <c r="Q77" s="10">
        <f t="shared" si="46"/>
        <v>569577.4</v>
      </c>
      <c r="R77" s="9">
        <f t="shared" si="47"/>
        <v>108219.70600000001</v>
      </c>
      <c r="S77" s="9">
        <f t="shared" si="4"/>
        <v>5803994</v>
      </c>
      <c r="T77" s="105"/>
      <c r="U77" s="33"/>
      <c r="V77" s="33"/>
      <c r="W77" s="35"/>
      <c r="X77" s="35"/>
      <c r="Y77" s="108">
        <v>4703841.6785409814</v>
      </c>
      <c r="Z77" s="109">
        <f t="shared" ref="Z77:Z86" si="52">+Y77-S77</f>
        <v>-1100152.3214590186</v>
      </c>
      <c r="AA77" s="34"/>
      <c r="AB77" s="108">
        <f t="shared" ref="AB77:AB86" si="53">+S77</f>
        <v>5803994</v>
      </c>
      <c r="AC77" s="110">
        <v>4703841.6785409814</v>
      </c>
      <c r="AD77" s="110">
        <f t="shared" ref="AD77:AD86" si="54">+AC77-AB77</f>
        <v>-1100152.3214590186</v>
      </c>
      <c r="AE77" s="41">
        <f t="shared" ref="AE77:AE86" si="55">+AC77*80%</f>
        <v>3763073.3428327851</v>
      </c>
      <c r="AF77" s="41">
        <f t="shared" ref="AF77:AF86" si="56">+AB77-AE77</f>
        <v>2040920.6571672149</v>
      </c>
      <c r="AG77" s="35"/>
      <c r="AH77" s="115">
        <f>++S77++AH75</f>
        <v>2365401843</v>
      </c>
      <c r="AI77" s="14"/>
      <c r="AJ77" s="14"/>
      <c r="AK77" s="115"/>
    </row>
    <row r="78" spans="2:37" ht="24" customHeight="1" x14ac:dyDescent="0.25">
      <c r="B78" s="147"/>
      <c r="C78" s="172" t="s">
        <v>378</v>
      </c>
      <c r="D78" s="150" t="s">
        <v>16</v>
      </c>
      <c r="E78" s="150" t="s">
        <v>266</v>
      </c>
      <c r="F78" s="150" t="s">
        <v>266</v>
      </c>
      <c r="G78" s="150" t="s">
        <v>379</v>
      </c>
      <c r="H78" s="150" t="s">
        <v>380</v>
      </c>
      <c r="I78" s="150" t="s">
        <v>381</v>
      </c>
      <c r="J78" s="151">
        <v>30</v>
      </c>
      <c r="K78" s="170">
        <v>1</v>
      </c>
      <c r="L78" s="152">
        <f>9.06*1300000+2+1500000</f>
        <v>13278002</v>
      </c>
      <c r="M78" s="173">
        <v>0</v>
      </c>
      <c r="N78" s="152">
        <f t="shared" si="35"/>
        <v>1062240.1599999999</v>
      </c>
      <c r="O78" s="152">
        <f t="shared" si="0"/>
        <v>14340242</v>
      </c>
      <c r="P78" s="153">
        <f t="shared" si="1"/>
        <v>14340242</v>
      </c>
      <c r="Q78" s="154">
        <v>0</v>
      </c>
      <c r="R78" s="153">
        <f t="shared" ref="R78:R80" si="57">+O78*19%</f>
        <v>2724645.98</v>
      </c>
      <c r="S78" s="153">
        <f t="shared" si="4"/>
        <v>17064888</v>
      </c>
      <c r="T78" s="155"/>
      <c r="U78" s="156"/>
      <c r="V78" s="156"/>
      <c r="W78" s="157"/>
      <c r="X78" s="157"/>
      <c r="Y78" s="158">
        <v>4703841.6785409814</v>
      </c>
      <c r="Z78" s="159">
        <f t="shared" si="52"/>
        <v>-12361046.321459018</v>
      </c>
      <c r="AA78" s="160"/>
      <c r="AB78" s="158">
        <f t="shared" si="53"/>
        <v>17064888</v>
      </c>
      <c r="AC78" s="171">
        <v>15132691.2335071</v>
      </c>
      <c r="AD78" s="171">
        <f t="shared" si="54"/>
        <v>-1932196.7664928995</v>
      </c>
      <c r="AE78" s="161">
        <f t="shared" si="55"/>
        <v>12106152.986805681</v>
      </c>
      <c r="AF78" s="161">
        <f t="shared" si="56"/>
        <v>4958735.0131943189</v>
      </c>
      <c r="AG78" s="157"/>
      <c r="AH78" s="163">
        <f>++S78++AH77</f>
        <v>2382466731</v>
      </c>
      <c r="AI78" s="146"/>
      <c r="AJ78" s="163"/>
      <c r="AK78" s="163"/>
    </row>
    <row r="79" spans="2:37" ht="15.75" customHeight="1" x14ac:dyDescent="0.25">
      <c r="B79" s="145"/>
      <c r="C79" s="145"/>
      <c r="D79" s="7" t="s">
        <v>279</v>
      </c>
      <c r="E79" s="5" t="s">
        <v>280</v>
      </c>
      <c r="F79" s="7" t="s">
        <v>383</v>
      </c>
      <c r="G79" s="98" t="s">
        <v>384</v>
      </c>
      <c r="H79" s="99"/>
      <c r="I79" s="100" t="s">
        <v>385</v>
      </c>
      <c r="J79" s="101">
        <v>30</v>
      </c>
      <c r="K79" s="101">
        <v>2</v>
      </c>
      <c r="L79" s="102">
        <v>1893434.4</v>
      </c>
      <c r="M79" s="103"/>
      <c r="N79" s="103"/>
      <c r="O79" s="102">
        <f t="shared" si="0"/>
        <v>3786868</v>
      </c>
      <c r="P79" s="9">
        <f>+(S79-R79)/2</f>
        <v>1893434</v>
      </c>
      <c r="Q79" s="174"/>
      <c r="R79" s="174">
        <f t="shared" si="57"/>
        <v>719504.92</v>
      </c>
      <c r="S79" s="16">
        <f t="shared" ref="S79:S86" si="58">+O79+R79</f>
        <v>4506372.92</v>
      </c>
      <c r="T79" s="105"/>
      <c r="U79" s="33"/>
      <c r="V79" s="106"/>
      <c r="W79" s="107"/>
      <c r="X79" s="35"/>
      <c r="Y79" s="108">
        <v>4703841.6785409814</v>
      </c>
      <c r="Z79" s="109">
        <f t="shared" si="52"/>
        <v>197468.75854098145</v>
      </c>
      <c r="AA79" s="34"/>
      <c r="AB79" s="108">
        <f t="shared" si="53"/>
        <v>4506372.92</v>
      </c>
      <c r="AC79" s="110">
        <v>4284000</v>
      </c>
      <c r="AD79" s="110">
        <f t="shared" si="54"/>
        <v>-222372.91999999993</v>
      </c>
      <c r="AE79" s="41">
        <f t="shared" si="55"/>
        <v>3427200</v>
      </c>
      <c r="AF79" s="41">
        <f t="shared" si="56"/>
        <v>1079172.92</v>
      </c>
      <c r="AG79" s="35"/>
      <c r="AH79" s="14"/>
      <c r="AI79" s="14"/>
      <c r="AJ79" s="14"/>
      <c r="AK79" s="14"/>
    </row>
    <row r="80" spans="2:37" ht="15.75" customHeight="1" x14ac:dyDescent="0.25">
      <c r="B80" s="145"/>
      <c r="C80" s="145"/>
      <c r="D80" s="5" t="s">
        <v>278</v>
      </c>
      <c r="E80" s="5" t="s">
        <v>286</v>
      </c>
      <c r="F80" s="7" t="s">
        <v>383</v>
      </c>
      <c r="G80" s="98" t="s">
        <v>384</v>
      </c>
      <c r="H80" s="99"/>
      <c r="I80" s="100" t="s">
        <v>386</v>
      </c>
      <c r="J80" s="101">
        <v>30</v>
      </c>
      <c r="K80" s="101">
        <v>2</v>
      </c>
      <c r="L80" s="102">
        <v>1893434.4</v>
      </c>
      <c r="M80" s="103"/>
      <c r="N80" s="103"/>
      <c r="O80" s="102">
        <f t="shared" si="0"/>
        <v>3786868</v>
      </c>
      <c r="P80" s="9"/>
      <c r="Q80" s="174"/>
      <c r="R80" s="174">
        <f t="shared" si="57"/>
        <v>719504.92</v>
      </c>
      <c r="S80" s="16">
        <f t="shared" si="58"/>
        <v>4506372.92</v>
      </c>
      <c r="T80" s="105"/>
      <c r="U80" s="33"/>
      <c r="V80" s="35"/>
      <c r="W80" s="107"/>
      <c r="X80" s="35"/>
      <c r="Y80" s="108">
        <v>4703841.6785409814</v>
      </c>
      <c r="Z80" s="109">
        <f t="shared" si="52"/>
        <v>197468.75854098145</v>
      </c>
      <c r="AA80" s="34"/>
      <c r="AB80" s="108">
        <f t="shared" si="53"/>
        <v>4506372.92</v>
      </c>
      <c r="AC80" s="110">
        <v>4284000</v>
      </c>
      <c r="AD80" s="110">
        <f t="shared" si="54"/>
        <v>-222372.91999999993</v>
      </c>
      <c r="AE80" s="41">
        <f t="shared" si="55"/>
        <v>3427200</v>
      </c>
      <c r="AF80" s="41">
        <f t="shared" si="56"/>
        <v>1079172.92</v>
      </c>
      <c r="AG80" s="35"/>
      <c r="AH80" s="14"/>
      <c r="AI80" s="14"/>
      <c r="AJ80" s="14"/>
      <c r="AK80" s="14"/>
    </row>
    <row r="81" spans="2:32" ht="15.75" customHeight="1" x14ac:dyDescent="0.25">
      <c r="B81" s="147"/>
      <c r="C81" s="147"/>
      <c r="D81" s="150" t="s">
        <v>140</v>
      </c>
      <c r="E81" s="148" t="s">
        <v>141</v>
      </c>
      <c r="F81" s="150" t="s">
        <v>383</v>
      </c>
      <c r="G81" s="175" t="s">
        <v>384</v>
      </c>
      <c r="H81" s="176"/>
      <c r="I81" s="177" t="s">
        <v>387</v>
      </c>
      <c r="J81" s="170">
        <v>30</v>
      </c>
      <c r="K81" s="170">
        <v>2</v>
      </c>
      <c r="L81" s="152">
        <v>1893434.4</v>
      </c>
      <c r="M81" s="173"/>
      <c r="N81" s="173"/>
      <c r="O81" s="152">
        <f t="shared" si="0"/>
        <v>3786868</v>
      </c>
      <c r="P81" s="153"/>
      <c r="Q81" s="178"/>
      <c r="R81" s="178">
        <v>0</v>
      </c>
      <c r="S81" s="179">
        <f t="shared" si="58"/>
        <v>3786868</v>
      </c>
      <c r="T81" s="155"/>
      <c r="U81" s="156"/>
      <c r="V81" s="157"/>
      <c r="W81" s="180"/>
      <c r="X81" s="157"/>
      <c r="Y81" s="158">
        <v>15132691.2335071</v>
      </c>
      <c r="Z81" s="159">
        <f t="shared" si="52"/>
        <v>11345823.2335071</v>
      </c>
      <c r="AA81" s="160"/>
      <c r="AB81" s="158">
        <f t="shared" si="53"/>
        <v>3786868</v>
      </c>
      <c r="AC81" s="171">
        <v>4284000</v>
      </c>
      <c r="AD81" s="171">
        <f t="shared" si="54"/>
        <v>497132</v>
      </c>
      <c r="AE81" s="161">
        <f t="shared" si="55"/>
        <v>3427200</v>
      </c>
      <c r="AF81" s="161">
        <f t="shared" si="56"/>
        <v>359668</v>
      </c>
    </row>
    <row r="82" spans="2:32" ht="15.75" customHeight="1" x14ac:dyDescent="0.25">
      <c r="B82" s="145"/>
      <c r="C82" s="145"/>
      <c r="D82" s="5" t="s">
        <v>292</v>
      </c>
      <c r="E82" s="5" t="s">
        <v>293</v>
      </c>
      <c r="F82" s="7" t="s">
        <v>383</v>
      </c>
      <c r="G82" s="98" t="s">
        <v>384</v>
      </c>
      <c r="H82" s="99"/>
      <c r="I82" s="100" t="s">
        <v>388</v>
      </c>
      <c r="J82" s="101">
        <v>30</v>
      </c>
      <c r="K82" s="101">
        <v>2</v>
      </c>
      <c r="L82" s="102">
        <v>1893434.4</v>
      </c>
      <c r="M82" s="103"/>
      <c r="N82" s="103"/>
      <c r="O82" s="102">
        <f t="shared" si="0"/>
        <v>3786868</v>
      </c>
      <c r="P82" s="9"/>
      <c r="Q82" s="174"/>
      <c r="R82" s="174">
        <f t="shared" ref="R82:R86" si="59">+O82*19%</f>
        <v>719504.92</v>
      </c>
      <c r="S82" s="16">
        <f t="shared" si="58"/>
        <v>4506372.92</v>
      </c>
      <c r="T82" s="105"/>
      <c r="U82" s="33"/>
      <c r="V82" s="35"/>
      <c r="W82" s="107"/>
      <c r="X82" s="35"/>
      <c r="Y82" s="108">
        <v>4284000</v>
      </c>
      <c r="Z82" s="109">
        <f t="shared" si="52"/>
        <v>-222372.91999999993</v>
      </c>
      <c r="AA82" s="34"/>
      <c r="AB82" s="108">
        <f t="shared" si="53"/>
        <v>4506372.92</v>
      </c>
      <c r="AC82" s="110">
        <v>4284000</v>
      </c>
      <c r="AD82" s="110">
        <f t="shared" si="54"/>
        <v>-222372.91999999993</v>
      </c>
      <c r="AE82" s="41">
        <f t="shared" si="55"/>
        <v>3427200</v>
      </c>
      <c r="AF82" s="41">
        <f t="shared" si="56"/>
        <v>1079172.92</v>
      </c>
    </row>
    <row r="83" spans="2:32" ht="15.75" customHeight="1" x14ac:dyDescent="0.25">
      <c r="B83" s="145"/>
      <c r="C83" s="145"/>
      <c r="D83" s="7" t="s">
        <v>292</v>
      </c>
      <c r="E83" s="5" t="s">
        <v>296</v>
      </c>
      <c r="F83" s="7" t="s">
        <v>383</v>
      </c>
      <c r="G83" s="98" t="s">
        <v>384</v>
      </c>
      <c r="H83" s="99"/>
      <c r="I83" s="100" t="s">
        <v>389</v>
      </c>
      <c r="J83" s="101">
        <v>30</v>
      </c>
      <c r="K83" s="101">
        <v>2</v>
      </c>
      <c r="L83" s="102">
        <v>1893434.4</v>
      </c>
      <c r="M83" s="103"/>
      <c r="N83" s="103"/>
      <c r="O83" s="102">
        <f t="shared" si="0"/>
        <v>3786868</v>
      </c>
      <c r="P83" s="9"/>
      <c r="Q83" s="174"/>
      <c r="R83" s="174">
        <f t="shared" si="59"/>
        <v>719504.92</v>
      </c>
      <c r="S83" s="16">
        <f t="shared" si="58"/>
        <v>4506372.92</v>
      </c>
      <c r="T83" s="105"/>
      <c r="U83" s="33"/>
      <c r="V83" s="35"/>
      <c r="W83" s="107"/>
      <c r="X83" s="35"/>
      <c r="Y83" s="108">
        <v>4284000</v>
      </c>
      <c r="Z83" s="109">
        <f t="shared" si="52"/>
        <v>-222372.91999999993</v>
      </c>
      <c r="AA83" s="34"/>
      <c r="AB83" s="108">
        <f t="shared" si="53"/>
        <v>4506372.92</v>
      </c>
      <c r="AC83" s="110">
        <v>4284000</v>
      </c>
      <c r="AD83" s="110">
        <f t="shared" si="54"/>
        <v>-222372.91999999993</v>
      </c>
      <c r="AE83" s="41">
        <f t="shared" si="55"/>
        <v>3427200</v>
      </c>
      <c r="AF83" s="41">
        <f t="shared" si="56"/>
        <v>1079172.92</v>
      </c>
    </row>
    <row r="84" spans="2:32" ht="15.75" customHeight="1" x14ac:dyDescent="0.25">
      <c r="B84" s="145"/>
      <c r="C84" s="145"/>
      <c r="D84" s="5" t="s">
        <v>300</v>
      </c>
      <c r="E84" s="5" t="s">
        <v>390</v>
      </c>
      <c r="F84" s="7" t="s">
        <v>383</v>
      </c>
      <c r="G84" s="98" t="s">
        <v>384</v>
      </c>
      <c r="H84" s="99"/>
      <c r="I84" s="100" t="s">
        <v>391</v>
      </c>
      <c r="J84" s="101">
        <v>30</v>
      </c>
      <c r="K84" s="101">
        <v>2</v>
      </c>
      <c r="L84" s="102">
        <v>1893434.4</v>
      </c>
      <c r="M84" s="103"/>
      <c r="N84" s="103"/>
      <c r="O84" s="102">
        <f t="shared" si="0"/>
        <v>3786868</v>
      </c>
      <c r="P84" s="9"/>
      <c r="Q84" s="174"/>
      <c r="R84" s="174">
        <f t="shared" si="59"/>
        <v>719504.92</v>
      </c>
      <c r="S84" s="16">
        <f t="shared" si="58"/>
        <v>4506372.92</v>
      </c>
      <c r="T84" s="105"/>
      <c r="U84" s="33"/>
      <c r="V84" s="35"/>
      <c r="W84" s="107"/>
      <c r="X84" s="35"/>
      <c r="Y84" s="108">
        <v>4284000</v>
      </c>
      <c r="Z84" s="109">
        <f t="shared" si="52"/>
        <v>-222372.91999999993</v>
      </c>
      <c r="AA84" s="34"/>
      <c r="AB84" s="108">
        <f t="shared" si="53"/>
        <v>4506372.92</v>
      </c>
      <c r="AC84" s="110">
        <v>4284000</v>
      </c>
      <c r="AD84" s="110">
        <f t="shared" si="54"/>
        <v>-222372.91999999993</v>
      </c>
      <c r="AE84" s="41">
        <f t="shared" si="55"/>
        <v>3427200</v>
      </c>
      <c r="AF84" s="41">
        <f t="shared" si="56"/>
        <v>1079172.92</v>
      </c>
    </row>
    <row r="85" spans="2:32" ht="15.75" customHeight="1" x14ac:dyDescent="0.25">
      <c r="B85" s="145"/>
      <c r="C85" s="145"/>
      <c r="D85" s="7" t="s">
        <v>279</v>
      </c>
      <c r="E85" s="5" t="s">
        <v>303</v>
      </c>
      <c r="F85" s="7" t="s">
        <v>383</v>
      </c>
      <c r="G85" s="98" t="s">
        <v>384</v>
      </c>
      <c r="H85" s="99"/>
      <c r="I85" s="100" t="s">
        <v>392</v>
      </c>
      <c r="J85" s="101">
        <v>30</v>
      </c>
      <c r="K85" s="101">
        <v>2</v>
      </c>
      <c r="L85" s="102">
        <v>1893434.4</v>
      </c>
      <c r="M85" s="103"/>
      <c r="N85" s="103"/>
      <c r="O85" s="102">
        <f t="shared" si="0"/>
        <v>3786868</v>
      </c>
      <c r="P85" s="9"/>
      <c r="Q85" s="174"/>
      <c r="R85" s="174">
        <f t="shared" si="59"/>
        <v>719504.92</v>
      </c>
      <c r="S85" s="16">
        <f t="shared" si="58"/>
        <v>4506372.92</v>
      </c>
      <c r="T85" s="105"/>
      <c r="U85" s="33"/>
      <c r="V85" s="35"/>
      <c r="W85" s="107"/>
      <c r="X85" s="35"/>
      <c r="Y85" s="108">
        <v>4284000</v>
      </c>
      <c r="Z85" s="109">
        <f t="shared" si="52"/>
        <v>-222372.91999999993</v>
      </c>
      <c r="AA85" s="34"/>
      <c r="AB85" s="108">
        <f t="shared" si="53"/>
        <v>4506372.92</v>
      </c>
      <c r="AC85" s="110">
        <v>4284000</v>
      </c>
      <c r="AD85" s="110">
        <f t="shared" si="54"/>
        <v>-222372.91999999993</v>
      </c>
      <c r="AE85" s="41">
        <f t="shared" si="55"/>
        <v>3427200</v>
      </c>
      <c r="AF85" s="41">
        <f t="shared" si="56"/>
        <v>1079172.92</v>
      </c>
    </row>
    <row r="86" spans="2:32" ht="15.75" customHeight="1" x14ac:dyDescent="0.25">
      <c r="B86" s="128"/>
      <c r="C86" s="128"/>
      <c r="D86" s="5" t="s">
        <v>300</v>
      </c>
      <c r="E86" s="5" t="s">
        <v>308</v>
      </c>
      <c r="F86" s="7" t="s">
        <v>383</v>
      </c>
      <c r="G86" s="98" t="s">
        <v>384</v>
      </c>
      <c r="H86" s="99"/>
      <c r="I86" s="100" t="s">
        <v>393</v>
      </c>
      <c r="J86" s="101">
        <v>30</v>
      </c>
      <c r="K86" s="101">
        <v>2</v>
      </c>
      <c r="L86" s="102">
        <v>1893434.4</v>
      </c>
      <c r="M86" s="103"/>
      <c r="N86" s="103"/>
      <c r="O86" s="102">
        <f t="shared" si="0"/>
        <v>3786868</v>
      </c>
      <c r="P86" s="9"/>
      <c r="Q86" s="174"/>
      <c r="R86" s="174">
        <f t="shared" si="59"/>
        <v>719504.92</v>
      </c>
      <c r="S86" s="16">
        <f t="shared" si="58"/>
        <v>4506372.92</v>
      </c>
      <c r="T86" s="105"/>
      <c r="U86" s="33"/>
      <c r="V86" s="35"/>
      <c r="W86" s="107"/>
      <c r="X86" s="35"/>
      <c r="Y86" s="108">
        <v>4284000</v>
      </c>
      <c r="Z86" s="109">
        <f t="shared" si="52"/>
        <v>-222372.91999999993</v>
      </c>
      <c r="AA86" s="34"/>
      <c r="AB86" s="108">
        <f t="shared" si="53"/>
        <v>4506372.92</v>
      </c>
      <c r="AC86" s="110">
        <v>4284000</v>
      </c>
      <c r="AD86" s="110">
        <f t="shared" si="54"/>
        <v>-222372.91999999993</v>
      </c>
      <c r="AE86" s="41">
        <f t="shared" si="55"/>
        <v>3427200</v>
      </c>
      <c r="AF86" s="41">
        <f t="shared" si="56"/>
        <v>1079172.92</v>
      </c>
    </row>
    <row r="87" spans="2:32" ht="15.75" customHeight="1" x14ac:dyDescent="0.25">
      <c r="B87" s="181" t="s">
        <v>203</v>
      </c>
      <c r="C87" s="181"/>
      <c r="D87" s="181"/>
      <c r="E87" s="181"/>
      <c r="F87" s="181"/>
      <c r="G87" s="181"/>
      <c r="H87" s="181"/>
      <c r="I87" s="181"/>
      <c r="J87" s="181"/>
      <c r="K87" s="181"/>
      <c r="L87" s="182">
        <f t="shared" ref="L87:O87" si="60">SUM(L2:L86)</f>
        <v>746441534.5226661</v>
      </c>
      <c r="M87" s="182">
        <f t="shared" si="60"/>
        <v>19688.023040480013</v>
      </c>
      <c r="N87" s="182">
        <f t="shared" si="60"/>
        <v>63771943.763484918</v>
      </c>
      <c r="O87" s="182">
        <f t="shared" si="60"/>
        <v>2377100687</v>
      </c>
      <c r="P87" s="17"/>
      <c r="Q87" s="17">
        <f t="shared" ref="Q87:S87" si="61">SUM(Q2:Q86)</f>
        <v>203896484.30000022</v>
      </c>
      <c r="R87" s="17">
        <f t="shared" si="61"/>
        <v>46501512.437000014</v>
      </c>
      <c r="S87" s="17">
        <f t="shared" si="61"/>
        <v>2423602203.4400005</v>
      </c>
      <c r="T87" s="182"/>
      <c r="U87" s="33"/>
      <c r="V87" s="33"/>
      <c r="W87" s="33"/>
      <c r="X87" s="33"/>
      <c r="Y87" s="33"/>
      <c r="Z87" s="33"/>
      <c r="AA87" s="30"/>
      <c r="AB87" s="30"/>
      <c r="AC87" s="30"/>
      <c r="AD87" s="30"/>
      <c r="AE87" s="30"/>
      <c r="AF87" s="30"/>
    </row>
    <row r="88" spans="2:32" ht="15.75" customHeight="1" x14ac:dyDescent="0.25"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5"/>
      <c r="Q88" s="15"/>
      <c r="R88" s="15"/>
      <c r="S88" s="15"/>
      <c r="T88" s="14"/>
      <c r="U88" s="14"/>
      <c r="V88" s="14"/>
      <c r="W88" s="14"/>
      <c r="X88" s="14"/>
      <c r="Y88" s="14"/>
      <c r="Z88" s="14"/>
      <c r="AA88" s="30"/>
      <c r="AB88" s="30"/>
      <c r="AC88" s="30"/>
      <c r="AD88" s="30"/>
      <c r="AE88" s="30"/>
      <c r="AF88" s="30"/>
    </row>
    <row r="89" spans="2:32" ht="15.75" customHeight="1" x14ac:dyDescent="0.25"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5"/>
      <c r="Q89" s="15"/>
      <c r="R89" s="15"/>
      <c r="S89" s="15"/>
      <c r="T89" s="14"/>
      <c r="U89" s="14"/>
      <c r="V89" s="14"/>
      <c r="W89" s="14"/>
      <c r="X89" s="14"/>
      <c r="Y89" s="14"/>
      <c r="Z89" s="14"/>
      <c r="AA89" s="30"/>
      <c r="AB89" s="30"/>
      <c r="AC89" s="30"/>
      <c r="AD89" s="30"/>
      <c r="AE89" s="30"/>
      <c r="AF89" s="30"/>
    </row>
    <row r="90" spans="2:32" ht="15.75" customHeight="1" x14ac:dyDescent="0.25"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15"/>
      <c r="P90" s="15"/>
      <c r="Q90" s="15"/>
      <c r="R90" s="15"/>
      <c r="S90" s="15"/>
      <c r="T90" s="14"/>
      <c r="U90" s="14"/>
      <c r="V90" s="14"/>
      <c r="W90" s="14"/>
      <c r="X90" s="14"/>
      <c r="Y90" s="14"/>
      <c r="Z90" s="14"/>
      <c r="AA90" s="30"/>
      <c r="AB90" s="30"/>
      <c r="AC90" s="30"/>
      <c r="AD90" s="30"/>
      <c r="AE90" s="30"/>
      <c r="AF90" s="30"/>
    </row>
    <row r="91" spans="2:32" ht="15.75" customHeight="1" x14ac:dyDescent="0.25"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5"/>
      <c r="Q91" s="15"/>
      <c r="R91" s="15"/>
      <c r="S91" s="15"/>
      <c r="T91" s="14"/>
      <c r="U91" s="14"/>
      <c r="V91" s="14"/>
      <c r="W91" s="14"/>
      <c r="X91" s="14"/>
      <c r="Y91" s="14"/>
      <c r="Z91" s="14"/>
      <c r="AA91" s="30"/>
      <c r="AB91" s="30"/>
      <c r="AC91" s="30"/>
      <c r="AD91" s="30"/>
      <c r="AE91" s="30"/>
      <c r="AF91" s="30"/>
    </row>
    <row r="92" spans="2:32" ht="15.75" customHeight="1" x14ac:dyDescent="0.25"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5"/>
      <c r="Q92" s="15"/>
      <c r="R92" s="15"/>
      <c r="S92" s="15"/>
      <c r="T92" s="14"/>
      <c r="U92" s="14"/>
      <c r="V92" s="14"/>
      <c r="W92" s="14"/>
      <c r="X92" s="14"/>
      <c r="Y92" s="14"/>
      <c r="Z92" s="14"/>
      <c r="AA92" s="30"/>
      <c r="AB92" s="30"/>
      <c r="AC92" s="30"/>
      <c r="AD92" s="30"/>
      <c r="AE92" s="30"/>
      <c r="AF92" s="30"/>
    </row>
    <row r="93" spans="2:32" ht="15.75" customHeight="1" x14ac:dyDescent="0.25"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5"/>
      <c r="Q93" s="15"/>
      <c r="R93" s="15"/>
      <c r="S93" s="15"/>
      <c r="T93" s="14"/>
      <c r="U93" s="14"/>
      <c r="V93" s="14"/>
      <c r="W93" s="14"/>
      <c r="X93" s="14"/>
      <c r="Y93" s="14"/>
      <c r="Z93" s="14"/>
      <c r="AA93" s="30"/>
      <c r="AB93" s="30"/>
      <c r="AC93" s="30"/>
      <c r="AD93" s="30"/>
      <c r="AE93" s="30"/>
      <c r="AF93" s="30"/>
    </row>
    <row r="94" spans="2:32" ht="15.75" customHeight="1" x14ac:dyDescent="0.25"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5"/>
      <c r="Q94" s="15"/>
      <c r="R94" s="15"/>
      <c r="S94" s="15"/>
      <c r="T94" s="14"/>
      <c r="U94" s="14"/>
      <c r="V94" s="14"/>
      <c r="W94" s="14"/>
      <c r="X94" s="14"/>
      <c r="Y94" s="14"/>
      <c r="Z94" s="14"/>
      <c r="AA94" s="30"/>
      <c r="AB94" s="30"/>
      <c r="AC94" s="30"/>
      <c r="AD94" s="30"/>
      <c r="AE94" s="30"/>
      <c r="AF94" s="30"/>
    </row>
    <row r="95" spans="2:32" ht="15.75" customHeight="1" x14ac:dyDescent="0.25"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 t="s">
        <v>403</v>
      </c>
      <c r="P95" s="15"/>
      <c r="Q95" s="15"/>
      <c r="R95" s="183" t="s">
        <v>404</v>
      </c>
      <c r="S95" s="183"/>
      <c r="T95" s="14"/>
      <c r="U95" s="14"/>
      <c r="V95" s="14"/>
      <c r="W95" s="14"/>
      <c r="X95" s="14"/>
      <c r="Y95" s="14"/>
      <c r="Z95" s="14"/>
      <c r="AA95" s="30"/>
      <c r="AB95" s="30"/>
      <c r="AC95" s="30"/>
      <c r="AD95" s="30"/>
      <c r="AE95" s="30"/>
      <c r="AF95" s="30"/>
    </row>
    <row r="96" spans="2:32" ht="15.75" customHeight="1" x14ac:dyDescent="0.25"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 t="s">
        <v>405</v>
      </c>
      <c r="P96" s="15"/>
      <c r="Q96" s="15"/>
      <c r="R96" s="184" t="s">
        <v>406</v>
      </c>
      <c r="S96" s="184"/>
      <c r="T96" s="14"/>
      <c r="U96" s="14"/>
      <c r="V96" s="14"/>
      <c r="W96" s="14"/>
      <c r="X96" s="14"/>
      <c r="Y96" s="14"/>
      <c r="Z96" s="14"/>
      <c r="AA96" s="30"/>
      <c r="AB96" s="30"/>
      <c r="AC96" s="30"/>
      <c r="AD96" s="30"/>
      <c r="AE96" s="30"/>
      <c r="AF96" s="30"/>
    </row>
    <row r="97" spans="15:18" ht="15.75" customHeight="1" x14ac:dyDescent="0.25">
      <c r="O97" s="14" t="s">
        <v>407</v>
      </c>
      <c r="P97" s="15"/>
      <c r="Q97" s="15"/>
      <c r="R97" s="184" t="s">
        <v>408</v>
      </c>
    </row>
    <row r="98" spans="15:18" ht="15.75" customHeight="1" x14ac:dyDescent="0.25">
      <c r="O98" s="14" t="s">
        <v>409</v>
      </c>
      <c r="P98" s="15"/>
      <c r="Q98" s="15"/>
      <c r="R98" s="184" t="s">
        <v>410</v>
      </c>
    </row>
    <row r="99" spans="15:18" ht="15.75" customHeight="1" x14ac:dyDescent="0.25">
      <c r="O99" s="14" t="s">
        <v>411</v>
      </c>
      <c r="P99" s="15"/>
      <c r="Q99" s="15"/>
      <c r="R99" s="184">
        <v>7433277</v>
      </c>
    </row>
    <row r="100" spans="15:18" ht="15.75" customHeight="1" x14ac:dyDescent="0.25">
      <c r="O100" s="14" t="s">
        <v>412</v>
      </c>
      <c r="P100" s="15"/>
      <c r="Q100" s="15"/>
      <c r="R100" s="185" t="s">
        <v>413</v>
      </c>
    </row>
    <row r="101" spans="15:18" ht="15.75" customHeight="1" x14ac:dyDescent="0.25">
      <c r="O101" s="14" t="s">
        <v>414</v>
      </c>
      <c r="P101" s="15"/>
      <c r="Q101" s="15"/>
      <c r="R101" s="184">
        <v>3202641687</v>
      </c>
    </row>
    <row r="102" spans="15:18" ht="15.75" customHeight="1" x14ac:dyDescent="0.25">
      <c r="O102" s="14" t="s">
        <v>260</v>
      </c>
      <c r="P102" s="15"/>
      <c r="Q102" s="15"/>
      <c r="R102" s="183" t="s">
        <v>415</v>
      </c>
    </row>
  </sheetData>
  <autoFilter ref="F1:S87" xr:uid="{00000000-0009-0000-0000-00000B000000}"/>
  <hyperlinks>
    <hyperlink ref="R100" r:id="rId1" xr:uid="{00000000-0004-0000-0B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0"/>
  <dimension ref="A1:E8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18.7109375" customWidth="1"/>
    <col min="2" max="2" width="7.42578125" customWidth="1"/>
    <col min="3" max="3" width="14.140625" customWidth="1"/>
    <col min="4" max="4" width="15.140625" customWidth="1"/>
    <col min="5" max="5" width="14.7109375" customWidth="1"/>
  </cols>
  <sheetData>
    <row r="1" spans="1:5" ht="65.25" customHeight="1" x14ac:dyDescent="0.25">
      <c r="A1" s="2"/>
      <c r="B1" s="3" t="s">
        <v>8</v>
      </c>
      <c r="C1" s="2"/>
      <c r="D1" s="2" t="s">
        <v>14</v>
      </c>
      <c r="E1" s="2" t="s">
        <v>422</v>
      </c>
    </row>
    <row r="2" spans="1:5" ht="24" customHeight="1" x14ac:dyDescent="0.25">
      <c r="A2" s="5" t="s">
        <v>21</v>
      </c>
      <c r="B2" s="8">
        <v>5</v>
      </c>
      <c r="C2" s="102">
        <v>5695774</v>
      </c>
      <c r="D2" s="102">
        <v>541098.53</v>
      </c>
      <c r="E2" s="9">
        <v>29019969</v>
      </c>
    </row>
    <row r="3" spans="1:5" ht="36" x14ac:dyDescent="0.25">
      <c r="A3" s="5" t="s">
        <v>23</v>
      </c>
      <c r="B3" s="8">
        <v>1</v>
      </c>
      <c r="C3" s="102">
        <v>12956160</v>
      </c>
      <c r="D3" s="102">
        <v>246167.04000000001</v>
      </c>
      <c r="E3" s="9">
        <v>13202327</v>
      </c>
    </row>
    <row r="4" spans="1:5" ht="36" x14ac:dyDescent="0.25">
      <c r="A4" s="5" t="s">
        <v>74</v>
      </c>
      <c r="B4" s="8">
        <v>6</v>
      </c>
      <c r="C4" s="102">
        <v>12720593</v>
      </c>
      <c r="D4" s="102">
        <v>1450147.6020000002</v>
      </c>
      <c r="E4" s="9">
        <v>77773706</v>
      </c>
    </row>
    <row r="5" spans="1:5" ht="36" x14ac:dyDescent="0.25">
      <c r="A5" s="5" t="s">
        <v>274</v>
      </c>
      <c r="B5" s="8">
        <v>9</v>
      </c>
      <c r="C5" s="102">
        <v>12720593</v>
      </c>
      <c r="D5" s="102">
        <v>2175221.4030000004</v>
      </c>
      <c r="E5" s="9">
        <v>116660558</v>
      </c>
    </row>
    <row r="6" spans="1:5" ht="36" x14ac:dyDescent="0.25">
      <c r="A6" s="5" t="s">
        <v>276</v>
      </c>
      <c r="B6" s="8">
        <v>3</v>
      </c>
      <c r="C6" s="102">
        <v>12956160</v>
      </c>
      <c r="D6" s="102">
        <v>738501.12</v>
      </c>
      <c r="E6" s="126">
        <v>39606981</v>
      </c>
    </row>
    <row r="7" spans="1:5" ht="36" x14ac:dyDescent="0.25">
      <c r="A7" s="5" t="s">
        <v>80</v>
      </c>
      <c r="B7" s="8">
        <v>1</v>
      </c>
      <c r="C7" s="102">
        <v>4683192</v>
      </c>
      <c r="D7" s="102">
        <v>88980.648000000001</v>
      </c>
      <c r="E7" s="9">
        <v>4772173</v>
      </c>
    </row>
    <row r="8" spans="1:5" ht="36" x14ac:dyDescent="0.25">
      <c r="A8" s="5" t="s">
        <v>83</v>
      </c>
      <c r="B8" s="8">
        <v>1</v>
      </c>
      <c r="C8" s="102">
        <v>5695774</v>
      </c>
      <c r="D8" s="102">
        <v>108219.70600000001</v>
      </c>
      <c r="E8" s="9">
        <v>5803994</v>
      </c>
    </row>
    <row r="9" spans="1:5" ht="36" x14ac:dyDescent="0.25">
      <c r="A9" s="5" t="s">
        <v>86</v>
      </c>
      <c r="B9" s="8">
        <v>3</v>
      </c>
      <c r="C9" s="102">
        <v>12956160</v>
      </c>
      <c r="D9" s="102">
        <v>738501.12</v>
      </c>
      <c r="E9" s="9">
        <v>39606981</v>
      </c>
    </row>
    <row r="10" spans="1:5" ht="36" x14ac:dyDescent="0.25">
      <c r="A10" s="5" t="s">
        <v>282</v>
      </c>
      <c r="B10" s="8">
        <v>9</v>
      </c>
      <c r="C10" s="102">
        <v>12956160</v>
      </c>
      <c r="D10" s="102">
        <v>2215503.36</v>
      </c>
      <c r="E10" s="9">
        <v>118820943</v>
      </c>
    </row>
    <row r="11" spans="1:5" ht="36" x14ac:dyDescent="0.25">
      <c r="A11" s="5" t="s">
        <v>284</v>
      </c>
      <c r="B11" s="8">
        <v>5</v>
      </c>
      <c r="C11" s="102">
        <v>7742037</v>
      </c>
      <c r="D11" s="102">
        <v>735493.51500000001</v>
      </c>
      <c r="E11" s="9">
        <v>39445679</v>
      </c>
    </row>
    <row r="12" spans="1:5" ht="36" x14ac:dyDescent="0.25">
      <c r="A12" s="5" t="s">
        <v>92</v>
      </c>
      <c r="B12" s="8">
        <v>1</v>
      </c>
      <c r="C12" s="102">
        <v>5853990</v>
      </c>
      <c r="D12" s="102">
        <v>111225.81</v>
      </c>
      <c r="E12" s="9">
        <v>5965216</v>
      </c>
    </row>
    <row r="13" spans="1:5" ht="36" x14ac:dyDescent="0.25">
      <c r="A13" s="5" t="s">
        <v>93</v>
      </c>
      <c r="B13" s="8">
        <v>11</v>
      </c>
      <c r="C13" s="102">
        <v>12956160</v>
      </c>
      <c r="D13" s="102">
        <v>2707837.44</v>
      </c>
      <c r="E13" s="9">
        <v>145225597</v>
      </c>
    </row>
    <row r="14" spans="1:5" ht="15.75" customHeight="1" x14ac:dyDescent="0.25">
      <c r="A14" s="5" t="s">
        <v>288</v>
      </c>
      <c r="B14" s="8">
        <v>5</v>
      </c>
      <c r="C14" s="102">
        <v>7742037</v>
      </c>
      <c r="D14" s="102">
        <v>735493.51500000001</v>
      </c>
      <c r="E14" s="9">
        <v>39445679</v>
      </c>
    </row>
    <row r="15" spans="1:5" ht="15.75" customHeight="1" x14ac:dyDescent="0.25">
      <c r="A15" s="73" t="s">
        <v>97</v>
      </c>
      <c r="B15" s="75">
        <v>14</v>
      </c>
      <c r="C15" s="76">
        <v>12956160</v>
      </c>
      <c r="D15" s="76">
        <v>0</v>
      </c>
      <c r="E15" s="186">
        <v>181386240</v>
      </c>
    </row>
    <row r="16" spans="1:5" ht="15.75" customHeight="1" x14ac:dyDescent="0.25">
      <c r="A16" s="73" t="s">
        <v>290</v>
      </c>
      <c r="B16" s="75">
        <v>5</v>
      </c>
      <c r="C16" s="76">
        <v>5695774</v>
      </c>
      <c r="D16" s="76">
        <v>0</v>
      </c>
      <c r="E16" s="186">
        <v>28478870</v>
      </c>
    </row>
    <row r="17" spans="1:5" ht="15.75" customHeight="1" x14ac:dyDescent="0.25">
      <c r="A17" s="73" t="s">
        <v>291</v>
      </c>
      <c r="B17" s="75">
        <v>1</v>
      </c>
      <c r="C17" s="76">
        <v>5853990</v>
      </c>
      <c r="D17" s="76">
        <v>0</v>
      </c>
      <c r="E17" s="186">
        <v>5853990</v>
      </c>
    </row>
    <row r="18" spans="1:5" ht="15.75" customHeight="1" x14ac:dyDescent="0.25">
      <c r="A18" s="73" t="s">
        <v>101</v>
      </c>
      <c r="B18" s="75">
        <v>2</v>
      </c>
      <c r="C18" s="76">
        <v>12720593</v>
      </c>
      <c r="D18" s="76">
        <v>0</v>
      </c>
      <c r="E18" s="186">
        <v>25441186</v>
      </c>
    </row>
    <row r="19" spans="1:5" ht="15.75" customHeight="1" x14ac:dyDescent="0.25">
      <c r="A19" s="5" t="s">
        <v>104</v>
      </c>
      <c r="B19" s="8">
        <v>13</v>
      </c>
      <c r="C19" s="102">
        <v>12956160</v>
      </c>
      <c r="D19" s="102">
        <v>3200171.52</v>
      </c>
      <c r="E19" s="9">
        <v>171630252</v>
      </c>
    </row>
    <row r="20" spans="1:5" ht="15.75" customHeight="1" x14ac:dyDescent="0.25">
      <c r="A20" s="5" t="s">
        <v>295</v>
      </c>
      <c r="B20" s="8">
        <v>7</v>
      </c>
      <c r="C20" s="102">
        <v>7742037</v>
      </c>
      <c r="D20" s="102">
        <v>1029690.9210000001</v>
      </c>
      <c r="E20" s="9">
        <v>55223950</v>
      </c>
    </row>
    <row r="21" spans="1:5" ht="15.75" customHeight="1" x14ac:dyDescent="0.25">
      <c r="A21" s="5" t="s">
        <v>25</v>
      </c>
      <c r="B21" s="8">
        <v>1</v>
      </c>
      <c r="C21" s="102">
        <v>5853990</v>
      </c>
      <c r="D21" s="102">
        <v>111225.81</v>
      </c>
      <c r="E21" s="9">
        <v>5965216</v>
      </c>
    </row>
    <row r="22" spans="1:5" ht="15.75" customHeight="1" x14ac:dyDescent="0.25">
      <c r="A22" s="5" t="s">
        <v>111</v>
      </c>
      <c r="B22" s="8">
        <v>3</v>
      </c>
      <c r="C22" s="102">
        <v>12956160</v>
      </c>
      <c r="D22" s="102">
        <v>738501.12</v>
      </c>
      <c r="E22" s="9">
        <v>39606981</v>
      </c>
    </row>
    <row r="23" spans="1:5" ht="15.75" customHeight="1" x14ac:dyDescent="0.25">
      <c r="A23" s="5" t="s">
        <v>112</v>
      </c>
      <c r="B23" s="8">
        <v>5</v>
      </c>
      <c r="C23" s="102">
        <v>5695774</v>
      </c>
      <c r="D23" s="102">
        <v>541098.53</v>
      </c>
      <c r="E23" s="9">
        <v>29019969</v>
      </c>
    </row>
    <row r="24" spans="1:5" ht="15.75" customHeight="1" x14ac:dyDescent="0.25">
      <c r="A24" s="5" t="s">
        <v>115</v>
      </c>
      <c r="B24" s="8">
        <v>3</v>
      </c>
      <c r="C24" s="102">
        <v>12720593</v>
      </c>
      <c r="D24" s="102">
        <v>725073.80100000009</v>
      </c>
      <c r="E24" s="9">
        <v>38886853</v>
      </c>
    </row>
    <row r="25" spans="1:5" ht="15.75" customHeight="1" x14ac:dyDescent="0.25">
      <c r="A25" s="5" t="s">
        <v>118</v>
      </c>
      <c r="B25" s="8">
        <v>6</v>
      </c>
      <c r="C25" s="102">
        <v>5695774</v>
      </c>
      <c r="D25" s="102">
        <v>649318.23600000003</v>
      </c>
      <c r="E25" s="9">
        <v>34823962</v>
      </c>
    </row>
    <row r="26" spans="1:5" ht="15.75" customHeight="1" x14ac:dyDescent="0.25">
      <c r="A26" s="5" t="s">
        <v>121</v>
      </c>
      <c r="B26" s="8">
        <v>6</v>
      </c>
      <c r="C26" s="102">
        <v>12720593</v>
      </c>
      <c r="D26" s="102">
        <v>1450147.6020000002</v>
      </c>
      <c r="E26" s="9">
        <v>77773706</v>
      </c>
    </row>
    <row r="27" spans="1:5" ht="15.75" customHeight="1" x14ac:dyDescent="0.25">
      <c r="A27" s="5" t="s">
        <v>121</v>
      </c>
      <c r="B27" s="8">
        <v>1</v>
      </c>
      <c r="C27" s="102">
        <v>12720593</v>
      </c>
      <c r="D27" s="102">
        <v>241691.26700000002</v>
      </c>
      <c r="E27" s="9">
        <v>12962284</v>
      </c>
    </row>
    <row r="28" spans="1:5" ht="24" customHeight="1" x14ac:dyDescent="0.25">
      <c r="A28" s="5" t="s">
        <v>47</v>
      </c>
      <c r="B28" s="8">
        <v>3</v>
      </c>
      <c r="C28" s="102">
        <v>12720593</v>
      </c>
      <c r="D28" s="102">
        <v>725073.80100000009</v>
      </c>
      <c r="E28" s="9">
        <v>38886853</v>
      </c>
    </row>
    <row r="29" spans="1:5" ht="15.75" customHeight="1" x14ac:dyDescent="0.25">
      <c r="A29" s="5" t="s">
        <v>127</v>
      </c>
      <c r="B29" s="8">
        <v>1</v>
      </c>
      <c r="C29" s="102">
        <v>5695774</v>
      </c>
      <c r="D29" s="102">
        <v>108219.70600000001</v>
      </c>
      <c r="E29" s="9">
        <v>5803994</v>
      </c>
    </row>
    <row r="30" spans="1:5" ht="15.75" customHeight="1" x14ac:dyDescent="0.25">
      <c r="A30" s="5" t="s">
        <v>127</v>
      </c>
      <c r="B30" s="8">
        <v>1</v>
      </c>
      <c r="C30" s="102">
        <v>5695774</v>
      </c>
      <c r="D30" s="102">
        <v>108219.70600000001</v>
      </c>
      <c r="E30" s="9">
        <v>5803994</v>
      </c>
    </row>
    <row r="31" spans="1:5" ht="15.75" customHeight="1" x14ac:dyDescent="0.25">
      <c r="A31" s="5" t="s">
        <v>306</v>
      </c>
      <c r="B31" s="8">
        <v>3</v>
      </c>
      <c r="C31" s="102">
        <v>12956160</v>
      </c>
      <c r="D31" s="102">
        <v>738501.12</v>
      </c>
      <c r="E31" s="9">
        <v>39606981</v>
      </c>
    </row>
    <row r="32" spans="1:5" ht="15.75" customHeight="1" x14ac:dyDescent="0.25">
      <c r="A32" s="5" t="s">
        <v>307</v>
      </c>
      <c r="B32" s="8">
        <v>4</v>
      </c>
      <c r="C32" s="102">
        <v>4936338</v>
      </c>
      <c r="D32" s="102">
        <v>375161.68800000002</v>
      </c>
      <c r="E32" s="9">
        <v>20120514</v>
      </c>
    </row>
    <row r="33" spans="1:5" ht="15.75" customHeight="1" x14ac:dyDescent="0.25">
      <c r="A33" s="5" t="s">
        <v>134</v>
      </c>
      <c r="B33" s="8">
        <v>2</v>
      </c>
      <c r="C33" s="102">
        <v>12956160</v>
      </c>
      <c r="D33" s="102">
        <v>492334.08000000002</v>
      </c>
      <c r="E33" s="9">
        <v>26404654</v>
      </c>
    </row>
    <row r="34" spans="1:5" ht="15.75" customHeight="1" x14ac:dyDescent="0.25">
      <c r="A34" s="5" t="s">
        <v>309</v>
      </c>
      <c r="B34" s="8">
        <v>3</v>
      </c>
      <c r="C34" s="102">
        <v>5695774</v>
      </c>
      <c r="D34" s="102">
        <v>324659.11800000002</v>
      </c>
      <c r="E34" s="9">
        <v>17411981</v>
      </c>
    </row>
    <row r="35" spans="1:5" ht="15.75" customHeight="1" x14ac:dyDescent="0.25">
      <c r="A35" s="5" t="s">
        <v>311</v>
      </c>
      <c r="B35" s="8">
        <v>2</v>
      </c>
      <c r="C35" s="102">
        <v>12956160</v>
      </c>
      <c r="D35" s="102">
        <v>492334.08000000002</v>
      </c>
      <c r="E35" s="9">
        <v>26404654</v>
      </c>
    </row>
    <row r="36" spans="1:5" ht="27.75" customHeight="1" x14ac:dyDescent="0.25">
      <c r="A36" s="5" t="s">
        <v>143</v>
      </c>
      <c r="B36" s="8">
        <v>1</v>
      </c>
      <c r="C36" s="102">
        <v>12956160</v>
      </c>
      <c r="D36" s="102">
        <v>246167.04000000001</v>
      </c>
      <c r="E36" s="9">
        <v>13202327</v>
      </c>
    </row>
    <row r="37" spans="1:5" ht="27.75" customHeight="1" x14ac:dyDescent="0.25">
      <c r="A37" s="5" t="s">
        <v>316</v>
      </c>
      <c r="B37" s="8">
        <v>1</v>
      </c>
      <c r="C37" s="102">
        <v>12956160</v>
      </c>
      <c r="D37" s="102">
        <v>246167.04000000001</v>
      </c>
      <c r="E37" s="9">
        <v>13202327</v>
      </c>
    </row>
    <row r="38" spans="1:5" ht="27.75" customHeight="1" x14ac:dyDescent="0.25">
      <c r="A38" s="5" t="s">
        <v>318</v>
      </c>
      <c r="B38" s="8">
        <v>1</v>
      </c>
      <c r="C38" s="102">
        <v>12956160</v>
      </c>
      <c r="D38" s="102">
        <v>246167.04000000001</v>
      </c>
      <c r="E38" s="9">
        <v>13202327</v>
      </c>
    </row>
    <row r="39" spans="1:5" ht="31.5" customHeight="1" x14ac:dyDescent="0.25">
      <c r="A39" s="5" t="s">
        <v>138</v>
      </c>
      <c r="B39" s="8">
        <v>1</v>
      </c>
      <c r="C39" s="102">
        <v>12956160</v>
      </c>
      <c r="D39" s="102">
        <v>246167.04000000001</v>
      </c>
      <c r="E39" s="9">
        <v>13202327</v>
      </c>
    </row>
    <row r="40" spans="1:5" ht="36" customHeight="1" x14ac:dyDescent="0.25">
      <c r="A40" s="5" t="s">
        <v>321</v>
      </c>
      <c r="B40" s="8">
        <v>1</v>
      </c>
      <c r="C40" s="102">
        <v>12956160</v>
      </c>
      <c r="D40" s="102">
        <v>246167.04000000001</v>
      </c>
      <c r="E40" s="9">
        <v>13202327</v>
      </c>
    </row>
    <row r="41" spans="1:5" ht="15" customHeight="1" x14ac:dyDescent="0.25">
      <c r="A41" s="5" t="s">
        <v>323</v>
      </c>
      <c r="B41" s="8">
        <v>6</v>
      </c>
      <c r="C41" s="102">
        <v>12720593</v>
      </c>
      <c r="D41" s="102">
        <v>1450147.6020000002</v>
      </c>
      <c r="E41" s="9">
        <v>77773706</v>
      </c>
    </row>
    <row r="42" spans="1:5" ht="15" customHeight="1" x14ac:dyDescent="0.25">
      <c r="A42" s="5" t="s">
        <v>324</v>
      </c>
      <c r="B42" s="8">
        <v>5</v>
      </c>
      <c r="C42" s="102">
        <v>12956160</v>
      </c>
      <c r="D42" s="102">
        <v>1230835.2</v>
      </c>
      <c r="E42" s="9">
        <v>66011635</v>
      </c>
    </row>
    <row r="43" spans="1:5" ht="15.75" customHeight="1" x14ac:dyDescent="0.25">
      <c r="A43" s="5" t="s">
        <v>325</v>
      </c>
      <c r="B43" s="8">
        <v>2</v>
      </c>
      <c r="C43" s="102">
        <v>5695774</v>
      </c>
      <c r="D43" s="102">
        <v>216439.41200000001</v>
      </c>
      <c r="E43" s="9">
        <v>11607987</v>
      </c>
    </row>
    <row r="44" spans="1:5" ht="15.75" customHeight="1" x14ac:dyDescent="0.25">
      <c r="A44" s="5" t="s">
        <v>149</v>
      </c>
      <c r="B44" s="8">
        <v>2</v>
      </c>
      <c r="C44" s="102">
        <v>5853990</v>
      </c>
      <c r="D44" s="102">
        <v>222451.62</v>
      </c>
      <c r="E44" s="9">
        <v>11930432</v>
      </c>
    </row>
    <row r="45" spans="1:5" ht="15.75" customHeight="1" x14ac:dyDescent="0.25">
      <c r="A45" s="5" t="s">
        <v>151</v>
      </c>
      <c r="B45" s="8">
        <v>3</v>
      </c>
      <c r="C45" s="102">
        <v>2531455.3333333335</v>
      </c>
      <c r="D45" s="102">
        <v>144292.95400000003</v>
      </c>
      <c r="E45" s="9">
        <v>7738659</v>
      </c>
    </row>
    <row r="46" spans="1:5" ht="15.75" customHeight="1" x14ac:dyDescent="0.25">
      <c r="A46" s="5" t="s">
        <v>154</v>
      </c>
      <c r="B46" s="8">
        <v>1</v>
      </c>
      <c r="C46" s="102">
        <v>12720593</v>
      </c>
      <c r="D46" s="102">
        <v>241691.26700000002</v>
      </c>
      <c r="E46" s="9">
        <v>12962284</v>
      </c>
    </row>
    <row r="47" spans="1:5" ht="15.75" customHeight="1" x14ac:dyDescent="0.25">
      <c r="A47" s="5" t="s">
        <v>157</v>
      </c>
      <c r="B47" s="8">
        <v>1</v>
      </c>
      <c r="C47" s="102">
        <v>12956160</v>
      </c>
      <c r="D47" s="102">
        <v>246167.04000000001</v>
      </c>
      <c r="E47" s="9">
        <v>13202327</v>
      </c>
    </row>
    <row r="48" spans="1:5" ht="15.75" customHeight="1" x14ac:dyDescent="0.25">
      <c r="A48" s="5" t="s">
        <v>157</v>
      </c>
      <c r="B48" s="8">
        <v>3</v>
      </c>
      <c r="C48" s="102">
        <v>12956160</v>
      </c>
      <c r="D48" s="102">
        <v>738501.12</v>
      </c>
      <c r="E48" s="9">
        <v>39606981</v>
      </c>
    </row>
    <row r="49" spans="1:5" ht="15.75" customHeight="1" x14ac:dyDescent="0.25">
      <c r="A49" s="5" t="s">
        <v>161</v>
      </c>
      <c r="B49" s="8">
        <v>1</v>
      </c>
      <c r="C49" s="102">
        <v>12720593</v>
      </c>
      <c r="D49" s="102">
        <v>241691.26700000002</v>
      </c>
      <c r="E49" s="9">
        <v>12962284</v>
      </c>
    </row>
    <row r="50" spans="1:5" ht="15.75" customHeight="1" x14ac:dyDescent="0.25">
      <c r="A50" s="5" t="s">
        <v>328</v>
      </c>
      <c r="B50" s="8">
        <v>1</v>
      </c>
      <c r="C50" s="102">
        <v>12720593</v>
      </c>
      <c r="D50" s="102">
        <v>241691.26700000002</v>
      </c>
      <c r="E50" s="9">
        <v>12962284</v>
      </c>
    </row>
    <row r="51" spans="1:5" ht="15.75" customHeight="1" x14ac:dyDescent="0.25">
      <c r="A51" s="5" t="s">
        <v>329</v>
      </c>
      <c r="B51" s="8">
        <v>2</v>
      </c>
      <c r="C51" s="102">
        <v>12720593</v>
      </c>
      <c r="D51" s="102">
        <v>483382.53400000004</v>
      </c>
      <c r="E51" s="9">
        <v>25924569</v>
      </c>
    </row>
    <row r="52" spans="1:5" ht="15.75" customHeight="1" x14ac:dyDescent="0.25">
      <c r="A52" s="5" t="s">
        <v>330</v>
      </c>
      <c r="B52" s="8">
        <v>1</v>
      </c>
      <c r="C52" s="102">
        <v>12720593</v>
      </c>
      <c r="D52" s="102">
        <v>241691.26700000002</v>
      </c>
      <c r="E52" s="9">
        <v>12962284</v>
      </c>
    </row>
    <row r="53" spans="1:5" ht="15.75" customHeight="1" x14ac:dyDescent="0.25">
      <c r="A53" s="5" t="s">
        <v>333</v>
      </c>
      <c r="B53" s="8">
        <v>1</v>
      </c>
      <c r="C53" s="102">
        <v>12720593</v>
      </c>
      <c r="D53" s="102">
        <v>241691.26700000002</v>
      </c>
      <c r="E53" s="9">
        <v>12962284</v>
      </c>
    </row>
    <row r="54" spans="1:5" ht="15.75" customHeight="1" x14ac:dyDescent="0.25">
      <c r="A54" s="5" t="s">
        <v>334</v>
      </c>
      <c r="B54" s="8">
        <v>2</v>
      </c>
      <c r="C54" s="102">
        <v>12720593</v>
      </c>
      <c r="D54" s="102">
        <v>483382.53400000004</v>
      </c>
      <c r="E54" s="9">
        <v>25924569</v>
      </c>
    </row>
    <row r="55" spans="1:5" ht="15.75" customHeight="1" x14ac:dyDescent="0.25">
      <c r="A55" s="73" t="s">
        <v>382</v>
      </c>
      <c r="B55" s="75">
        <v>1</v>
      </c>
      <c r="C55" s="76">
        <v>12720593</v>
      </c>
      <c r="D55" s="76">
        <v>0</v>
      </c>
      <c r="E55" s="186">
        <v>12720593</v>
      </c>
    </row>
    <row r="56" spans="1:5" ht="24" customHeight="1" x14ac:dyDescent="0.25">
      <c r="A56" s="7" t="s">
        <v>339</v>
      </c>
      <c r="B56" s="8">
        <v>1</v>
      </c>
      <c r="C56" s="102">
        <v>5695774</v>
      </c>
      <c r="D56" s="102">
        <v>108219.70600000001</v>
      </c>
      <c r="E56" s="9">
        <v>5803994</v>
      </c>
    </row>
    <row r="57" spans="1:5" ht="15" customHeight="1" x14ac:dyDescent="0.25">
      <c r="A57" s="7" t="s">
        <v>341</v>
      </c>
      <c r="B57" s="101">
        <v>1</v>
      </c>
      <c r="C57" s="102">
        <v>13206593</v>
      </c>
      <c r="D57" s="102">
        <v>250925.26700000002</v>
      </c>
      <c r="E57" s="9">
        <v>13457518</v>
      </c>
    </row>
    <row r="58" spans="1:5" ht="15.75" customHeight="1" x14ac:dyDescent="0.25">
      <c r="A58" s="7" t="s">
        <v>343</v>
      </c>
      <c r="B58" s="101">
        <v>1</v>
      </c>
      <c r="C58" s="102">
        <v>13206593</v>
      </c>
      <c r="D58" s="102">
        <v>250925.26700000002</v>
      </c>
      <c r="E58" s="9">
        <v>13457518</v>
      </c>
    </row>
    <row r="59" spans="1:5" ht="15.75" customHeight="1" x14ac:dyDescent="0.25">
      <c r="A59" s="7" t="s">
        <v>345</v>
      </c>
      <c r="B59" s="101">
        <v>2</v>
      </c>
      <c r="C59" s="102">
        <v>13206593</v>
      </c>
      <c r="D59" s="102">
        <v>501850.53400000004</v>
      </c>
      <c r="E59" s="9">
        <v>26915037</v>
      </c>
    </row>
    <row r="60" spans="1:5" ht="15.75" customHeight="1" x14ac:dyDescent="0.25">
      <c r="A60" s="7" t="s">
        <v>343</v>
      </c>
      <c r="B60" s="101">
        <v>1</v>
      </c>
      <c r="C60" s="102">
        <v>13206593</v>
      </c>
      <c r="D60" s="102">
        <v>250925.26700000002</v>
      </c>
      <c r="E60" s="9">
        <v>13457518</v>
      </c>
    </row>
    <row r="61" spans="1:5" ht="14.25" customHeight="1" x14ac:dyDescent="0.25">
      <c r="A61" s="7" t="s">
        <v>349</v>
      </c>
      <c r="B61" s="101">
        <v>12</v>
      </c>
      <c r="C61" s="102">
        <v>12720591</v>
      </c>
      <c r="D61" s="102">
        <v>2900294.7480000001</v>
      </c>
      <c r="E61" s="9">
        <v>155547387</v>
      </c>
    </row>
    <row r="62" spans="1:5" ht="15.75" customHeight="1" x14ac:dyDescent="0.25">
      <c r="A62" s="7" t="s">
        <v>351</v>
      </c>
      <c r="B62" s="101">
        <v>1</v>
      </c>
      <c r="C62" s="102">
        <v>13206593</v>
      </c>
      <c r="D62" s="102">
        <v>250925.26700000002</v>
      </c>
      <c r="E62" s="9">
        <v>13457518</v>
      </c>
    </row>
    <row r="63" spans="1:5" ht="15.75" customHeight="1" x14ac:dyDescent="0.25">
      <c r="A63" s="7" t="s">
        <v>353</v>
      </c>
      <c r="B63" s="101">
        <v>1</v>
      </c>
      <c r="C63" s="102">
        <v>7742034</v>
      </c>
      <c r="D63" s="102">
        <v>147098.64600000001</v>
      </c>
      <c r="E63" s="9">
        <v>7889133</v>
      </c>
    </row>
    <row r="64" spans="1:5" ht="15.75" customHeight="1" x14ac:dyDescent="0.25">
      <c r="A64" s="7" t="s">
        <v>355</v>
      </c>
      <c r="B64" s="101">
        <v>1</v>
      </c>
      <c r="C64" s="102">
        <v>7742037</v>
      </c>
      <c r="D64" s="102">
        <v>147098.70300000001</v>
      </c>
      <c r="E64" s="9">
        <v>7889136</v>
      </c>
    </row>
    <row r="65" spans="1:5" ht="15.75" customHeight="1" x14ac:dyDescent="0.25">
      <c r="A65" s="7" t="s">
        <v>356</v>
      </c>
      <c r="B65" s="101">
        <v>1</v>
      </c>
      <c r="C65" s="102">
        <v>13206593</v>
      </c>
      <c r="D65" s="102">
        <v>250925.26700000002</v>
      </c>
      <c r="E65" s="9">
        <v>13457518</v>
      </c>
    </row>
    <row r="66" spans="1:5" ht="15.75" customHeight="1" x14ac:dyDescent="0.25">
      <c r="A66" s="74" t="s">
        <v>357</v>
      </c>
      <c r="B66" s="91">
        <v>1</v>
      </c>
      <c r="C66" s="76">
        <v>13206593</v>
      </c>
      <c r="D66" s="76">
        <v>0</v>
      </c>
      <c r="E66" s="186">
        <v>13206593</v>
      </c>
    </row>
    <row r="67" spans="1:5" ht="15.75" customHeight="1" x14ac:dyDescent="0.25">
      <c r="A67" s="74" t="s">
        <v>359</v>
      </c>
      <c r="B67" s="91">
        <v>2</v>
      </c>
      <c r="C67" s="76">
        <v>13206593</v>
      </c>
      <c r="D67" s="76">
        <v>0</v>
      </c>
      <c r="E67" s="186">
        <v>26413186</v>
      </c>
    </row>
    <row r="68" spans="1:5" ht="15.75" customHeight="1" x14ac:dyDescent="0.25">
      <c r="A68" s="7" t="s">
        <v>361</v>
      </c>
      <c r="B68" s="101">
        <v>1</v>
      </c>
      <c r="C68" s="102">
        <v>12720593</v>
      </c>
      <c r="D68" s="102">
        <v>241691.26700000002</v>
      </c>
      <c r="E68" s="9">
        <v>12962284</v>
      </c>
    </row>
    <row r="69" spans="1:5" ht="15.75" customHeight="1" x14ac:dyDescent="0.25">
      <c r="A69" s="7" t="s">
        <v>362</v>
      </c>
      <c r="B69" s="101">
        <v>1</v>
      </c>
      <c r="C69" s="102">
        <v>13206593</v>
      </c>
      <c r="D69" s="102">
        <v>250925.26700000002</v>
      </c>
      <c r="E69" s="9">
        <v>13457518</v>
      </c>
    </row>
    <row r="70" spans="1:5" ht="15.75" customHeight="1" x14ac:dyDescent="0.25">
      <c r="A70" s="7" t="s">
        <v>365</v>
      </c>
      <c r="B70" s="101">
        <v>1</v>
      </c>
      <c r="C70" s="102">
        <v>5695774</v>
      </c>
      <c r="D70" s="102">
        <v>108219.70600000001</v>
      </c>
      <c r="E70" s="9">
        <v>5803994</v>
      </c>
    </row>
    <row r="71" spans="1:5" ht="15.75" customHeight="1" x14ac:dyDescent="0.25">
      <c r="A71" s="7" t="s">
        <v>367</v>
      </c>
      <c r="B71" s="101">
        <v>1</v>
      </c>
      <c r="C71" s="102">
        <v>5695774</v>
      </c>
      <c r="D71" s="102">
        <v>108219.70600000001</v>
      </c>
      <c r="E71" s="9">
        <v>5803994</v>
      </c>
    </row>
    <row r="72" spans="1:5" ht="15.75" customHeight="1" x14ac:dyDescent="0.25">
      <c r="A72" s="7" t="s">
        <v>369</v>
      </c>
      <c r="B72" s="101">
        <v>1</v>
      </c>
      <c r="C72" s="102">
        <v>13206593</v>
      </c>
      <c r="D72" s="102">
        <v>250925.26700000002</v>
      </c>
      <c r="E72" s="9">
        <v>13457518</v>
      </c>
    </row>
    <row r="73" spans="1:5" ht="15.75" customHeight="1" x14ac:dyDescent="0.25">
      <c r="A73" s="7" t="s">
        <v>371</v>
      </c>
      <c r="B73" s="101">
        <v>1</v>
      </c>
      <c r="C73" s="102">
        <v>5695774</v>
      </c>
      <c r="D73" s="102">
        <v>108219.70600000001</v>
      </c>
      <c r="E73" s="9">
        <v>5803994</v>
      </c>
    </row>
    <row r="74" spans="1:5" ht="15.75" customHeight="1" x14ac:dyDescent="0.25">
      <c r="A74" s="7" t="s">
        <v>373</v>
      </c>
      <c r="B74" s="101">
        <v>1</v>
      </c>
      <c r="C74" s="102">
        <v>5695774</v>
      </c>
      <c r="D74" s="102">
        <v>108219.70600000001</v>
      </c>
      <c r="E74" s="9">
        <v>5803994</v>
      </c>
    </row>
    <row r="75" spans="1:5" ht="15.75" customHeight="1" x14ac:dyDescent="0.25">
      <c r="A75" s="7" t="s">
        <v>374</v>
      </c>
      <c r="B75" s="101">
        <v>1</v>
      </c>
      <c r="C75" s="102">
        <v>5695774</v>
      </c>
      <c r="D75" s="102">
        <v>108219.70600000001</v>
      </c>
      <c r="E75" s="9">
        <v>5803994</v>
      </c>
    </row>
    <row r="76" spans="1:5" ht="15.75" customHeight="1" x14ac:dyDescent="0.25">
      <c r="A76" s="7" t="s">
        <v>375</v>
      </c>
      <c r="B76" s="101">
        <v>1</v>
      </c>
      <c r="C76" s="102">
        <v>5695774</v>
      </c>
      <c r="D76" s="102">
        <v>108219.70600000001</v>
      </c>
      <c r="E76" s="9">
        <v>5803994</v>
      </c>
    </row>
    <row r="77" spans="1:5" ht="15.75" customHeight="1" x14ac:dyDescent="0.25">
      <c r="A77" s="7" t="s">
        <v>377</v>
      </c>
      <c r="B77" s="101">
        <v>1</v>
      </c>
      <c r="C77" s="102">
        <v>5695774</v>
      </c>
      <c r="D77" s="102">
        <v>108219.70600000001</v>
      </c>
      <c r="E77" s="9">
        <v>5803994</v>
      </c>
    </row>
    <row r="78" spans="1:5" ht="24" customHeight="1" x14ac:dyDescent="0.25">
      <c r="A78" s="187" t="s">
        <v>381</v>
      </c>
      <c r="B78" s="188">
        <v>1</v>
      </c>
      <c r="C78" s="189">
        <v>14340242</v>
      </c>
      <c r="D78" s="189">
        <v>2724645.98</v>
      </c>
      <c r="E78" s="190">
        <v>17064888</v>
      </c>
    </row>
    <row r="79" spans="1:5" ht="15.75" customHeight="1" x14ac:dyDescent="0.25">
      <c r="A79" s="100" t="s">
        <v>385</v>
      </c>
      <c r="B79" s="101">
        <v>2</v>
      </c>
      <c r="C79" s="102">
        <v>1893434.4</v>
      </c>
      <c r="D79" s="103">
        <v>719504.92</v>
      </c>
      <c r="E79" s="16">
        <v>4506372.92</v>
      </c>
    </row>
    <row r="80" spans="1:5" ht="15.75" customHeight="1" x14ac:dyDescent="0.25">
      <c r="A80" s="100" t="s">
        <v>386</v>
      </c>
      <c r="B80" s="101">
        <v>2</v>
      </c>
      <c r="C80" s="102">
        <v>1893434.4</v>
      </c>
      <c r="D80" s="103">
        <v>719504.92</v>
      </c>
      <c r="E80" s="16">
        <v>4506372.92</v>
      </c>
    </row>
    <row r="81" spans="1:5" ht="15.75" customHeight="1" x14ac:dyDescent="0.25">
      <c r="A81" s="111" t="s">
        <v>387</v>
      </c>
      <c r="B81" s="91">
        <v>2</v>
      </c>
      <c r="C81" s="76">
        <v>1893434.4</v>
      </c>
      <c r="D81" s="93">
        <v>0</v>
      </c>
      <c r="E81" s="191">
        <v>3786868</v>
      </c>
    </row>
    <row r="82" spans="1:5" ht="15.75" customHeight="1" x14ac:dyDescent="0.25">
      <c r="A82" s="100" t="s">
        <v>388</v>
      </c>
      <c r="B82" s="101">
        <v>2</v>
      </c>
      <c r="C82" s="102">
        <v>1893434.4</v>
      </c>
      <c r="D82" s="103">
        <v>719504.92</v>
      </c>
      <c r="E82" s="16">
        <v>4506372.92</v>
      </c>
    </row>
    <row r="83" spans="1:5" ht="15.75" customHeight="1" x14ac:dyDescent="0.25">
      <c r="A83" s="100" t="s">
        <v>389</v>
      </c>
      <c r="B83" s="101">
        <v>2</v>
      </c>
      <c r="C83" s="102">
        <v>1893434.4</v>
      </c>
      <c r="D83" s="103">
        <v>719504.92</v>
      </c>
      <c r="E83" s="16">
        <v>4506372.92</v>
      </c>
    </row>
    <row r="84" spans="1:5" ht="15.75" customHeight="1" x14ac:dyDescent="0.25">
      <c r="A84" s="100" t="s">
        <v>391</v>
      </c>
      <c r="B84" s="101">
        <v>2</v>
      </c>
      <c r="C84" s="102">
        <v>1893434.4</v>
      </c>
      <c r="D84" s="103">
        <v>719504.92</v>
      </c>
      <c r="E84" s="16">
        <v>4506372.92</v>
      </c>
    </row>
    <row r="85" spans="1:5" ht="15.75" customHeight="1" x14ac:dyDescent="0.25">
      <c r="A85" s="100" t="s">
        <v>392</v>
      </c>
      <c r="B85" s="101">
        <v>2</v>
      </c>
      <c r="C85" s="102">
        <v>1893434.4</v>
      </c>
      <c r="D85" s="103">
        <v>719504.92</v>
      </c>
      <c r="E85" s="16">
        <v>4506372.92</v>
      </c>
    </row>
    <row r="86" spans="1:5" ht="15.75" customHeight="1" x14ac:dyDescent="0.25">
      <c r="A86" s="100" t="s">
        <v>393</v>
      </c>
      <c r="B86" s="101">
        <v>2</v>
      </c>
      <c r="C86" s="102">
        <v>1893434.4</v>
      </c>
      <c r="D86" s="103">
        <v>719504.92</v>
      </c>
      <c r="E86" s="16">
        <v>4506372.92</v>
      </c>
    </row>
    <row r="87" spans="1:5" ht="15.75" customHeight="1" x14ac:dyDescent="0.25">
      <c r="A87" s="181"/>
      <c r="B87" s="181"/>
      <c r="C87" s="182"/>
      <c r="D87" s="182">
        <v>46620153.301000014</v>
      </c>
      <c r="E87" s="17">
        <v>2429965100.4400005</v>
      </c>
    </row>
  </sheetData>
  <autoFilter ref="A1:E87" xr:uid="{00000000-0009-0000-0000-00000C000000}"/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CUADRO SERVICIOS</vt:lpstr>
      <vt:lpstr>mayo 2026</vt:lpstr>
      <vt:lpstr>mayo 2026 (2)</vt:lpstr>
      <vt:lpstr>TOTAL FACTURA JULIO</vt:lpstr>
      <vt:lpstr>Copia de AGOSTO 2024</vt:lpstr>
      <vt:lpstr>Tabla dinámica 1</vt:lpstr>
      <vt:lpstr>Hoja 2</vt:lpstr>
      <vt:lpstr>Copia de NOVIEMBRE 2023</vt:lpstr>
      <vt:lpstr>JULIO 2023 del 15-31</vt:lpstr>
      <vt:lpstr>AGOSTO 2023 (2)</vt:lpstr>
      <vt:lpstr>ABRIL 2024 (2)</vt:lpstr>
      <vt:lpstr>JUNIO 2024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 Parra Giraldo</dc:creator>
  <cp:lastModifiedBy>licencias5065@i365.top</cp:lastModifiedBy>
  <cp:lastPrinted>2025-12-15T20:48:51Z</cp:lastPrinted>
  <dcterms:created xsi:type="dcterms:W3CDTF">2022-10-05T20:13:18Z</dcterms:created>
  <dcterms:modified xsi:type="dcterms:W3CDTF">2026-06-09T15:29:05Z</dcterms:modified>
</cp:coreProperties>
</file>