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.villaro\OneDrive - Caja de Retiro de las Fuerzas Militares\2026\3. PROCESOS ESTRUCTURADOS\6.1 CAJAS DE COMPENSACIÓN V2\2. COTIZACIONES Y AVAL\"/>
    </mc:Choice>
  </mc:AlternateContent>
  <bookViews>
    <workbookView xWindow="-120" yWindow="-120" windowWidth="29040" windowHeight="15990"/>
  </bookViews>
  <sheets>
    <sheet name="RUBROS" sheetId="2" r:id="rId1"/>
    <sheet name="ANALISIS" sheetId="3" r:id="rId2"/>
  </sheets>
  <definedNames>
    <definedName name="_xlnm._FilterDatabase" localSheetId="1" hidden="1">ANALISIS!$A$4:$V$4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2" l="1"/>
  <c r="I43" i="3"/>
  <c r="L5" i="3" l="1"/>
  <c r="M5" i="3" s="1"/>
  <c r="I13" i="3"/>
  <c r="J13" i="3" s="1"/>
  <c r="I14" i="3"/>
  <c r="J14" i="3" s="1"/>
  <c r="I15" i="3"/>
  <c r="J15" i="3" s="1"/>
  <c r="I16" i="3"/>
  <c r="J16" i="3" s="1"/>
  <c r="I17" i="3"/>
  <c r="J17" i="3" s="1"/>
  <c r="I18" i="3"/>
  <c r="J18" i="3" s="1"/>
  <c r="I19" i="3"/>
  <c r="J19" i="3" s="1"/>
  <c r="I20" i="3"/>
  <c r="J20" i="3" s="1"/>
  <c r="I21" i="3"/>
  <c r="J21" i="3" s="1"/>
  <c r="I22" i="3"/>
  <c r="J22" i="3" s="1"/>
  <c r="I23" i="3"/>
  <c r="J23" i="3" s="1"/>
  <c r="I24" i="3"/>
  <c r="J24" i="3" s="1"/>
  <c r="I25" i="3"/>
  <c r="I26" i="3"/>
  <c r="I27" i="3"/>
  <c r="J27" i="3" s="1"/>
  <c r="I28" i="3"/>
  <c r="J28" i="3" s="1"/>
  <c r="I29" i="3"/>
  <c r="J29" i="3" s="1"/>
  <c r="I30" i="3"/>
  <c r="J30" i="3" s="1"/>
  <c r="I31" i="3"/>
  <c r="J31" i="3" s="1"/>
  <c r="I32" i="3"/>
  <c r="J32" i="3" s="1"/>
  <c r="I33" i="3"/>
  <c r="J33" i="3" s="1"/>
  <c r="I34" i="3"/>
  <c r="J34" i="3" s="1"/>
  <c r="I35" i="3"/>
  <c r="J35" i="3" s="1"/>
  <c r="I36" i="3"/>
  <c r="J36" i="3" s="1"/>
  <c r="I37" i="3"/>
  <c r="J37" i="3" s="1"/>
  <c r="I38" i="3"/>
  <c r="J38" i="3" s="1"/>
  <c r="I39" i="3"/>
  <c r="J39" i="3"/>
  <c r="I40" i="3"/>
  <c r="J40" i="3" s="1"/>
  <c r="I41" i="3"/>
  <c r="J41" i="3" s="1"/>
  <c r="I42" i="3"/>
  <c r="J42" i="3" s="1"/>
  <c r="J43" i="3"/>
  <c r="I44" i="3"/>
  <c r="J44" i="3"/>
  <c r="I45" i="3"/>
  <c r="J45" i="3" s="1"/>
  <c r="I46" i="3"/>
  <c r="J46" i="3" s="1"/>
  <c r="I47" i="3"/>
  <c r="I48" i="3"/>
  <c r="J48" i="3" s="1"/>
  <c r="I49" i="3"/>
  <c r="J49" i="3" s="1"/>
  <c r="I50" i="3"/>
  <c r="J50" i="3" s="1"/>
  <c r="I51" i="3"/>
  <c r="J51" i="3"/>
  <c r="I52" i="3"/>
  <c r="J52" i="3" s="1"/>
  <c r="I53" i="3"/>
  <c r="J53" i="3" s="1"/>
  <c r="I54" i="3"/>
  <c r="J54" i="3" s="1"/>
  <c r="I55" i="3"/>
  <c r="J55" i="3" s="1"/>
  <c r="I56" i="3"/>
  <c r="J56" i="3" s="1"/>
  <c r="I57" i="3"/>
  <c r="J57" i="3" s="1"/>
  <c r="I58" i="3"/>
  <c r="J58" i="3" s="1"/>
  <c r="I59" i="3"/>
  <c r="J59" i="3" s="1"/>
  <c r="I60" i="3"/>
  <c r="J60" i="3" s="1"/>
  <c r="I61" i="3"/>
  <c r="J61" i="3" s="1"/>
  <c r="I62" i="3"/>
  <c r="J62" i="3" s="1"/>
  <c r="I63" i="3"/>
  <c r="J63" i="3" s="1"/>
  <c r="I64" i="3"/>
  <c r="J64" i="3" s="1"/>
  <c r="I65" i="3"/>
  <c r="J65" i="3" s="1"/>
  <c r="I66" i="3"/>
  <c r="J66" i="3" s="1"/>
  <c r="I67" i="3"/>
  <c r="J67" i="3" s="1"/>
  <c r="I68" i="3"/>
  <c r="J68" i="3" s="1"/>
  <c r="I69" i="3"/>
  <c r="J69" i="3" s="1"/>
  <c r="I70" i="3"/>
  <c r="J70" i="3" s="1"/>
  <c r="I71" i="3"/>
  <c r="J71" i="3" s="1"/>
  <c r="I72" i="3"/>
  <c r="J72" i="3" s="1"/>
  <c r="I73" i="3"/>
  <c r="J73" i="3" s="1"/>
  <c r="I74" i="3"/>
  <c r="J74" i="3" s="1"/>
  <c r="I75" i="3"/>
  <c r="J75" i="3" s="1"/>
  <c r="I76" i="3"/>
  <c r="J76" i="3" s="1"/>
  <c r="I77" i="3"/>
  <c r="J77" i="3" s="1"/>
  <c r="I78" i="3"/>
  <c r="J78" i="3" s="1"/>
  <c r="I79" i="3"/>
  <c r="J79" i="3" s="1"/>
  <c r="I80" i="3"/>
  <c r="J80" i="3" s="1"/>
  <c r="I81" i="3"/>
  <c r="J81" i="3" s="1"/>
  <c r="I82" i="3"/>
  <c r="J82" i="3" s="1"/>
  <c r="I83" i="3"/>
  <c r="J83" i="3"/>
  <c r="I84" i="3"/>
  <c r="J84" i="3" s="1"/>
  <c r="I85" i="3"/>
  <c r="J85" i="3" s="1"/>
  <c r="I86" i="3"/>
  <c r="J86" i="3" s="1"/>
  <c r="I87" i="3"/>
  <c r="J87" i="3" s="1"/>
  <c r="I88" i="3"/>
  <c r="J88" i="3" s="1"/>
  <c r="I89" i="3"/>
  <c r="J89" i="3" s="1"/>
  <c r="I90" i="3"/>
  <c r="J90" i="3" s="1"/>
  <c r="I91" i="3"/>
  <c r="J91" i="3" s="1"/>
  <c r="I92" i="3"/>
  <c r="J92" i="3" s="1"/>
  <c r="I93" i="3"/>
  <c r="J93" i="3" s="1"/>
  <c r="I94" i="3"/>
  <c r="J94" i="3" s="1"/>
  <c r="I95" i="3"/>
  <c r="J95" i="3" s="1"/>
  <c r="I96" i="3"/>
  <c r="J96" i="3" s="1"/>
  <c r="I97" i="3"/>
  <c r="J97" i="3" s="1"/>
  <c r="I98" i="3"/>
  <c r="J98" i="3" s="1"/>
  <c r="I99" i="3"/>
  <c r="J99" i="3" s="1"/>
  <c r="I100" i="3"/>
  <c r="J100" i="3" s="1"/>
  <c r="I6" i="3"/>
  <c r="J6" i="3" s="1"/>
  <c r="I7" i="3"/>
  <c r="J7" i="3" s="1"/>
  <c r="I8" i="3"/>
  <c r="J8" i="3" s="1"/>
  <c r="I9" i="3"/>
  <c r="J9" i="3" s="1"/>
  <c r="I12" i="3"/>
  <c r="J12" i="3" s="1"/>
  <c r="I5" i="3"/>
  <c r="J5" i="3" s="1"/>
  <c r="O5" i="3"/>
  <c r="P5" i="3" s="1"/>
  <c r="L6" i="3"/>
  <c r="M6" i="3" s="1"/>
  <c r="O6" i="3"/>
  <c r="P6" i="3" s="1"/>
  <c r="L7" i="3"/>
  <c r="M7" i="3" s="1"/>
  <c r="O7" i="3"/>
  <c r="P7" i="3" s="1"/>
  <c r="L8" i="3"/>
  <c r="M8" i="3" s="1"/>
  <c r="O8" i="3"/>
  <c r="P8" i="3" s="1"/>
  <c r="L9" i="3"/>
  <c r="M9" i="3" s="1"/>
  <c r="O9" i="3"/>
  <c r="P9" i="3" s="1"/>
  <c r="M11" i="3"/>
  <c r="S12" i="3"/>
  <c r="T12" i="3" s="1"/>
  <c r="U12" i="3" s="1"/>
  <c r="V12" i="3" s="1"/>
  <c r="S13" i="3"/>
  <c r="T13" i="3" s="1"/>
  <c r="U13" i="3" s="1"/>
  <c r="V13" i="3" s="1"/>
  <c r="S14" i="3"/>
  <c r="T14" i="3" s="1"/>
  <c r="U14" i="3" s="1"/>
  <c r="V14" i="3" s="1"/>
  <c r="S15" i="3"/>
  <c r="T15" i="3" s="1"/>
  <c r="U15" i="3" s="1"/>
  <c r="V15" i="3" s="1"/>
  <c r="S16" i="3"/>
  <c r="T16" i="3" s="1"/>
  <c r="U16" i="3" s="1"/>
  <c r="V16" i="3" s="1"/>
  <c r="S17" i="3"/>
  <c r="T17" i="3" s="1"/>
  <c r="U17" i="3" s="1"/>
  <c r="V17" i="3" s="1"/>
  <c r="S18" i="3"/>
  <c r="T18" i="3" s="1"/>
  <c r="U18" i="3" s="1"/>
  <c r="V18" i="3" s="1"/>
  <c r="S19" i="3"/>
  <c r="T19" i="3" s="1"/>
  <c r="U19" i="3" s="1"/>
  <c r="V19" i="3" s="1"/>
  <c r="S20" i="3"/>
  <c r="T20" i="3" s="1"/>
  <c r="U20" i="3" s="1"/>
  <c r="V20" i="3" s="1"/>
  <c r="S21" i="3"/>
  <c r="T21" i="3" s="1"/>
  <c r="U21" i="3" s="1"/>
  <c r="V21" i="3" s="1"/>
  <c r="S22" i="3"/>
  <c r="T22" i="3" s="1"/>
  <c r="U22" i="3" s="1"/>
  <c r="V22" i="3" s="1"/>
  <c r="S23" i="3"/>
  <c r="T23" i="3" s="1"/>
  <c r="U23" i="3" s="1"/>
  <c r="V23" i="3" s="1"/>
  <c r="S24" i="3"/>
  <c r="T24" i="3" s="1"/>
  <c r="U24" i="3" s="1"/>
  <c r="V24" i="3" s="1"/>
  <c r="S25" i="3"/>
  <c r="T25" i="3" s="1"/>
  <c r="U25" i="3" s="1"/>
  <c r="V25" i="3" s="1"/>
  <c r="S26" i="3"/>
  <c r="T26" i="3" s="1"/>
  <c r="U26" i="3" s="1"/>
  <c r="V26" i="3" s="1"/>
  <c r="S27" i="3"/>
  <c r="T27" i="3" s="1"/>
  <c r="U27" i="3" s="1"/>
  <c r="V27" i="3" s="1"/>
  <c r="S28" i="3"/>
  <c r="T28" i="3" s="1"/>
  <c r="U28" i="3" s="1"/>
  <c r="V28" i="3" s="1"/>
  <c r="S29" i="3"/>
  <c r="T29" i="3" s="1"/>
  <c r="U29" i="3" s="1"/>
  <c r="V29" i="3" s="1"/>
  <c r="S30" i="3"/>
  <c r="T30" i="3" s="1"/>
  <c r="U30" i="3" s="1"/>
  <c r="V30" i="3" s="1"/>
  <c r="S31" i="3"/>
  <c r="T31" i="3" s="1"/>
  <c r="U31" i="3" s="1"/>
  <c r="V31" i="3" s="1"/>
  <c r="S32" i="3"/>
  <c r="T32" i="3" s="1"/>
  <c r="U32" i="3" s="1"/>
  <c r="V32" i="3" s="1"/>
  <c r="S33" i="3"/>
  <c r="T33" i="3" s="1"/>
  <c r="U33" i="3" s="1"/>
  <c r="V33" i="3" s="1"/>
  <c r="S34" i="3"/>
  <c r="T34" i="3" s="1"/>
  <c r="U34" i="3" s="1"/>
  <c r="V34" i="3" s="1"/>
  <c r="S35" i="3"/>
  <c r="T35" i="3" s="1"/>
  <c r="U35" i="3" s="1"/>
  <c r="V35" i="3" s="1"/>
  <c r="S36" i="3"/>
  <c r="T36" i="3" s="1"/>
  <c r="U36" i="3" s="1"/>
  <c r="V36" i="3" s="1"/>
  <c r="S37" i="3"/>
  <c r="T37" i="3" s="1"/>
  <c r="U37" i="3" s="1"/>
  <c r="V37" i="3" s="1"/>
  <c r="S38" i="3"/>
  <c r="T38" i="3" s="1"/>
  <c r="U38" i="3" s="1"/>
  <c r="V38" i="3" s="1"/>
  <c r="S39" i="3"/>
  <c r="T39" i="3" s="1"/>
  <c r="U39" i="3" s="1"/>
  <c r="V39" i="3" s="1"/>
  <c r="S40" i="3"/>
  <c r="T40" i="3" s="1"/>
  <c r="U40" i="3" s="1"/>
  <c r="V40" i="3" s="1"/>
  <c r="S41" i="3"/>
  <c r="T41" i="3" s="1"/>
  <c r="U41" i="3" s="1"/>
  <c r="V41" i="3" s="1"/>
  <c r="S42" i="3"/>
  <c r="T42" i="3" s="1"/>
  <c r="U42" i="3" s="1"/>
  <c r="V42" i="3" s="1"/>
  <c r="S43" i="3"/>
  <c r="T43" i="3" s="1"/>
  <c r="U43" i="3" s="1"/>
  <c r="V43" i="3" s="1"/>
  <c r="S44" i="3"/>
  <c r="T44" i="3" s="1"/>
  <c r="U44" i="3" s="1"/>
  <c r="V44" i="3" s="1"/>
  <c r="S45" i="3"/>
  <c r="T45" i="3" s="1"/>
  <c r="U45" i="3" s="1"/>
  <c r="V45" i="3" s="1"/>
  <c r="S46" i="3"/>
  <c r="T46" i="3" s="1"/>
  <c r="U46" i="3" s="1"/>
  <c r="V46" i="3" s="1"/>
  <c r="S47" i="3"/>
  <c r="T47" i="3" s="1"/>
  <c r="U47" i="3" s="1"/>
  <c r="V47" i="3" s="1"/>
  <c r="S48" i="3"/>
  <c r="T48" i="3" s="1"/>
  <c r="U48" i="3" s="1"/>
  <c r="V48" i="3" s="1"/>
  <c r="S49" i="3"/>
  <c r="T49" i="3" s="1"/>
  <c r="U49" i="3" s="1"/>
  <c r="V49" i="3" s="1"/>
  <c r="S50" i="3"/>
  <c r="T50" i="3" s="1"/>
  <c r="U50" i="3" s="1"/>
  <c r="V50" i="3" s="1"/>
  <c r="S51" i="3"/>
  <c r="T51" i="3" s="1"/>
  <c r="U51" i="3" s="1"/>
  <c r="V51" i="3" s="1"/>
  <c r="S52" i="3"/>
  <c r="T52" i="3" s="1"/>
  <c r="U52" i="3" s="1"/>
  <c r="V52" i="3" s="1"/>
  <c r="S53" i="3"/>
  <c r="T53" i="3" s="1"/>
  <c r="U53" i="3" s="1"/>
  <c r="V53" i="3" s="1"/>
  <c r="S54" i="3"/>
  <c r="T54" i="3" s="1"/>
  <c r="U54" i="3" s="1"/>
  <c r="V54" i="3" s="1"/>
  <c r="S55" i="3"/>
  <c r="T55" i="3" s="1"/>
  <c r="U55" i="3" s="1"/>
  <c r="V55" i="3" s="1"/>
  <c r="S56" i="3"/>
  <c r="T56" i="3" s="1"/>
  <c r="U56" i="3" s="1"/>
  <c r="V56" i="3" s="1"/>
  <c r="S57" i="3"/>
  <c r="T57" i="3" s="1"/>
  <c r="U57" i="3" s="1"/>
  <c r="V57" i="3" s="1"/>
  <c r="S58" i="3"/>
  <c r="T58" i="3" s="1"/>
  <c r="U58" i="3" s="1"/>
  <c r="V58" i="3" s="1"/>
  <c r="S59" i="3"/>
  <c r="T59" i="3" s="1"/>
  <c r="U59" i="3" s="1"/>
  <c r="V59" i="3" s="1"/>
  <c r="S60" i="3"/>
  <c r="T60" i="3" s="1"/>
  <c r="U60" i="3" s="1"/>
  <c r="V60" i="3" s="1"/>
  <c r="S61" i="3"/>
  <c r="T61" i="3" s="1"/>
  <c r="U61" i="3" s="1"/>
  <c r="V61" i="3" s="1"/>
  <c r="S62" i="3"/>
  <c r="T62" i="3" s="1"/>
  <c r="U62" i="3" s="1"/>
  <c r="V62" i="3" s="1"/>
  <c r="S63" i="3"/>
  <c r="T63" i="3" s="1"/>
  <c r="U63" i="3" s="1"/>
  <c r="V63" i="3" s="1"/>
  <c r="S64" i="3"/>
  <c r="T64" i="3" s="1"/>
  <c r="U64" i="3" s="1"/>
  <c r="V64" i="3" s="1"/>
  <c r="S65" i="3"/>
  <c r="T65" i="3" s="1"/>
  <c r="U65" i="3" s="1"/>
  <c r="V65" i="3" s="1"/>
  <c r="S66" i="3"/>
  <c r="T66" i="3" s="1"/>
  <c r="U66" i="3" s="1"/>
  <c r="V66" i="3" s="1"/>
  <c r="S67" i="3"/>
  <c r="T67" i="3" s="1"/>
  <c r="U67" i="3" s="1"/>
  <c r="V67" i="3" s="1"/>
  <c r="S68" i="3"/>
  <c r="T68" i="3" s="1"/>
  <c r="U68" i="3" s="1"/>
  <c r="V68" i="3" s="1"/>
  <c r="S69" i="3"/>
  <c r="T69" i="3" s="1"/>
  <c r="U69" i="3" s="1"/>
  <c r="V69" i="3" s="1"/>
  <c r="L70" i="3"/>
  <c r="M70" i="3" s="1"/>
  <c r="M71" i="3"/>
  <c r="Q71" i="3"/>
  <c r="T71" i="3" s="1"/>
  <c r="U71" i="3" s="1"/>
  <c r="V71" i="3" s="1"/>
  <c r="M72" i="3"/>
  <c r="P72" i="3"/>
  <c r="L73" i="3"/>
  <c r="M73" i="3" s="1"/>
  <c r="P74" i="3"/>
  <c r="S74" i="3" s="1"/>
  <c r="T74" i="3" s="1"/>
  <c r="U74" i="3" s="1"/>
  <c r="V74" i="3" s="1"/>
  <c r="L75" i="3"/>
  <c r="M75" i="3" s="1"/>
  <c r="M76" i="3"/>
  <c r="Q76" i="3" s="1"/>
  <c r="T76" i="3" s="1"/>
  <c r="U76" i="3" s="1"/>
  <c r="V76" i="3" s="1"/>
  <c r="S77" i="3"/>
  <c r="T77" i="3" s="1"/>
  <c r="U77" i="3" s="1"/>
  <c r="V77" i="3" s="1"/>
  <c r="L78" i="3"/>
  <c r="M78" i="3" s="1"/>
  <c r="S79" i="3"/>
  <c r="T79" i="3" s="1"/>
  <c r="U79" i="3" s="1"/>
  <c r="V79" i="3" s="1"/>
  <c r="S80" i="3"/>
  <c r="T80" i="3" s="1"/>
  <c r="U80" i="3" s="1"/>
  <c r="V80" i="3" s="1"/>
  <c r="L81" i="3"/>
  <c r="M81" i="3" s="1"/>
  <c r="L82" i="3"/>
  <c r="M82" i="3" s="1"/>
  <c r="S82" i="3" s="1"/>
  <c r="T82" i="3" s="1"/>
  <c r="U82" i="3" s="1"/>
  <c r="V82" i="3" s="1"/>
  <c r="L83" i="3"/>
  <c r="M83" i="3" s="1"/>
  <c r="L84" i="3"/>
  <c r="M84" i="3" s="1"/>
  <c r="Q84" i="3" s="1"/>
  <c r="L85" i="3"/>
  <c r="M85" i="3" s="1"/>
  <c r="L86" i="3"/>
  <c r="M86" i="3" s="1"/>
  <c r="R86" i="3" s="1"/>
  <c r="P87" i="3"/>
  <c r="S87" i="3" s="1"/>
  <c r="T87" i="3" s="1"/>
  <c r="U87" i="3" s="1"/>
  <c r="V87" i="3" s="1"/>
  <c r="L88" i="3"/>
  <c r="M88" i="3" s="1"/>
  <c r="S88" i="3" s="1"/>
  <c r="T88" i="3" s="1"/>
  <c r="U88" i="3" s="1"/>
  <c r="V88" i="3" s="1"/>
  <c r="Q89" i="3"/>
  <c r="T89" i="3" s="1"/>
  <c r="U89" i="3" s="1"/>
  <c r="V89" i="3" s="1"/>
  <c r="L90" i="3"/>
  <c r="M90" i="3" s="1"/>
  <c r="S90" i="3" s="1"/>
  <c r="T90" i="3" s="1"/>
  <c r="U90" i="3" s="1"/>
  <c r="V90" i="3" s="1"/>
  <c r="L91" i="3"/>
  <c r="M91" i="3" s="1"/>
  <c r="Q91" i="3" s="1"/>
  <c r="P92" i="3"/>
  <c r="R92" i="3" s="1"/>
  <c r="L93" i="3"/>
  <c r="M93" i="3" s="1"/>
  <c r="P93" i="3"/>
  <c r="L94" i="3"/>
  <c r="M94" i="3" s="1"/>
  <c r="L95" i="3"/>
  <c r="M95" i="3" s="1"/>
  <c r="L96" i="3"/>
  <c r="M96" i="3" s="1"/>
  <c r="L97" i="3"/>
  <c r="M97" i="3" s="1"/>
  <c r="L98" i="3"/>
  <c r="M98" i="3" s="1"/>
  <c r="S98" i="3" s="1"/>
  <c r="T98" i="3" s="1"/>
  <c r="U98" i="3" s="1"/>
  <c r="V98" i="3" s="1"/>
  <c r="L99" i="3"/>
  <c r="M99" i="3"/>
  <c r="S99" i="3" s="1"/>
  <c r="T99" i="3" s="1"/>
  <c r="U99" i="3" s="1"/>
  <c r="V99" i="3" s="1"/>
  <c r="L100" i="3"/>
  <c r="M100" i="3" s="1"/>
  <c r="S89" i="3"/>
  <c r="O70" i="3"/>
  <c r="O73" i="3"/>
  <c r="O75" i="3"/>
  <c r="O78" i="3"/>
  <c r="O82" i="3"/>
  <c r="O83" i="3"/>
  <c r="O84" i="3"/>
  <c r="O85" i="3"/>
  <c r="O86" i="3"/>
  <c r="O88" i="3"/>
  <c r="O90" i="3"/>
  <c r="O91" i="3"/>
  <c r="O95" i="3"/>
  <c r="O96" i="3"/>
  <c r="O98" i="3"/>
  <c r="Q99" i="3"/>
  <c r="O100" i="3"/>
  <c r="Q12" i="3"/>
  <c r="R12" i="3"/>
  <c r="Q13" i="3"/>
  <c r="R13" i="3"/>
  <c r="Q14" i="3"/>
  <c r="R14" i="3"/>
  <c r="Q15" i="3"/>
  <c r="R15" i="3"/>
  <c r="Q16" i="3"/>
  <c r="R16" i="3"/>
  <c r="Q17" i="3"/>
  <c r="R17" i="3"/>
  <c r="Q18" i="3"/>
  <c r="R18" i="3"/>
  <c r="Q19" i="3"/>
  <c r="R19" i="3"/>
  <c r="Q20" i="3"/>
  <c r="R20" i="3"/>
  <c r="Q21" i="3"/>
  <c r="R21" i="3"/>
  <c r="Q22" i="3"/>
  <c r="R22" i="3"/>
  <c r="Q23" i="3"/>
  <c r="R23" i="3"/>
  <c r="Q24" i="3"/>
  <c r="R24" i="3"/>
  <c r="Q25" i="3"/>
  <c r="R25" i="3"/>
  <c r="Q26" i="3"/>
  <c r="R26" i="3"/>
  <c r="Q27" i="3"/>
  <c r="R27" i="3"/>
  <c r="Q28" i="3"/>
  <c r="R28" i="3"/>
  <c r="Q29" i="3"/>
  <c r="R29" i="3"/>
  <c r="Q30" i="3"/>
  <c r="R30" i="3"/>
  <c r="Q31" i="3"/>
  <c r="R31" i="3"/>
  <c r="Q32" i="3"/>
  <c r="R32" i="3"/>
  <c r="Q33" i="3"/>
  <c r="R33" i="3"/>
  <c r="Q34" i="3"/>
  <c r="R34" i="3"/>
  <c r="Q35" i="3"/>
  <c r="R35" i="3"/>
  <c r="Q36" i="3"/>
  <c r="R36" i="3"/>
  <c r="Q37" i="3"/>
  <c r="R37" i="3"/>
  <c r="Q38" i="3"/>
  <c r="R38" i="3"/>
  <c r="Q39" i="3"/>
  <c r="R39" i="3"/>
  <c r="Q40" i="3"/>
  <c r="R40" i="3"/>
  <c r="Q41" i="3"/>
  <c r="R41" i="3"/>
  <c r="Q42" i="3"/>
  <c r="R42" i="3"/>
  <c r="Q43" i="3"/>
  <c r="R43" i="3"/>
  <c r="Q44" i="3"/>
  <c r="R44" i="3"/>
  <c r="Q45" i="3"/>
  <c r="R45" i="3"/>
  <c r="Q46" i="3"/>
  <c r="R46" i="3"/>
  <c r="Q47" i="3"/>
  <c r="R47" i="3"/>
  <c r="Q48" i="3"/>
  <c r="R48" i="3"/>
  <c r="Q49" i="3"/>
  <c r="R49" i="3"/>
  <c r="Q50" i="3"/>
  <c r="R50" i="3"/>
  <c r="Q51" i="3"/>
  <c r="R51" i="3"/>
  <c r="Q52" i="3"/>
  <c r="R52" i="3"/>
  <c r="Q53" i="3"/>
  <c r="R53" i="3"/>
  <c r="Q54" i="3"/>
  <c r="R54" i="3"/>
  <c r="Q55" i="3"/>
  <c r="R55" i="3"/>
  <c r="Q56" i="3"/>
  <c r="R56" i="3"/>
  <c r="Q57" i="3"/>
  <c r="R57" i="3"/>
  <c r="Q58" i="3"/>
  <c r="R58" i="3"/>
  <c r="Q59" i="3"/>
  <c r="R59" i="3"/>
  <c r="Q60" i="3"/>
  <c r="R60" i="3"/>
  <c r="Q61" i="3"/>
  <c r="R61" i="3"/>
  <c r="Q62" i="3"/>
  <c r="R62" i="3"/>
  <c r="Q63" i="3"/>
  <c r="R63" i="3"/>
  <c r="Q64" i="3"/>
  <c r="R64" i="3"/>
  <c r="Q65" i="3"/>
  <c r="R65" i="3"/>
  <c r="Q66" i="3"/>
  <c r="R66" i="3"/>
  <c r="Q67" i="3"/>
  <c r="R67" i="3"/>
  <c r="Q68" i="3"/>
  <c r="R68" i="3"/>
  <c r="Q69" i="3"/>
  <c r="R69" i="3"/>
  <c r="Q77" i="3"/>
  <c r="R77" i="3"/>
  <c r="Q79" i="3"/>
  <c r="R79" i="3"/>
  <c r="Q80" i="3"/>
  <c r="R80" i="3"/>
  <c r="R89" i="3"/>
  <c r="N101" i="3"/>
  <c r="K101" i="3"/>
  <c r="J47" i="3" l="1"/>
  <c r="J26" i="3"/>
  <c r="J25" i="3"/>
  <c r="M5" i="2"/>
  <c r="L5" i="2"/>
  <c r="Q6" i="3"/>
  <c r="S7" i="3"/>
  <c r="T7" i="3" s="1"/>
  <c r="U7" i="3" s="1"/>
  <c r="V7" i="3" s="1"/>
  <c r="R8" i="3"/>
  <c r="S83" i="3"/>
  <c r="T83" i="3" s="1"/>
  <c r="U83" i="3" s="1"/>
  <c r="V83" i="3" s="1"/>
  <c r="Q83" i="3"/>
  <c r="R83" i="3"/>
  <c r="R9" i="3"/>
  <c r="Q72" i="3"/>
  <c r="R6" i="3"/>
  <c r="Q8" i="3"/>
  <c r="S6" i="3"/>
  <c r="T6" i="3" s="1"/>
  <c r="U6" i="3" s="1"/>
  <c r="V6" i="3" s="1"/>
  <c r="S8" i="3"/>
  <c r="T8" i="3" s="1"/>
  <c r="U8" i="3" s="1"/>
  <c r="V8" i="3" s="1"/>
  <c r="S11" i="3"/>
  <c r="T11" i="3" s="1"/>
  <c r="U11" i="3" s="1"/>
  <c r="V11" i="3" s="1"/>
  <c r="K4" i="2" s="1"/>
  <c r="Q11" i="3"/>
  <c r="R11" i="3"/>
  <c r="R88" i="3"/>
  <c r="Q88" i="3"/>
  <c r="R90" i="3"/>
  <c r="Q90" i="3"/>
  <c r="O101" i="3"/>
  <c r="S70" i="3"/>
  <c r="T70" i="3" s="1"/>
  <c r="U70" i="3" s="1"/>
  <c r="V70" i="3" s="1"/>
  <c r="R70" i="3"/>
  <c r="Q70" i="3"/>
  <c r="S71" i="3"/>
  <c r="R71" i="3"/>
  <c r="Q74" i="3"/>
  <c r="R74" i="3"/>
  <c r="S75" i="3"/>
  <c r="T75" i="3" s="1"/>
  <c r="U75" i="3" s="1"/>
  <c r="V75" i="3" s="1"/>
  <c r="Q75" i="3"/>
  <c r="R75" i="3"/>
  <c r="S78" i="3"/>
  <c r="T78" i="3" s="1"/>
  <c r="U78" i="3" s="1"/>
  <c r="V78" i="3" s="1"/>
  <c r="Q78" i="3"/>
  <c r="S84" i="3"/>
  <c r="T84" i="3" s="1"/>
  <c r="U84" i="3" s="1"/>
  <c r="V84" i="3" s="1"/>
  <c r="R84" i="3"/>
  <c r="S91" i="3"/>
  <c r="T91" i="3" s="1"/>
  <c r="U91" i="3" s="1"/>
  <c r="V91" i="3" s="1"/>
  <c r="R91" i="3"/>
  <c r="S97" i="3"/>
  <c r="T97" i="3" s="1"/>
  <c r="U97" i="3" s="1"/>
  <c r="V97" i="3" s="1"/>
  <c r="Q97" i="3"/>
  <c r="R97" i="3"/>
  <c r="R98" i="3"/>
  <c r="Q98" i="3"/>
  <c r="S85" i="3"/>
  <c r="T85" i="3" s="1"/>
  <c r="U85" i="3" s="1"/>
  <c r="V85" i="3" s="1"/>
  <c r="Q85" i="3"/>
  <c r="S72" i="3"/>
  <c r="T72" i="3" s="1"/>
  <c r="U72" i="3" s="1"/>
  <c r="V72" i="3" s="1"/>
  <c r="R72" i="3"/>
  <c r="R95" i="3"/>
  <c r="S95" i="3"/>
  <c r="T95" i="3" s="1"/>
  <c r="U95" i="3" s="1"/>
  <c r="V95" i="3" s="1"/>
  <c r="Q95" i="3"/>
  <c r="S9" i="3"/>
  <c r="T9" i="3" s="1"/>
  <c r="U9" i="3" s="1"/>
  <c r="V9" i="3" s="1"/>
  <c r="Q9" i="3"/>
  <c r="M101" i="3"/>
  <c r="R7" i="3"/>
  <c r="Q7" i="3"/>
  <c r="L101" i="3"/>
  <c r="S5" i="3"/>
  <c r="T5" i="3" s="1"/>
  <c r="U5" i="3" s="1"/>
  <c r="V5" i="3" s="1"/>
  <c r="Q5" i="3"/>
  <c r="P101" i="3"/>
  <c r="R5" i="3"/>
  <c r="S100" i="3"/>
  <c r="T100" i="3" s="1"/>
  <c r="U100" i="3" s="1"/>
  <c r="V100" i="3" s="1"/>
  <c r="R100" i="3"/>
  <c r="Q100" i="3"/>
  <c r="Q92" i="3"/>
  <c r="S92" i="3"/>
  <c r="T92" i="3" s="1"/>
  <c r="U92" i="3" s="1"/>
  <c r="V92" i="3" s="1"/>
  <c r="R85" i="3"/>
  <c r="Q94" i="3"/>
  <c r="R94" i="3"/>
  <c r="S94" i="3"/>
  <c r="T94" i="3" s="1"/>
  <c r="U94" i="3" s="1"/>
  <c r="V94" i="3" s="1"/>
  <c r="S93" i="3"/>
  <c r="T93" i="3" s="1"/>
  <c r="U93" i="3" s="1"/>
  <c r="V93" i="3" s="1"/>
  <c r="Q93" i="3"/>
  <c r="R93" i="3"/>
  <c r="S81" i="3"/>
  <c r="T81" i="3" s="1"/>
  <c r="U81" i="3" s="1"/>
  <c r="V81" i="3" s="1"/>
  <c r="Q81" i="3"/>
  <c r="R81" i="3"/>
  <c r="S73" i="3"/>
  <c r="T73" i="3" s="1"/>
  <c r="U73" i="3" s="1"/>
  <c r="V73" i="3" s="1"/>
  <c r="Q73" i="3"/>
  <c r="R73" i="3"/>
  <c r="S96" i="3"/>
  <c r="T96" i="3" s="1"/>
  <c r="U96" i="3" s="1"/>
  <c r="V96" i="3" s="1"/>
  <c r="Q96" i="3"/>
  <c r="R96" i="3"/>
  <c r="S86" i="3"/>
  <c r="T86" i="3" s="1"/>
  <c r="U86" i="3" s="1"/>
  <c r="V86" i="3" s="1"/>
  <c r="Q86" i="3"/>
  <c r="R78" i="3"/>
  <c r="R87" i="3"/>
  <c r="Q82" i="3"/>
  <c r="R76" i="3"/>
  <c r="Q87" i="3"/>
  <c r="S76" i="3"/>
  <c r="R82" i="3"/>
  <c r="R99" i="3"/>
  <c r="M6" i="2" l="1"/>
  <c r="H6" i="2" s="1"/>
  <c r="I6" i="2" s="1"/>
  <c r="M4" i="2"/>
  <c r="H4" i="2" s="1"/>
  <c r="J7" i="2"/>
  <c r="H7" i="2" s="1"/>
  <c r="I7" i="2" s="1"/>
  <c r="H5" i="2"/>
  <c r="I5" i="2" s="1"/>
  <c r="U101" i="3"/>
  <c r="I4" i="2" l="1"/>
  <c r="H8" i="2"/>
  <c r="V101" i="3"/>
  <c r="I8" i="2" l="1"/>
</calcChain>
</file>

<file path=xl/sharedStrings.xml><?xml version="1.0" encoding="utf-8"?>
<sst xmlns="http://schemas.openxmlformats.org/spreadsheetml/2006/main" count="440" uniqueCount="211">
  <si>
    <t>CDP</t>
  </si>
  <si>
    <t>RUBRO</t>
  </si>
  <si>
    <t>DESCRIPCIÓN</t>
  </si>
  <si>
    <t>RECURSO</t>
  </si>
  <si>
    <t>FUENTE – SITUACIÓN</t>
  </si>
  <si>
    <t xml:space="preserve">PRESUPUESTO CDP </t>
  </si>
  <si>
    <t>ANEXO</t>
  </si>
  <si>
    <t>PRESUPUESTO OFICIAL</t>
  </si>
  <si>
    <t xml:space="preserve">PRESUPUESTO NO COMPROMETIDO AJUSTE DE CANTIDADES </t>
  </si>
  <si>
    <t>ANEXO No. 1 - 2 - 3 Y 4</t>
  </si>
  <si>
    <t>ANEXO No. 5
($155.000.000)</t>
  </si>
  <si>
    <t>ANEXO No. 6
($174.000.000)</t>
  </si>
  <si>
    <t>ANEXO No. 7</t>
  </si>
  <si>
    <t>A-02-02-02-009-002</t>
  </si>
  <si>
    <t>SERVICIOS DE EDUCACIÓN</t>
  </si>
  <si>
    <t>PROPIOS
CSF</t>
  </si>
  <si>
    <t>5 y 7</t>
  </si>
  <si>
    <t>A-02-02-02-009-003</t>
  </si>
  <si>
    <t>SERVICIOS PARA EL CUIDADO DE LA SALUD HUMANA Y SERVICIOS SOCIALES</t>
  </si>
  <si>
    <t>6 y 7</t>
  </si>
  <si>
    <t>A-02-02-02-009-006</t>
  </si>
  <si>
    <t>SERVICIOS RECREATIVOS, CULTURALES Y DEPORTIVOS</t>
  </si>
  <si>
    <t>A-03-04-02-037</t>
  </si>
  <si>
    <t>BIENESTAR SOCIAL AFILIADOS DE LA CAJA DE RETIRO DE LAS FUERZAS MILITARES Y LA CAJA DE SUELDOS DE RETIRO DE LA POLICÍA NACIONAL, DECRETOS 2002 Y 2003 DE 1984 (NO DE PENSIONES)</t>
  </si>
  <si>
    <t>1 - 2 - 3 y 4</t>
  </si>
  <si>
    <t>TOTAL</t>
  </si>
  <si>
    <t>CAJA DE COMPENSACIÓN FAMILIAR COMFACUNDI</t>
  </si>
  <si>
    <t>CAJA DE COMPENSACIÓN FAMILIAR COMPENSAR</t>
  </si>
  <si>
    <t>ÍTEM</t>
  </si>
  <si>
    <t>PRODUCTO</t>
  </si>
  <si>
    <t>UNIDAD DE MEDIDA</t>
  </si>
  <si>
    <t>NECESIDAD TOTAL</t>
  </si>
  <si>
    <t>PROYECTADA A ADQUIRIR</t>
  </si>
  <si>
    <t>DÉFICIT Y/O LIMITACIÓN</t>
  </si>
  <si>
    <t>% DÉFICIT Y/O LIMITACIÓN</t>
  </si>
  <si>
    <t>VALOR UNITARIO ANTES DE IVA</t>
  </si>
  <si>
    <t>VALOR IVA</t>
  </si>
  <si>
    <t xml:space="preserve">VALOR TOTAL INCLUIDO IVA </t>
  </si>
  <si>
    <t xml:space="preserve">MENOR VALOR </t>
  </si>
  <si>
    <t xml:space="preserve">MAYOR VALOR </t>
  </si>
  <si>
    <t>MEDIANA</t>
  </si>
  <si>
    <t xml:space="preserve">PRECIO DE REFERENCIA </t>
  </si>
  <si>
    <t>PRECIO DE REFERENCIA VALOR UNITARIO INCLUIDO IVA (Según Aplique)</t>
  </si>
  <si>
    <t>PRECIO DE REFERENCIA VALOR TOTAL INCLUIDO IVA (Según Aplique)</t>
  </si>
  <si>
    <t>ANEXO No. 01</t>
  </si>
  <si>
    <t>Capacitación Virtual</t>
  </si>
  <si>
    <t xml:space="preserve">VALOR GLOBAL 
10 horas Certificadas para 50 personas </t>
  </si>
  <si>
    <t>Foro de Emprendimiento, Innovación y Sostenibilidad para Veteranos del Sector Defensa: Resiliencia, Responsabilidad Social, Unión de Agremiaciones y Construcción de Proyectos de Vida</t>
  </si>
  <si>
    <t xml:space="preserve">VALOR GLOBAL
4 horas para 50 personas </t>
  </si>
  <si>
    <t xml:space="preserve">ANEXO No. 02 </t>
  </si>
  <si>
    <t>Encuentros Presenciales</t>
  </si>
  <si>
    <t>Valor Global</t>
  </si>
  <si>
    <t xml:space="preserve">ANEXO No. 03 </t>
  </si>
  <si>
    <t xml:space="preserve">Transmisión Encuentro Virtual </t>
  </si>
  <si>
    <t xml:space="preserve">ANEXO No. 04 </t>
  </si>
  <si>
    <t>Conmemoración Día del Veterano Virtual Bogotá</t>
  </si>
  <si>
    <t>CAJA DE COMPENSACIÓN FAMILIAR CAFAM</t>
  </si>
  <si>
    <t>6 (*)</t>
  </si>
  <si>
    <t xml:space="preserve">ANEXO No. 05 </t>
  </si>
  <si>
    <t xml:space="preserve">Plataforma e-learnig </t>
  </si>
  <si>
    <t>140 Hasta 360 (Capacidad del E-Learning)</t>
  </si>
  <si>
    <t>Dominios de la plataforma en la vigencia 2026</t>
  </si>
  <si>
    <t xml:space="preserve">Manejo de herramientas tecnológicas </t>
  </si>
  <si>
    <t>30 PERSONAS</t>
  </si>
  <si>
    <t>Gamificación e innovación educativa</t>
  </si>
  <si>
    <t>Phyton aplicados para análisis de textos</t>
  </si>
  <si>
    <t xml:space="preserve">Supervisión de contratos </t>
  </si>
  <si>
    <t>Arquitectura empresarial (Gestión del Conocimiento e Innovación)</t>
  </si>
  <si>
    <t>Gestión Ambiental</t>
  </si>
  <si>
    <t xml:space="preserve">50 personas (Taller sincrónico) </t>
  </si>
  <si>
    <t>Cambio climático y Gestión de Riesgos basado en la ISO 31000</t>
  </si>
  <si>
    <t>Enmienda en cambio climático en relación a la ISO 9001 Y 14001 - Aplicación de la enmienda por el cambio climático en la ISO 14001</t>
  </si>
  <si>
    <t>Normas técnicas de Sistemas de Gestión</t>
  </si>
  <si>
    <t>20 PERSONAS</t>
  </si>
  <si>
    <t>Especialización Método BIM</t>
  </si>
  <si>
    <t>proyectos de inversión</t>
  </si>
  <si>
    <t>Certificación modelo EFR 1000-1</t>
  </si>
  <si>
    <t>10 PERSONAS</t>
  </si>
  <si>
    <t>Manejo de los seguros</t>
  </si>
  <si>
    <t>Actualización e interpretación de la normatividad tributaria</t>
  </si>
  <si>
    <t>Finanzas aplicadas a proyectos de inversión</t>
  </si>
  <si>
    <t xml:space="preserve">Planeación prospectiva </t>
  </si>
  <si>
    <t>Indicadores de Gestión y Seguimiento del SG-SST</t>
  </si>
  <si>
    <t>5 personas (SST)</t>
  </si>
  <si>
    <t>Sistema Globalmente Armonizado (SGA): Manipulación, Interpretación de la matriz de compatibilidad y almacenamiento de productos químicos, Rotulación y Almacenamiento de Sustancias Químicas</t>
  </si>
  <si>
    <t>40 personas (Brigada)</t>
  </si>
  <si>
    <t>Prevención del Acoso Laboral y Acoso Sexual</t>
  </si>
  <si>
    <t>150 personas (Cremil)</t>
  </si>
  <si>
    <t>Manejo Seguro de Equipos Eléctricos conforme al RETIE</t>
  </si>
  <si>
    <t>3 personas (Mantenimiento)</t>
  </si>
  <si>
    <t xml:space="preserve">Formador de formadores </t>
  </si>
  <si>
    <t xml:space="preserve">Inducción y reinducción </t>
  </si>
  <si>
    <t>Derecho Disciplinario </t>
  </si>
  <si>
    <t>40 personas </t>
  </si>
  <si>
    <t xml:space="preserve">ANEXO No. 06 </t>
  </si>
  <si>
    <t>Bateria de riesgo psicosocial</t>
  </si>
  <si>
    <t>Numeros de pruebas aplicadas 290 Funcionarios</t>
  </si>
  <si>
    <t>Intervención individual de Posibles casos blanco</t>
  </si>
  <si>
    <t>Numero de intervenciones 24 Funcionarios</t>
  </si>
  <si>
    <t>Atención Psicológica Asistencial</t>
  </si>
  <si>
    <t>Numero de intervenciones 60 Funcionarios</t>
  </si>
  <si>
    <t xml:space="preserve">Taller de entrenamiento de Embajadores de la Salud Mental </t>
  </si>
  <si>
    <t>Actividad desarrollada 2 Horas</t>
  </si>
  <si>
    <t>Realizar sensibilización a los funcionarios sobre convivencia, respeto y prevención del acoso</t>
  </si>
  <si>
    <t>Actividad desarrollada 6 Horas</t>
  </si>
  <si>
    <t>Escuela de las emociones</t>
  </si>
  <si>
    <t>Actividad desarrollada 5 Horas</t>
  </si>
  <si>
    <t>Actividad de Liderazgo Positivo Basado en Ikigai</t>
  </si>
  <si>
    <t>Actividad desarrollada 3 Horas</t>
  </si>
  <si>
    <t>Aplicar la encuesta de morbilidad sentida y tamizaje cardiovascular,  consolidando los resultados para orientar las acciones de intervención.</t>
  </si>
  <si>
    <t>Actividad desarrollada 300 Funcionarios</t>
  </si>
  <si>
    <t>Realizar una valoracion con una profesional en nutricion o afines para establecer planes con el grupo de Servidores publicos que presentan obesidad.</t>
  </si>
  <si>
    <t>Numero de intervenciones 80 Funcionarios</t>
  </si>
  <si>
    <t>Informar y sensibilizar sobre el consumo de sustancias psicoactivas, incluyendo la identificación de señales tempranas de uso o abuso, conforme a los lineamientos del Decreto 0728 de 2025.</t>
  </si>
  <si>
    <t>Actividad desarrollada 4 Horas</t>
  </si>
  <si>
    <t>Taller actividades de Medicina Preventiva</t>
  </si>
  <si>
    <t>Numero de intervenciones 4 Horas</t>
  </si>
  <si>
    <t xml:space="preserve">A-02-02-02-009-003 </t>
  </si>
  <si>
    <t xml:space="preserve">ANEXO No. 07 </t>
  </si>
  <si>
    <t>Taller educativo sobre conceptos de  salud mental, identificacion de señales de alerta(estrés, ansiedad, agotamiento).
Estrategias de autocuidado.</t>
  </si>
  <si>
    <t xml:space="preserve">HASTA 360 PAX  2  HORAS </t>
  </si>
  <si>
    <t>Pausas puesto a puesto de técnicas de respiración conciente -Relajación guiada y Mindfulness laboral.</t>
  </si>
  <si>
    <t xml:space="preserve">HASTA 360 PAX 4  HORAS </t>
  </si>
  <si>
    <t xml:space="preserve">Taller de Escritura terapéutica,Arte y emociones.
Música y manejo emocional.-con materiales.
Taller de Mandalas: Este taller está diseñado para ofrecer una experiencia práctica y    relajante a través de la creación de mandalas, un arte que fomenta la concentración, la creatividad y el equilibrio emocional. </t>
  </si>
  <si>
    <t xml:space="preserve">HASTA 360 PAX 2  HORAS </t>
  </si>
  <si>
    <t xml:space="preserve">Materiales: Kit de Mandalas.
Incluye: 
*Caja de madera pequeña con tapa en forma de mandala 12*12*5cm
*Pincel
* Temperas
* Papeles con mensajes motivacionales </t>
  </si>
  <si>
    <t>HASTA 360 PAX</t>
  </si>
  <si>
    <t xml:space="preserve">
1.Taller técnicas de manejo de estrés.
 </t>
  </si>
  <si>
    <t xml:space="preserve">HASTA 360 PAX 4 HORAS </t>
  </si>
  <si>
    <t>2. Taller de regulación emocional.</t>
  </si>
  <si>
    <t>3. Taller de resolución de conflictos.</t>
  </si>
  <si>
    <t>4. liderazgo empatico: manejo de estrés en equipos de trabajo</t>
  </si>
  <si>
    <t>5. Manejo de crisis, Comunicación emocionalmente inteligente.</t>
  </si>
  <si>
    <t>6. Prevención  del Sindrome burnout</t>
  </si>
  <si>
    <t>Orientación psicológica individual: sesiones de coaching personalizado.</t>
  </si>
  <si>
    <t>HASTA 61 PAX 4 HORAS POR PAX * PERSONA = 244 HORAS</t>
  </si>
  <si>
    <t>Circuito de descarga emocional : yoga, musicoterapia, aromaterapia minfudells</t>
  </si>
  <si>
    <t>HASTA 150 PAX  8 HORAS / 10 Minutos por persona (3 Facilitadoras)</t>
  </si>
  <si>
    <t>Circuito de Neuroestimulación - Ambientación Circuito de Neuroestimulación.
Incluye: un masajeador de pies, una masajeador de cuellos y un cojín masajeador de espalda</t>
  </si>
  <si>
    <t xml:space="preserve">Clase de yoga </t>
  </si>
  <si>
    <t>HASTA 150 PAX  1 HORA / 20 Minutos por persona</t>
  </si>
  <si>
    <t xml:space="preserve">Taller meditando fuera del Tibet </t>
  </si>
  <si>
    <t>Taller la heladeria de la desconexión  - carrito de helados  y entrega</t>
  </si>
  <si>
    <t xml:space="preserve">Taller de Mindfullness </t>
  </si>
  <si>
    <t>HASTA 30 PAX</t>
  </si>
  <si>
    <t>Kit de Midfullness
Incluye:
*Bolsa
*Vela aromatizánte
*Frutos secos
*Toalla facial
*Burbujero 
*Aceite 
*Tarjeta de instrucciones para el fortalecimiento de la salud mental</t>
  </si>
  <si>
    <t xml:space="preserve">Taller de Emociones (validando un puesto a puesto)
</t>
  </si>
  <si>
    <t>Actividades de autocuidado emocional y fisico</t>
  </si>
  <si>
    <t>Campaña lúdica de " hablar es bienestar" puesto a puesto.</t>
  </si>
  <si>
    <t>Actividades de relajación:spa laboral aromaterapia.</t>
  </si>
  <si>
    <t xml:space="preserve">HASTA 150 PAX 4 HORAS </t>
  </si>
  <si>
    <t>Circuito de Neuroestimulación.
Incluye: un masajeador de pies, una masajeador de cuellos y un cojín masajeador de espalda</t>
  </si>
  <si>
    <t>Jornada  lúdica de vacunación :" Ambientes laborales saludables, Buen trato y gestion del cambio "</t>
  </si>
  <si>
    <t>Actividad familiar lúdica y recreativa</t>
  </si>
  <si>
    <t xml:space="preserve">HASTA 100 PAX 4 HORAS </t>
  </si>
  <si>
    <r>
      <t xml:space="preserve">Entrega de incentivos servidores publicos(asignación puntos)
</t>
    </r>
    <r>
      <rPr>
        <b/>
        <sz val="9"/>
        <color theme="1"/>
        <rFont val="Arial"/>
        <family val="2"/>
      </rPr>
      <t>NOTA: CADA PUNTO EQUIVALE A 100 PESOS.</t>
    </r>
  </si>
  <si>
    <t>HASTA 360 PAX 1000 PUNTOS POR SERVIDOR</t>
  </si>
  <si>
    <t xml:space="preserve">Taller de Fotografia creativa </t>
  </si>
  <si>
    <t>Realizar actividades  promoción de entornos familiares protectores
Taller la familia como primer espacio de cuidados.</t>
  </si>
  <si>
    <t xml:space="preserve">HASTA 60 PAX 2 HORAS 2 HORAS </t>
  </si>
  <si>
    <t xml:space="preserve">Kit familia 
Incluye:
* Arco en madera
* Lana
* Cabezitas de icopor
*Pegante 
* Caja </t>
  </si>
  <si>
    <t>HASTA 60 PAX</t>
  </si>
  <si>
    <t>Actividades grupal  -Caminata ecologica   (DOS  AL AÑO CADA UNA DE 40 PAX)</t>
  </si>
  <si>
    <t xml:space="preserve">  (DOS  AL AÑO CADA UNA DE 40 PAX) 8 HORAS</t>
  </si>
  <si>
    <r>
      <t xml:space="preserve">Programa de incentivos (asignacion púntos)
</t>
    </r>
    <r>
      <rPr>
        <b/>
        <sz val="9"/>
        <color theme="1"/>
        <rFont val="Arial"/>
        <family val="2"/>
      </rPr>
      <t>NOTA: CADA PUNTO EQUIVALE A 100 PESOS.</t>
    </r>
  </si>
  <si>
    <t>HASTA 360 PAX 500 PUNTOS  POR SERVIDOR</t>
  </si>
  <si>
    <t xml:space="preserve">Taller  de manualidades navideñas  con materiales </t>
  </si>
  <si>
    <t xml:space="preserve">HASTA 25 PAX 4 HORAS </t>
  </si>
  <si>
    <t xml:space="preserve">Actividad lúdica  y recreativa  (lúdico-formativo multi estación  para realizar retos  pos estaciones para trabajo desafíos, promoviendo así un aprendizaje experiencial) </t>
  </si>
  <si>
    <t>HASTA 360 PAX 4 HORAS</t>
  </si>
  <si>
    <t>Taller de cocina  con ingresdientes</t>
  </si>
  <si>
    <t xml:space="preserve">HASTA  25 PAX 4 HORAS </t>
  </si>
  <si>
    <t>Taller  manualidades con materiales (velas, pintura, jardineria etc)</t>
  </si>
  <si>
    <t xml:space="preserve">HASTA  80 PAX 4 HORAS </t>
  </si>
  <si>
    <t>Actividades  lúdicas   enfocadas a la preparacion del retiro asistido.</t>
  </si>
  <si>
    <t xml:space="preserve"> HASTA 25 PAX 8 HORAS</t>
  </si>
  <si>
    <t xml:space="preserve">Actividad    puesto a puesto de sensibilización  enfocada a la movilidad sostenible. </t>
  </si>
  <si>
    <t>Jornada  de rumbaterapia</t>
  </si>
  <si>
    <t>HASTA  120 PAX 2 HORAS</t>
  </si>
  <si>
    <t>Jornadas de acondicionamiento físico integral y funcional</t>
  </si>
  <si>
    <t>HASTA 120 PAX 2 HORAS</t>
  </si>
  <si>
    <t xml:space="preserve">ActIvidades Recreativas (lúdico-formativo multi estación  para realizar retos  pos estaciones para trabajo desafíos, promoviendo así un aprendizaje experiencial) </t>
  </si>
  <si>
    <t>HASTA 120 PAX 4 HORAS</t>
  </si>
  <si>
    <t xml:space="preserve">Torneo de  bolos por dependencias </t>
  </si>
  <si>
    <t>HASTA 200 PAX 16 HORAS</t>
  </si>
  <si>
    <t>Actividad lúdica  puestro a puesto  de sensibilización salas amigas.(scket teatral)</t>
  </si>
  <si>
    <t>Actividad cultural de integración enfocada a la sentido de pertenencia (obra de teatro)</t>
  </si>
  <si>
    <t>HASTA 360 PAX 2 HORAS</t>
  </si>
  <si>
    <r>
      <t xml:space="preserve">Entrega de incentivos :ASIGNACIÓN PUNTOS: (6 PERSONAS) MEJORES FUNCIONARIOS 2000 PUNTOS *PAX
GERENTE PÚBLICO (1 PERSONA)3000 PUNTOS 
GRUPOS DE TRABAJO (10 PERSONAS) 2000 PUNTOS   POR PERSONA.
GRUPOS DE CONOCIMIENTO Y LA INNOVACIÓN (10 PERSONAS) 1000 PUNTOS POR PERSONA.
ATENCIÓN Y ORIENTACIÓN AL CIUDADANO (1 PERSONA)3000 PUNTOS.
INCENTIVOS GESTORES DE BIENESTAR (10 PERSONAS) 2000 PUNTOS POR PERSONA.
</t>
    </r>
    <r>
      <rPr>
        <b/>
        <sz val="9"/>
        <color theme="1"/>
        <rFont val="Arial"/>
        <family val="2"/>
      </rPr>
      <t>NOTA: CADA PUNTO EQUIVALE A 100 PESOS.</t>
    </r>
  </si>
  <si>
    <t>HASTA 38 PAX PUNTOS (POR SERVIDOR)</t>
  </si>
  <si>
    <t xml:space="preserve">Actividad  cultural de integración grupal. scket teatral </t>
  </si>
  <si>
    <t>Actividad  cultural de integración grupal- tipo concurso</t>
  </si>
  <si>
    <t>Actividad de formación lúdica puesto a puesto- concurso lúdico</t>
  </si>
  <si>
    <t xml:space="preserve">HASTA 150PAX 4 HORAS </t>
  </si>
  <si>
    <t xml:space="preserve">Taller ludico enfocado a fortalecer conceptos  de las politicas de la entidad </t>
  </si>
  <si>
    <t xml:space="preserve">HASTA 150  PAX 4 HORAS </t>
  </si>
  <si>
    <t>Actividad  de  sensibilización  puesto a puesto scket teatral</t>
  </si>
  <si>
    <t xml:space="preserve">HASTA  150 PAX 4 HORAS </t>
  </si>
  <si>
    <t>Actividad  cultural de integración grupal -tipo concurso</t>
  </si>
  <si>
    <t>HASTA  150 PAX 4 HORAS</t>
  </si>
  <si>
    <t>Actividad  cultural puesto a puesto  enfocada a promover la equidad en el entorno laboral.</t>
  </si>
  <si>
    <t>Implementación  plataforma de gestión de plan  bienestar (Dominio exclusivo para cremil, para la administración  del programa de incentivosy plan de bienestar).</t>
  </si>
  <si>
    <t>HASTA 360 PAX 1 PLATAFORMA</t>
  </si>
  <si>
    <t>Actividad  ecologica de reforestación (DOS  AL AÑO CADA UNA DE 40 PAX)</t>
  </si>
  <si>
    <t xml:space="preserve">HASTA 80 PAX 8 HORAS </t>
  </si>
  <si>
    <t>Voluntariado institucional ( DOS AL AÑO)</t>
  </si>
  <si>
    <t xml:space="preserve">HASTA 40 PAX 8 HORAS </t>
  </si>
  <si>
    <t>Actividad  lúdica, cultural  y  de integración. (presentación teatral, cine, etc)</t>
  </si>
  <si>
    <t>TOTALES</t>
  </si>
  <si>
    <t>(*)</t>
  </si>
  <si>
    <t>No se cobra la plataforma, dado que estos cursos son mediados por tecnología.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</si>
</sst>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_-&quot;$&quot;\ * #,##0.00_-;\-&quot;$&quot;\ * #,##0.00_-;_-&quot;$&quot;\ * &quot;-&quot;??_-;_-@_-"/>
    <numFmt numFmtId="165" formatCode="_-[$$-80A]* #,##0.00_-;\-[$$-80A]* #,##0.00_-;_-[$$-80A]* &quot;-&quot;??_-;_-@_-"/>
  </numFmts>
  <fonts count="1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b/>
      <sz val="10"/>
      <color rgb="FF000000"/>
      <name val="Arial Narrow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64" fontId="2" fillId="0" borderId="0" xfId="1" applyFont="1"/>
    <xf numFmtId="0" fontId="2" fillId="0" borderId="0" xfId="0" applyFont="1" applyAlignment="1">
      <alignment vertical="center"/>
    </xf>
    <xf numFmtId="164" fontId="3" fillId="2" borderId="1" xfId="1" applyFont="1" applyFill="1" applyBorder="1"/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4" fontId="2" fillId="0" borderId="2" xfId="1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64" fontId="6" fillId="3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2" fillId="0" borderId="1" xfId="1" applyFont="1" applyBorder="1" applyAlignment="1">
      <alignment horizontal="center" vertical="center" wrapText="1"/>
    </xf>
    <xf numFmtId="164" fontId="5" fillId="2" borderId="1" xfId="1" applyFont="1" applyFill="1" applyBorder="1" applyAlignment="1">
      <alignment horizontal="center" vertical="center"/>
    </xf>
    <xf numFmtId="164" fontId="2" fillId="0" borderId="0" xfId="1" applyFont="1" applyAlignment="1">
      <alignment horizontal="center" vertical="center"/>
    </xf>
    <xf numFmtId="164" fontId="7" fillId="6" borderId="1" xfId="1" applyFont="1" applyFill="1" applyBorder="1" applyAlignment="1">
      <alignment horizontal="center" vertical="center" wrapText="1"/>
    </xf>
    <xf numFmtId="164" fontId="2" fillId="0" borderId="1" xfId="1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164" fontId="7" fillId="5" borderId="1" xfId="1" applyFont="1" applyFill="1" applyBorder="1" applyAlignment="1">
      <alignment horizontal="center" vertical="center" wrapText="1"/>
    </xf>
    <xf numFmtId="164" fontId="2" fillId="0" borderId="0" xfId="0" applyNumberFormat="1" applyFont="1"/>
    <xf numFmtId="0" fontId="2" fillId="0" borderId="0" xfId="0" applyFont="1" applyAlignment="1">
      <alignment horizontal="center" vertical="center"/>
    </xf>
    <xf numFmtId="164" fontId="8" fillId="0" borderId="1" xfId="1" applyFont="1" applyBorder="1" applyAlignment="1">
      <alignment horizontal="center" vertical="center"/>
    </xf>
    <xf numFmtId="164" fontId="8" fillId="6" borderId="1" xfId="1" applyFont="1" applyFill="1" applyBorder="1" applyAlignment="1">
      <alignment horizontal="center" vertical="center" wrapText="1"/>
    </xf>
    <xf numFmtId="164" fontId="2" fillId="0" borderId="1" xfId="1" applyFont="1" applyFill="1" applyBorder="1" applyAlignment="1">
      <alignment horizontal="center" vertical="center"/>
    </xf>
    <xf numFmtId="164" fontId="7" fillId="0" borderId="1" xfId="1" applyFont="1" applyFill="1" applyBorder="1" applyAlignment="1">
      <alignment horizontal="center" vertical="center"/>
    </xf>
    <xf numFmtId="164" fontId="7" fillId="0" borderId="1" xfId="1" applyFont="1" applyBorder="1" applyAlignment="1">
      <alignment horizontal="center" vertical="center"/>
    </xf>
    <xf numFmtId="164" fontId="7" fillId="0" borderId="1" xfId="1" applyFont="1" applyFill="1" applyBorder="1" applyAlignment="1">
      <alignment horizontal="center" vertical="center" wrapText="1"/>
    </xf>
    <xf numFmtId="164" fontId="2" fillId="0" borderId="2" xfId="1" applyFont="1" applyFill="1" applyBorder="1" applyAlignment="1">
      <alignment horizontal="center" vertical="center"/>
    </xf>
    <xf numFmtId="0" fontId="5" fillId="0" borderId="0" xfId="0" applyFont="1"/>
    <xf numFmtId="164" fontId="2" fillId="0" borderId="1" xfId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2" fillId="0" borderId="2" xfId="1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justify" vertical="justify" wrapText="1"/>
    </xf>
    <xf numFmtId="0" fontId="7" fillId="5" borderId="4" xfId="0" applyFont="1" applyFill="1" applyBorder="1" applyAlignment="1">
      <alignment horizontal="justify" vertical="center" wrapText="1"/>
    </xf>
    <xf numFmtId="0" fontId="7" fillId="5" borderId="5" xfId="0" applyFont="1" applyFill="1" applyBorder="1" applyAlignment="1">
      <alignment horizontal="justify" vertical="center" wrapText="1"/>
    </xf>
    <xf numFmtId="0" fontId="7" fillId="6" borderId="6" xfId="0" applyFont="1" applyFill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164" fontId="2" fillId="0" borderId="1" xfId="0" applyNumberFormat="1" applyFont="1" applyBorder="1" applyAlignment="1">
      <alignment vertical="center"/>
    </xf>
    <xf numFmtId="164" fontId="2" fillId="0" borderId="0" xfId="1" applyFont="1" applyAlignment="1">
      <alignment vertical="center"/>
    </xf>
    <xf numFmtId="0" fontId="5" fillId="2" borderId="1" xfId="0" applyFont="1" applyFill="1" applyBorder="1" applyAlignment="1">
      <alignment horizontal="center"/>
    </xf>
    <xf numFmtId="164" fontId="2" fillId="2" borderId="1" xfId="1" applyFont="1" applyFill="1" applyBorder="1" applyAlignment="1">
      <alignment horizontal="center" vertical="center"/>
    </xf>
    <xf numFmtId="164" fontId="2" fillId="2" borderId="1" xfId="1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vertical="center"/>
    </xf>
    <xf numFmtId="44" fontId="2" fillId="0" borderId="0" xfId="0" applyNumberFormat="1" applyFont="1"/>
    <xf numFmtId="3" fontId="2" fillId="0" borderId="1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vertical="center"/>
    </xf>
    <xf numFmtId="9" fontId="2" fillId="4" borderId="1" xfId="5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justify" vertical="center" wrapText="1"/>
    </xf>
    <xf numFmtId="164" fontId="2" fillId="2" borderId="1" xfId="0" applyNumberFormat="1" applyFont="1" applyFill="1" applyBorder="1" applyAlignment="1">
      <alignment vertical="center"/>
    </xf>
    <xf numFmtId="164" fontId="2" fillId="2" borderId="1" xfId="1" applyFont="1" applyFill="1" applyBorder="1" applyAlignment="1">
      <alignment vertical="center"/>
    </xf>
    <xf numFmtId="165" fontId="2" fillId="2" borderId="1" xfId="0" applyNumberFormat="1" applyFont="1" applyFill="1" applyBorder="1" applyAlignment="1">
      <alignment vertical="center"/>
    </xf>
    <xf numFmtId="0" fontId="2" fillId="4" borderId="8" xfId="0" applyFont="1" applyFill="1" applyBorder="1" applyAlignment="1">
      <alignment horizontal="justify" vertical="justify"/>
    </xf>
    <xf numFmtId="0" fontId="2" fillId="0" borderId="8" xfId="0" applyFont="1" applyBorder="1" applyAlignment="1">
      <alignment horizontal="justify" vertical="justify"/>
    </xf>
    <xf numFmtId="0" fontId="7" fillId="0" borderId="9" xfId="0" applyFont="1" applyBorder="1" applyAlignment="1">
      <alignment horizontal="justify" vertical="justify" wrapText="1"/>
    </xf>
    <xf numFmtId="0" fontId="7" fillId="0" borderId="8" xfId="0" applyFont="1" applyBorder="1" applyAlignment="1">
      <alignment horizontal="justify" vertical="justify"/>
    </xf>
    <xf numFmtId="0" fontId="3" fillId="2" borderId="1" xfId="0" applyFont="1" applyFill="1" applyBorder="1" applyAlignment="1">
      <alignment horizontal="center" wrapText="1"/>
    </xf>
    <xf numFmtId="164" fontId="5" fillId="2" borderId="15" xfId="1" applyFont="1" applyFill="1" applyBorder="1" applyAlignment="1">
      <alignment horizontal="center" vertical="center"/>
    </xf>
    <xf numFmtId="164" fontId="5" fillId="2" borderId="1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164" fontId="5" fillId="2" borderId="7" xfId="1" applyFont="1" applyFill="1" applyBorder="1" applyAlignment="1">
      <alignment horizontal="center" vertical="center"/>
    </xf>
    <xf numFmtId="164" fontId="5" fillId="2" borderId="11" xfId="1" applyFont="1" applyFill="1" applyBorder="1" applyAlignment="1">
      <alignment horizontal="center" vertical="center"/>
    </xf>
    <xf numFmtId="164" fontId="5" fillId="2" borderId="5" xfId="1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</cellXfs>
  <cellStyles count="6">
    <cellStyle name="Moneda" xfId="1" builtinId="4"/>
    <cellStyle name="Moneda 2" xfId="2"/>
    <cellStyle name="Moneda 3" xfId="4"/>
    <cellStyle name="Normal" xfId="0" builtinId="0"/>
    <cellStyle name="Normal 3 2" xfId="3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0"/>
  <sheetViews>
    <sheetView tabSelected="1" zoomScale="120" zoomScaleNormal="120" workbookViewId="0">
      <selection activeCell="F21" sqref="F21"/>
    </sheetView>
  </sheetViews>
  <sheetFormatPr baseColWidth="10" defaultColWidth="11.375" defaultRowHeight="12"/>
  <cols>
    <col min="1" max="1" width="6" style="1" bestFit="1" customWidth="1"/>
    <col min="2" max="2" width="17" style="2" bestFit="1" customWidth="1"/>
    <col min="3" max="3" width="30.625" style="3" bestFit="1" customWidth="1"/>
    <col min="4" max="4" width="8.875" style="4" bestFit="1" customWidth="1"/>
    <col min="5" max="5" width="9.75" style="4" bestFit="1" customWidth="1"/>
    <col min="6" max="6" width="17.375" style="1" customWidth="1"/>
    <col min="7" max="7" width="10.75" style="1" bestFit="1" customWidth="1"/>
    <col min="8" max="8" width="17.375" style="1" customWidth="1"/>
    <col min="9" max="9" width="20.625" style="1" bestFit="1" customWidth="1"/>
    <col min="10" max="16" width="15.875" style="1" bestFit="1" customWidth="1"/>
    <col min="17" max="16384" width="11.375" style="1"/>
  </cols>
  <sheetData>
    <row r="3" spans="1:15" ht="38.25">
      <c r="A3" s="10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10" t="s">
        <v>12</v>
      </c>
      <c r="N3" s="3"/>
    </row>
    <row r="4" spans="1:15" ht="24">
      <c r="A4" s="8">
        <v>10526</v>
      </c>
      <c r="B4" s="6" t="s">
        <v>13</v>
      </c>
      <c r="C4" s="44" t="s">
        <v>14</v>
      </c>
      <c r="D4" s="7">
        <v>20</v>
      </c>
      <c r="E4" s="8" t="s">
        <v>15</v>
      </c>
      <c r="F4" s="9">
        <v>241489314</v>
      </c>
      <c r="G4" s="39" t="s">
        <v>16</v>
      </c>
      <c r="H4" s="9">
        <f>+K4+M4</f>
        <v>241475762.19</v>
      </c>
      <c r="I4" s="9">
        <f>+F4-H4</f>
        <v>13551.810000002384</v>
      </c>
      <c r="J4" s="9"/>
      <c r="K4" s="9">
        <f>+ANALISIS!V11+ANALISIS!V12+ANALISIS!V13+ANALISIS!V14+ANALISIS!V15+ANALISIS!V16+ANALISIS!V17+ANALISIS!V18+ANALISIS!V19+ANALISIS!V20+ANALISIS!V21+ANALISIS!V22+ANALISIS!V23+ANALISIS!V24+ANALISIS!V25+ANALISIS!V26+ANALISIS!V27+ANALISIS!V28+ANALISIS!V29+ANALISIS!V30+ANALISIS!V31+ANALISIS!V32+ANALISIS!V33+ANALISIS!V34</f>
        <v>154308844.89000002</v>
      </c>
      <c r="L4" s="9"/>
      <c r="M4" s="9">
        <f>+ANALISIS!V56+ANALISIS!V72+ANALISIS!V77+ANALISIS!V79+ANALISIS!V80+ANALISIS!V92+ANALISIS!V93+ANALISIS!V94</f>
        <v>87166917.299999997</v>
      </c>
      <c r="N4" s="31"/>
      <c r="O4" s="31"/>
    </row>
    <row r="5" spans="1:15" ht="24">
      <c r="A5" s="8">
        <v>10526</v>
      </c>
      <c r="B5" s="6" t="s">
        <v>17</v>
      </c>
      <c r="C5" s="44" t="s">
        <v>18</v>
      </c>
      <c r="D5" s="7">
        <v>20</v>
      </c>
      <c r="E5" s="8" t="s">
        <v>15</v>
      </c>
      <c r="F5" s="9">
        <v>198759269</v>
      </c>
      <c r="G5" s="39" t="s">
        <v>19</v>
      </c>
      <c r="H5" s="9">
        <f>+L5+M5</f>
        <v>198516737.32999998</v>
      </c>
      <c r="I5" s="9">
        <f>+F5-H5</f>
        <v>242531.67000001669</v>
      </c>
      <c r="J5" s="9"/>
      <c r="K5" s="9"/>
      <c r="L5" s="9">
        <f>+ANALISIS!V35+ANALISIS!V36+ANALISIS!V37+ANALISIS!V38+ANALISIS!V39+ANALISIS!V40+ANALISIS!V41+ANALISIS!V42+ANALISIS!V43+ANALISIS!V44+ANALISIS!V45</f>
        <v>101719630.72999999</v>
      </c>
      <c r="M5" s="9">
        <f>+ANALISIS!V46+ANALISIS!V47+ANALISIS!V48+ANALISIS!V49+ANALISIS!V50+ANALISIS!V51+ANALISIS!V52+ANALISIS!V53+ANALISIS!V54+ANALISIS!V55+ANALISIS!V57+ANALISIS!V58+ANALISIS!V59+ANALISIS!V60+ANALISIS!V61+ANALISIS!V62+ANALISIS!V63+ANALISIS!V64+ANALISIS!V65+ANALISIS!V66+ANALISIS!V67+ANALISIS!V68+ANALISIS!V69+ANALISIS!V74+ANALISIS!V87</f>
        <v>96797106.599999994</v>
      </c>
      <c r="N5" s="31"/>
      <c r="O5" s="31"/>
    </row>
    <row r="6" spans="1:15" ht="24">
      <c r="A6" s="8">
        <v>10526</v>
      </c>
      <c r="B6" s="6" t="s">
        <v>20</v>
      </c>
      <c r="C6" s="44" t="s">
        <v>21</v>
      </c>
      <c r="D6" s="7">
        <v>20</v>
      </c>
      <c r="E6" s="8" t="s">
        <v>15</v>
      </c>
      <c r="F6" s="9">
        <v>420284146</v>
      </c>
      <c r="G6" s="43">
        <v>7</v>
      </c>
      <c r="H6" s="9">
        <f>+M6</f>
        <v>419304969.56999993</v>
      </c>
      <c r="I6" s="9">
        <f>+F6-H6</f>
        <v>979176.43000006676</v>
      </c>
      <c r="J6" s="9"/>
      <c r="K6" s="9"/>
      <c r="L6" s="9"/>
      <c r="M6" s="9">
        <f>+ANALISIS!V70+ANALISIS!V71+ANALISIS!V73+ANALISIS!V75+ANALISIS!V76+ANALISIS!V78+ANALISIS!V81+ANALISIS!V82+ANALISIS!V83+ANALISIS!V84+ANALISIS!V85+ANALISIS!V86+ANALISIS!V88+ANALISIS!V89+ANALISIS!V90+ANALISIS!V91+ANALISIS!V95+ANALISIS!V96+ANALISIS!V97+ANALISIS!V98+ANALISIS!V99+ANALISIS!V100</f>
        <v>419304969.56999993</v>
      </c>
      <c r="N6" s="31"/>
    </row>
    <row r="7" spans="1:15" ht="72">
      <c r="A7" s="8">
        <v>10526</v>
      </c>
      <c r="B7" s="6" t="s">
        <v>22</v>
      </c>
      <c r="C7" s="44" t="s">
        <v>23</v>
      </c>
      <c r="D7" s="7">
        <v>20</v>
      </c>
      <c r="E7" s="8" t="s">
        <v>15</v>
      </c>
      <c r="F7" s="9">
        <v>203686182</v>
      </c>
      <c r="G7" s="39" t="s">
        <v>24</v>
      </c>
      <c r="H7" s="9">
        <f>+J7</f>
        <v>182001149.76999998</v>
      </c>
      <c r="I7" s="9">
        <f>+F7-H7</f>
        <v>21685032.230000019</v>
      </c>
      <c r="J7" s="9">
        <f>+ANALISIS!V5+ANALISIS!V6+ANALISIS!V7+ANALISIS!V8+ANALISIS!V9</f>
        <v>182001149.76999998</v>
      </c>
      <c r="K7" s="9"/>
      <c r="L7" s="9"/>
      <c r="M7" s="9"/>
      <c r="N7" s="31"/>
    </row>
    <row r="8" spans="1:15" ht="15" customHeight="1">
      <c r="A8" s="75" t="s">
        <v>25</v>
      </c>
      <c r="B8" s="75"/>
      <c r="C8" s="75"/>
      <c r="D8" s="75"/>
      <c r="E8" s="75"/>
      <c r="F8" s="5">
        <f>SUM(F4:F7)</f>
        <v>1064218911</v>
      </c>
      <c r="G8" s="5"/>
      <c r="H8" s="5">
        <f>SUM(H4:H7)</f>
        <v>1041298618.8599999</v>
      </c>
      <c r="I8" s="5">
        <f>SUM(I4:I7)</f>
        <v>22920292.140000105</v>
      </c>
      <c r="M8" s="31"/>
    </row>
    <row r="10" spans="1:15">
      <c r="F10" s="31"/>
      <c r="L10" s="31"/>
    </row>
  </sheetData>
  <sheetProtection algorithmName="SHA-512" hashValue="kIguYj3TeFguF3KShfeccP/DRbZYRLGDksiE0XWyPxDGmczAPu28kfpMU46H4n2L7RZp/07rIbSMU9ZxARQQcg==" saltValue="s7Khn0zo5bSbQkOYvvdYQw==" spinCount="100000" sheet="1" objects="1" scenarios="1"/>
  <mergeCells count="1">
    <mergeCell ref="A8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V106"/>
  <sheetViews>
    <sheetView zoomScaleNormal="100" workbookViewId="0">
      <selection activeCell="G7" sqref="G7"/>
    </sheetView>
  </sheetViews>
  <sheetFormatPr baseColWidth="10" defaultColWidth="11.375" defaultRowHeight="12"/>
  <cols>
    <col min="1" max="1" width="3.5" style="1" customWidth="1"/>
    <col min="2" max="2" width="4.875" style="1" bestFit="1" customWidth="1"/>
    <col min="3" max="3" width="12.75" style="18" customWidth="1"/>
    <col min="4" max="4" width="11" style="4" bestFit="1" customWidth="1"/>
    <col min="5" max="5" width="34.875" style="4" customWidth="1"/>
    <col min="6" max="6" width="27.75" style="32" bestFit="1" customWidth="1"/>
    <col min="7" max="10" width="18.75" style="18" customWidth="1"/>
    <col min="11" max="11" width="17.375" style="26" bestFit="1" customWidth="1"/>
    <col min="12" max="12" width="15.875" style="26" customWidth="1"/>
    <col min="13" max="13" width="17.375" style="26" customWidth="1"/>
    <col min="14" max="14" width="17.375" style="3" customWidth="1"/>
    <col min="15" max="15" width="16" style="3" customWidth="1"/>
    <col min="16" max="16" width="17.375" style="3" customWidth="1"/>
    <col min="17" max="19" width="15.875" style="1" customWidth="1"/>
    <col min="20" max="20" width="15.875" style="51" customWidth="1"/>
    <col min="21" max="21" width="18.25" style="1" bestFit="1" customWidth="1"/>
    <col min="22" max="22" width="17" style="1" bestFit="1" customWidth="1"/>
    <col min="23" max="16384" width="11.375" style="1"/>
  </cols>
  <sheetData>
    <row r="3" spans="2:22" ht="27.75" customHeight="1">
      <c r="B3" s="14"/>
      <c r="C3" s="15"/>
      <c r="D3" s="16"/>
      <c r="E3" s="16"/>
      <c r="F3" s="15"/>
      <c r="G3" s="15"/>
      <c r="H3" s="15"/>
      <c r="I3" s="15"/>
      <c r="J3" s="15"/>
      <c r="K3" s="77" t="s">
        <v>26</v>
      </c>
      <c r="L3" s="77"/>
      <c r="M3" s="77"/>
      <c r="N3" s="76" t="s">
        <v>27</v>
      </c>
      <c r="O3" s="77"/>
      <c r="P3" s="77"/>
    </row>
    <row r="4" spans="2:22" ht="48">
      <c r="B4" s="12" t="s">
        <v>28</v>
      </c>
      <c r="C4" s="12" t="s">
        <v>1</v>
      </c>
      <c r="D4" s="12" t="s">
        <v>6</v>
      </c>
      <c r="E4" s="12" t="s">
        <v>29</v>
      </c>
      <c r="F4" s="12" t="s">
        <v>30</v>
      </c>
      <c r="G4" s="29" t="s">
        <v>31</v>
      </c>
      <c r="H4" s="29" t="s">
        <v>32</v>
      </c>
      <c r="I4" s="29" t="s">
        <v>33</v>
      </c>
      <c r="J4" s="29" t="s">
        <v>34</v>
      </c>
      <c r="K4" s="17" t="s">
        <v>35</v>
      </c>
      <c r="L4" s="17" t="s">
        <v>36</v>
      </c>
      <c r="M4" s="17" t="s">
        <v>37</v>
      </c>
      <c r="N4" s="17" t="s">
        <v>35</v>
      </c>
      <c r="O4" s="17" t="s">
        <v>36</v>
      </c>
      <c r="P4" s="17" t="s">
        <v>37</v>
      </c>
      <c r="Q4" s="17" t="s">
        <v>38</v>
      </c>
      <c r="R4" s="17" t="s">
        <v>39</v>
      </c>
      <c r="S4" s="17" t="s">
        <v>40</v>
      </c>
      <c r="T4" s="17" t="s">
        <v>41</v>
      </c>
      <c r="U4" s="17" t="s">
        <v>42</v>
      </c>
      <c r="V4" s="17" t="s">
        <v>43</v>
      </c>
    </row>
    <row r="5" spans="2:22" ht="36">
      <c r="B5" s="13">
        <v>1</v>
      </c>
      <c r="C5" s="13" t="s">
        <v>22</v>
      </c>
      <c r="D5" s="13" t="s">
        <v>44</v>
      </c>
      <c r="E5" s="67" t="s">
        <v>45</v>
      </c>
      <c r="F5" s="13" t="s">
        <v>46</v>
      </c>
      <c r="G5" s="55">
        <v>1</v>
      </c>
      <c r="H5" s="58">
        <v>1</v>
      </c>
      <c r="I5" s="58">
        <f>+G5-H5</f>
        <v>0</v>
      </c>
      <c r="J5" s="66">
        <f>+I5/G5</f>
        <v>0</v>
      </c>
      <c r="K5" s="24">
        <v>8500000</v>
      </c>
      <c r="L5" s="24">
        <f>+K5*19%</f>
        <v>1615000</v>
      </c>
      <c r="M5" s="24">
        <f>+K5+L5</f>
        <v>10115000</v>
      </c>
      <c r="N5" s="24">
        <v>8747136</v>
      </c>
      <c r="O5" s="24">
        <f>+N5*19%</f>
        <v>1661955.84</v>
      </c>
      <c r="P5" s="24">
        <f>+N5+O5</f>
        <v>10409091.84</v>
      </c>
      <c r="Q5" s="50">
        <f t="shared" ref="Q5:Q34" si="0">MIN(M5,P5)</f>
        <v>10115000</v>
      </c>
      <c r="R5" s="50">
        <f t="shared" ref="R5:R34" si="1">MAX(M5,P5)</f>
        <v>10409091.84</v>
      </c>
      <c r="S5" s="50">
        <f t="shared" ref="S5:S34" si="2">AVERAGE(M5,P5)</f>
        <v>10262045.92</v>
      </c>
      <c r="T5" s="62">
        <f>+S5</f>
        <v>10262045.92</v>
      </c>
      <c r="U5" s="9">
        <f>+ROUND(T5/G5,2)</f>
        <v>10262045.92</v>
      </c>
      <c r="V5" s="65">
        <f>+U5*H5</f>
        <v>10262045.92</v>
      </c>
    </row>
    <row r="6" spans="2:22" ht="60">
      <c r="B6" s="13">
        <v>2</v>
      </c>
      <c r="C6" s="13" t="s">
        <v>22</v>
      </c>
      <c r="D6" s="13" t="s">
        <v>44</v>
      </c>
      <c r="E6" s="71" t="s">
        <v>47</v>
      </c>
      <c r="F6" s="13" t="s">
        <v>48</v>
      </c>
      <c r="G6" s="56">
        <v>1</v>
      </c>
      <c r="H6" s="13">
        <v>1</v>
      </c>
      <c r="I6" s="58">
        <f>+G6-H6</f>
        <v>0</v>
      </c>
      <c r="J6" s="66">
        <f t="shared" ref="J6:J57" si="3">+I6/G6</f>
        <v>0</v>
      </c>
      <c r="K6" s="24">
        <v>26000000</v>
      </c>
      <c r="L6" s="24">
        <f>+K6*19%</f>
        <v>4940000</v>
      </c>
      <c r="M6" s="24">
        <f>+K6+L6</f>
        <v>30940000</v>
      </c>
      <c r="N6" s="24">
        <v>28074816</v>
      </c>
      <c r="O6" s="24">
        <f>+N6*19%</f>
        <v>5334215.04</v>
      </c>
      <c r="P6" s="24">
        <f>+N6+O6</f>
        <v>33409031.039999999</v>
      </c>
      <c r="Q6" s="50">
        <f t="shared" si="0"/>
        <v>30940000</v>
      </c>
      <c r="R6" s="50">
        <f t="shared" si="1"/>
        <v>33409031.039999999</v>
      </c>
      <c r="S6" s="50">
        <f t="shared" si="2"/>
        <v>32174515.52</v>
      </c>
      <c r="T6" s="50">
        <f>+S6</f>
        <v>32174515.52</v>
      </c>
      <c r="U6" s="41">
        <f>+ROUND(T6/G6,2)</f>
        <v>32174515.52</v>
      </c>
      <c r="V6" s="65">
        <f>+U6*H6</f>
        <v>32174515.52</v>
      </c>
    </row>
    <row r="7" spans="2:22">
      <c r="B7" s="11">
        <v>3</v>
      </c>
      <c r="C7" s="13" t="s">
        <v>22</v>
      </c>
      <c r="D7" s="13" t="s">
        <v>49</v>
      </c>
      <c r="E7" s="72" t="s">
        <v>50</v>
      </c>
      <c r="F7" s="13" t="s">
        <v>51</v>
      </c>
      <c r="G7" s="57">
        <v>3</v>
      </c>
      <c r="H7" s="13">
        <v>1</v>
      </c>
      <c r="I7" s="58">
        <f>+G7-H7</f>
        <v>2</v>
      </c>
      <c r="J7" s="66">
        <f t="shared" si="3"/>
        <v>0.66666666666666663</v>
      </c>
      <c r="K7" s="24">
        <v>140000000</v>
      </c>
      <c r="L7" s="24">
        <f>+K7*19%</f>
        <v>26600000</v>
      </c>
      <c r="M7" s="24">
        <f>+K7+L7</f>
        <v>166600000</v>
      </c>
      <c r="N7" s="24">
        <v>142712000</v>
      </c>
      <c r="O7" s="24">
        <f>+N7*19%</f>
        <v>27115280</v>
      </c>
      <c r="P7" s="24">
        <f>+N7+O7</f>
        <v>169827280</v>
      </c>
      <c r="Q7" s="50">
        <f t="shared" si="0"/>
        <v>166600000</v>
      </c>
      <c r="R7" s="50">
        <f t="shared" si="1"/>
        <v>169827280</v>
      </c>
      <c r="S7" s="50">
        <f>AVERAGE(M7,P7)</f>
        <v>168213640</v>
      </c>
      <c r="T7" s="50">
        <f>+S7</f>
        <v>168213640</v>
      </c>
      <c r="U7" s="41">
        <f>+ROUND(T7/G7,2)</f>
        <v>56071213.329999998</v>
      </c>
      <c r="V7" s="65">
        <f>+U7*H7</f>
        <v>56071213.329999998</v>
      </c>
    </row>
    <row r="8" spans="2:22">
      <c r="B8" s="13">
        <v>4</v>
      </c>
      <c r="C8" s="13" t="s">
        <v>22</v>
      </c>
      <c r="D8" s="13" t="s">
        <v>52</v>
      </c>
      <c r="E8" s="73" t="s">
        <v>53</v>
      </c>
      <c r="F8" s="13" t="s">
        <v>51</v>
      </c>
      <c r="G8" s="56">
        <v>1</v>
      </c>
      <c r="H8" s="13">
        <v>1</v>
      </c>
      <c r="I8" s="58">
        <f>+G8-H8</f>
        <v>0</v>
      </c>
      <c r="J8" s="66">
        <f t="shared" si="3"/>
        <v>0</v>
      </c>
      <c r="K8" s="24">
        <v>21000000</v>
      </c>
      <c r="L8" s="24">
        <f>+K8*19%</f>
        <v>3990000</v>
      </c>
      <c r="M8" s="24">
        <f>+K8+L8</f>
        <v>24990000</v>
      </c>
      <c r="N8" s="24">
        <v>18325000</v>
      </c>
      <c r="O8" s="24">
        <f>+N8*19%</f>
        <v>3481750</v>
      </c>
      <c r="P8" s="24">
        <f>+N8+O8</f>
        <v>21806750</v>
      </c>
      <c r="Q8" s="50">
        <f t="shared" si="0"/>
        <v>21806750</v>
      </c>
      <c r="R8" s="50">
        <f t="shared" si="1"/>
        <v>24990000</v>
      </c>
      <c r="S8" s="50">
        <f t="shared" si="2"/>
        <v>23398375</v>
      </c>
      <c r="T8" s="50">
        <f>+S8</f>
        <v>23398375</v>
      </c>
      <c r="U8" s="41">
        <f>+ROUND(T8/G8,2)</f>
        <v>23398375</v>
      </c>
      <c r="V8" s="65">
        <f>+U8*H8</f>
        <v>23398375</v>
      </c>
    </row>
    <row r="9" spans="2:22">
      <c r="B9" s="13">
        <v>5</v>
      </c>
      <c r="C9" s="13" t="s">
        <v>22</v>
      </c>
      <c r="D9" s="13" t="s">
        <v>54</v>
      </c>
      <c r="E9" s="74" t="s">
        <v>55</v>
      </c>
      <c r="F9" s="13" t="s">
        <v>51</v>
      </c>
      <c r="G9" s="56">
        <v>1</v>
      </c>
      <c r="H9" s="13">
        <v>1</v>
      </c>
      <c r="I9" s="58">
        <f>+G9-H9</f>
        <v>0</v>
      </c>
      <c r="J9" s="66">
        <f t="shared" si="3"/>
        <v>0</v>
      </c>
      <c r="K9" s="24">
        <v>27000000</v>
      </c>
      <c r="L9" s="24">
        <f>+K9*19%</f>
        <v>5130000</v>
      </c>
      <c r="M9" s="24">
        <f>+K9+L9</f>
        <v>32130000</v>
      </c>
      <c r="N9" s="24">
        <v>74000000</v>
      </c>
      <c r="O9" s="24">
        <f>+N9*19%</f>
        <v>14060000</v>
      </c>
      <c r="P9" s="24">
        <f>+N9+O9</f>
        <v>88060000</v>
      </c>
      <c r="Q9" s="50">
        <f t="shared" si="0"/>
        <v>32130000</v>
      </c>
      <c r="R9" s="50">
        <f t="shared" si="1"/>
        <v>88060000</v>
      </c>
      <c r="S9" s="50">
        <f t="shared" si="2"/>
        <v>60095000</v>
      </c>
      <c r="T9" s="50">
        <f>+S9</f>
        <v>60095000</v>
      </c>
      <c r="U9" s="41">
        <f>+ROUND(T9/G9,2)</f>
        <v>60095000</v>
      </c>
      <c r="V9" s="65">
        <f>+U9*H9</f>
        <v>60095000</v>
      </c>
    </row>
    <row r="10" spans="2:22">
      <c r="B10" s="83"/>
      <c r="C10" s="84"/>
      <c r="D10" s="84"/>
      <c r="E10" s="84"/>
      <c r="F10" s="84"/>
      <c r="G10" s="84"/>
      <c r="H10" s="84"/>
      <c r="I10" s="84"/>
      <c r="J10" s="85"/>
      <c r="K10" s="76" t="s">
        <v>27</v>
      </c>
      <c r="L10" s="77"/>
      <c r="M10" s="77"/>
      <c r="N10" s="80" t="s">
        <v>56</v>
      </c>
      <c r="O10" s="81"/>
      <c r="P10" s="82"/>
      <c r="Q10" s="68"/>
      <c r="R10" s="68"/>
      <c r="S10" s="68"/>
      <c r="T10" s="68"/>
      <c r="U10" s="69"/>
      <c r="V10" s="70"/>
    </row>
    <row r="11" spans="2:22" ht="36">
      <c r="B11" s="11" t="s">
        <v>57</v>
      </c>
      <c r="C11" s="13" t="s">
        <v>13</v>
      </c>
      <c r="D11" s="13" t="s">
        <v>58</v>
      </c>
      <c r="E11" s="67" t="s">
        <v>59</v>
      </c>
      <c r="F11" s="59" t="s">
        <v>60</v>
      </c>
      <c r="G11" s="59" t="s">
        <v>61</v>
      </c>
      <c r="H11" s="59" t="s">
        <v>61</v>
      </c>
      <c r="I11" s="59">
        <v>0</v>
      </c>
      <c r="J11" s="66">
        <v>0</v>
      </c>
      <c r="K11" s="28">
        <v>0</v>
      </c>
      <c r="L11" s="28">
        <v>0</v>
      </c>
      <c r="M11" s="28">
        <f>+K11+L11</f>
        <v>0</v>
      </c>
      <c r="N11" s="41">
        <v>3680000</v>
      </c>
      <c r="O11" s="28">
        <v>0</v>
      </c>
      <c r="P11" s="24">
        <v>3680000</v>
      </c>
      <c r="Q11" s="50">
        <f t="shared" si="0"/>
        <v>0</v>
      </c>
      <c r="R11" s="50">
        <f t="shared" si="1"/>
        <v>3680000</v>
      </c>
      <c r="S11" s="50">
        <f t="shared" si="2"/>
        <v>1840000</v>
      </c>
      <c r="T11" s="50">
        <f t="shared" ref="T11:T57" si="4">+S11</f>
        <v>1840000</v>
      </c>
      <c r="U11" s="50">
        <f>+T11</f>
        <v>1840000</v>
      </c>
      <c r="V11" s="41">
        <f>+U11</f>
        <v>1840000</v>
      </c>
    </row>
    <row r="12" spans="2:22" ht="24">
      <c r="B12" s="13">
        <v>7</v>
      </c>
      <c r="C12" s="13" t="s">
        <v>13</v>
      </c>
      <c r="D12" s="13" t="s">
        <v>58</v>
      </c>
      <c r="E12" s="45" t="s">
        <v>62</v>
      </c>
      <c r="F12" s="59" t="s">
        <v>63</v>
      </c>
      <c r="G12" s="59">
        <v>4</v>
      </c>
      <c r="H12" s="59">
        <v>4</v>
      </c>
      <c r="I12" s="59">
        <f>+G12-H12</f>
        <v>0</v>
      </c>
      <c r="J12" s="66">
        <f t="shared" si="3"/>
        <v>0</v>
      </c>
      <c r="K12" s="30">
        <v>7188852</v>
      </c>
      <c r="L12" s="28">
        <v>0</v>
      </c>
      <c r="M12" s="28">
        <v>7188852</v>
      </c>
      <c r="N12" s="41">
        <v>3680000</v>
      </c>
      <c r="O12" s="28">
        <v>0</v>
      </c>
      <c r="P12" s="24">
        <v>3680000</v>
      </c>
      <c r="Q12" s="50">
        <f t="shared" si="0"/>
        <v>3680000</v>
      </c>
      <c r="R12" s="50">
        <f t="shared" si="1"/>
        <v>7188852</v>
      </c>
      <c r="S12" s="50">
        <f t="shared" si="2"/>
        <v>5434426</v>
      </c>
      <c r="T12" s="50">
        <f t="shared" si="4"/>
        <v>5434426</v>
      </c>
      <c r="U12" s="41">
        <f>ROUND(T12/G12,2)</f>
        <v>1358606.5</v>
      </c>
      <c r="V12" s="41">
        <f>+U12*H12</f>
        <v>5434426</v>
      </c>
    </row>
    <row r="13" spans="2:22" ht="24">
      <c r="B13" s="13">
        <v>8</v>
      </c>
      <c r="C13" s="13" t="s">
        <v>13</v>
      </c>
      <c r="D13" s="13" t="s">
        <v>58</v>
      </c>
      <c r="E13" s="45" t="s">
        <v>64</v>
      </c>
      <c r="F13" s="59" t="s">
        <v>63</v>
      </c>
      <c r="G13" s="59">
        <v>4</v>
      </c>
      <c r="H13" s="59">
        <v>4</v>
      </c>
      <c r="I13" s="59">
        <f t="shared" ref="I13:I34" si="5">+G13-H13</f>
        <v>0</v>
      </c>
      <c r="J13" s="66">
        <f t="shared" si="3"/>
        <v>0</v>
      </c>
      <c r="K13" s="30">
        <v>7188852</v>
      </c>
      <c r="L13" s="28">
        <v>0</v>
      </c>
      <c r="M13" s="28">
        <v>7188852</v>
      </c>
      <c r="N13" s="41">
        <v>3680000</v>
      </c>
      <c r="O13" s="28">
        <v>0</v>
      </c>
      <c r="P13" s="24">
        <v>3680000</v>
      </c>
      <c r="Q13" s="50">
        <f t="shared" si="0"/>
        <v>3680000</v>
      </c>
      <c r="R13" s="50">
        <f t="shared" si="1"/>
        <v>7188852</v>
      </c>
      <c r="S13" s="50">
        <f t="shared" si="2"/>
        <v>5434426</v>
      </c>
      <c r="T13" s="50">
        <f t="shared" si="4"/>
        <v>5434426</v>
      </c>
      <c r="U13" s="41">
        <f t="shared" ref="U13:U34" si="6">ROUND(T13/G13,2)</f>
        <v>1358606.5</v>
      </c>
      <c r="V13" s="41">
        <f t="shared" ref="V13:V34" si="7">+U13*H13</f>
        <v>5434426</v>
      </c>
    </row>
    <row r="14" spans="2:22" ht="24">
      <c r="B14" s="11">
        <v>9</v>
      </c>
      <c r="C14" s="13" t="s">
        <v>13</v>
      </c>
      <c r="D14" s="13" t="s">
        <v>58</v>
      </c>
      <c r="E14" s="45" t="s">
        <v>65</v>
      </c>
      <c r="F14" s="59" t="s">
        <v>63</v>
      </c>
      <c r="G14" s="59">
        <v>2</v>
      </c>
      <c r="H14" s="59">
        <v>2</v>
      </c>
      <c r="I14" s="59">
        <f t="shared" si="5"/>
        <v>0</v>
      </c>
      <c r="J14" s="66">
        <f t="shared" si="3"/>
        <v>0</v>
      </c>
      <c r="K14" s="30">
        <v>5700612</v>
      </c>
      <c r="L14" s="28">
        <v>0</v>
      </c>
      <c r="M14" s="28">
        <v>5700612</v>
      </c>
      <c r="N14" s="41">
        <v>1913600</v>
      </c>
      <c r="O14" s="28">
        <v>0</v>
      </c>
      <c r="P14" s="24">
        <v>1913600</v>
      </c>
      <c r="Q14" s="50">
        <f t="shared" si="0"/>
        <v>1913600</v>
      </c>
      <c r="R14" s="50">
        <f t="shared" si="1"/>
        <v>5700612</v>
      </c>
      <c r="S14" s="50">
        <f t="shared" si="2"/>
        <v>3807106</v>
      </c>
      <c r="T14" s="50">
        <f t="shared" si="4"/>
        <v>3807106</v>
      </c>
      <c r="U14" s="41">
        <f t="shared" si="6"/>
        <v>1903553</v>
      </c>
      <c r="V14" s="41">
        <f t="shared" si="7"/>
        <v>3807106</v>
      </c>
    </row>
    <row r="15" spans="2:22" ht="24">
      <c r="B15" s="13">
        <v>10</v>
      </c>
      <c r="C15" s="13" t="s">
        <v>13</v>
      </c>
      <c r="D15" s="13" t="s">
        <v>58</v>
      </c>
      <c r="E15" s="45" t="s">
        <v>66</v>
      </c>
      <c r="F15" s="59" t="s">
        <v>63</v>
      </c>
      <c r="G15" s="59">
        <v>4</v>
      </c>
      <c r="H15" s="59">
        <v>4</v>
      </c>
      <c r="I15" s="59">
        <f t="shared" si="5"/>
        <v>0</v>
      </c>
      <c r="J15" s="66">
        <f t="shared" si="3"/>
        <v>0</v>
      </c>
      <c r="K15" s="30">
        <v>6743892</v>
      </c>
      <c r="L15" s="28">
        <v>0</v>
      </c>
      <c r="M15" s="28">
        <v>6743892</v>
      </c>
      <c r="N15" s="41">
        <v>3680000</v>
      </c>
      <c r="O15" s="28">
        <v>0</v>
      </c>
      <c r="P15" s="24">
        <v>3680000</v>
      </c>
      <c r="Q15" s="50">
        <f t="shared" si="0"/>
        <v>3680000</v>
      </c>
      <c r="R15" s="50">
        <f t="shared" si="1"/>
        <v>6743892</v>
      </c>
      <c r="S15" s="50">
        <f t="shared" si="2"/>
        <v>5211946</v>
      </c>
      <c r="T15" s="50">
        <f t="shared" si="4"/>
        <v>5211946</v>
      </c>
      <c r="U15" s="41">
        <f t="shared" si="6"/>
        <v>1302986.5</v>
      </c>
      <c r="V15" s="41">
        <f t="shared" si="7"/>
        <v>5211946</v>
      </c>
    </row>
    <row r="16" spans="2:22" ht="24">
      <c r="B16" s="13">
        <v>11</v>
      </c>
      <c r="C16" s="13" t="s">
        <v>13</v>
      </c>
      <c r="D16" s="13" t="s">
        <v>58</v>
      </c>
      <c r="E16" s="45" t="s">
        <v>67</v>
      </c>
      <c r="F16" s="59" t="s">
        <v>63</v>
      </c>
      <c r="G16" s="59">
        <v>4</v>
      </c>
      <c r="H16" s="59">
        <v>4</v>
      </c>
      <c r="I16" s="59">
        <f t="shared" si="5"/>
        <v>0</v>
      </c>
      <c r="J16" s="66">
        <f t="shared" si="3"/>
        <v>0</v>
      </c>
      <c r="K16" s="30">
        <v>7188852</v>
      </c>
      <c r="L16" s="28">
        <v>0</v>
      </c>
      <c r="M16" s="28">
        <v>7188852</v>
      </c>
      <c r="N16" s="41">
        <v>3680000</v>
      </c>
      <c r="O16" s="28">
        <v>0</v>
      </c>
      <c r="P16" s="24">
        <v>3680000</v>
      </c>
      <c r="Q16" s="50">
        <f t="shared" si="0"/>
        <v>3680000</v>
      </c>
      <c r="R16" s="50">
        <f t="shared" si="1"/>
        <v>7188852</v>
      </c>
      <c r="S16" s="50">
        <f t="shared" si="2"/>
        <v>5434426</v>
      </c>
      <c r="T16" s="50">
        <f t="shared" si="4"/>
        <v>5434426</v>
      </c>
      <c r="U16" s="41">
        <f t="shared" si="6"/>
        <v>1358606.5</v>
      </c>
      <c r="V16" s="41">
        <f t="shared" si="7"/>
        <v>5434426</v>
      </c>
    </row>
    <row r="17" spans="2:22" ht="24">
      <c r="B17" s="11">
        <v>12</v>
      </c>
      <c r="C17" s="13" t="s">
        <v>13</v>
      </c>
      <c r="D17" s="13" t="s">
        <v>58</v>
      </c>
      <c r="E17" s="45" t="s">
        <v>68</v>
      </c>
      <c r="F17" s="19" t="s">
        <v>69</v>
      </c>
      <c r="G17" s="19">
        <v>4</v>
      </c>
      <c r="H17" s="19">
        <v>4</v>
      </c>
      <c r="I17" s="59">
        <f t="shared" si="5"/>
        <v>0</v>
      </c>
      <c r="J17" s="66">
        <f t="shared" si="3"/>
        <v>0</v>
      </c>
      <c r="K17" s="30">
        <v>8428692</v>
      </c>
      <c r="L17" s="28">
        <v>0</v>
      </c>
      <c r="M17" s="28">
        <v>8428692</v>
      </c>
      <c r="N17" s="41">
        <v>3680000</v>
      </c>
      <c r="O17" s="28">
        <v>0</v>
      </c>
      <c r="P17" s="24">
        <v>3680000</v>
      </c>
      <c r="Q17" s="50">
        <f t="shared" si="0"/>
        <v>3680000</v>
      </c>
      <c r="R17" s="50">
        <f t="shared" si="1"/>
        <v>8428692</v>
      </c>
      <c r="S17" s="50">
        <f t="shared" si="2"/>
        <v>6054346</v>
      </c>
      <c r="T17" s="50">
        <f t="shared" si="4"/>
        <v>6054346</v>
      </c>
      <c r="U17" s="41">
        <f t="shared" si="6"/>
        <v>1513586.5</v>
      </c>
      <c r="V17" s="41">
        <f t="shared" si="7"/>
        <v>6054346</v>
      </c>
    </row>
    <row r="18" spans="2:22" ht="24">
      <c r="B18" s="13">
        <v>13</v>
      </c>
      <c r="C18" s="13" t="s">
        <v>13</v>
      </c>
      <c r="D18" s="13" t="s">
        <v>58</v>
      </c>
      <c r="E18" s="45" t="s">
        <v>70</v>
      </c>
      <c r="F18" s="19" t="s">
        <v>69</v>
      </c>
      <c r="G18" s="19">
        <v>2</v>
      </c>
      <c r="H18" s="19">
        <v>2</v>
      </c>
      <c r="I18" s="59">
        <f t="shared" si="5"/>
        <v>0</v>
      </c>
      <c r="J18" s="66">
        <f t="shared" si="3"/>
        <v>0</v>
      </c>
      <c r="K18" s="30">
        <v>7193172</v>
      </c>
      <c r="L18" s="28">
        <v>0</v>
      </c>
      <c r="M18" s="28">
        <v>7193172</v>
      </c>
      <c r="N18" s="41">
        <v>1913600</v>
      </c>
      <c r="O18" s="28">
        <v>0</v>
      </c>
      <c r="P18" s="24">
        <v>1913600</v>
      </c>
      <c r="Q18" s="50">
        <f t="shared" si="0"/>
        <v>1913600</v>
      </c>
      <c r="R18" s="50">
        <f t="shared" si="1"/>
        <v>7193172</v>
      </c>
      <c r="S18" s="50">
        <f t="shared" si="2"/>
        <v>4553386</v>
      </c>
      <c r="T18" s="50">
        <f t="shared" si="4"/>
        <v>4553386</v>
      </c>
      <c r="U18" s="41">
        <f t="shared" si="6"/>
        <v>2276693</v>
      </c>
      <c r="V18" s="41">
        <f t="shared" si="7"/>
        <v>4553386</v>
      </c>
    </row>
    <row r="19" spans="2:22" ht="36">
      <c r="B19" s="13">
        <v>14</v>
      </c>
      <c r="C19" s="13" t="s">
        <v>13</v>
      </c>
      <c r="D19" s="13" t="s">
        <v>58</v>
      </c>
      <c r="E19" s="45" t="s">
        <v>71</v>
      </c>
      <c r="F19" s="19" t="s">
        <v>69</v>
      </c>
      <c r="G19" s="19">
        <v>2</v>
      </c>
      <c r="H19" s="19">
        <v>2</v>
      </c>
      <c r="I19" s="59">
        <f t="shared" si="5"/>
        <v>0</v>
      </c>
      <c r="J19" s="66">
        <f t="shared" si="3"/>
        <v>0</v>
      </c>
      <c r="K19" s="30">
        <v>7193172</v>
      </c>
      <c r="L19" s="28">
        <v>0</v>
      </c>
      <c r="M19" s="28">
        <v>7193172</v>
      </c>
      <c r="N19" s="41">
        <v>1913600</v>
      </c>
      <c r="O19" s="28">
        <v>0</v>
      </c>
      <c r="P19" s="24">
        <v>1913600</v>
      </c>
      <c r="Q19" s="50">
        <f t="shared" si="0"/>
        <v>1913600</v>
      </c>
      <c r="R19" s="50">
        <f t="shared" si="1"/>
        <v>7193172</v>
      </c>
      <c r="S19" s="50">
        <f t="shared" si="2"/>
        <v>4553386</v>
      </c>
      <c r="T19" s="50">
        <f t="shared" si="4"/>
        <v>4553386</v>
      </c>
      <c r="U19" s="41">
        <f t="shared" si="6"/>
        <v>2276693</v>
      </c>
      <c r="V19" s="41">
        <f t="shared" si="7"/>
        <v>4553386</v>
      </c>
    </row>
    <row r="20" spans="2:22" ht="24">
      <c r="B20" s="11">
        <v>15</v>
      </c>
      <c r="C20" s="13" t="s">
        <v>13</v>
      </c>
      <c r="D20" s="13" t="s">
        <v>58</v>
      </c>
      <c r="E20" s="45" t="s">
        <v>72</v>
      </c>
      <c r="F20" s="19" t="s">
        <v>73</v>
      </c>
      <c r="G20" s="19">
        <v>2</v>
      </c>
      <c r="H20" s="19">
        <v>2</v>
      </c>
      <c r="I20" s="59">
        <f t="shared" si="5"/>
        <v>0</v>
      </c>
      <c r="J20" s="66">
        <f t="shared" si="3"/>
        <v>0</v>
      </c>
      <c r="K20" s="30">
        <v>4736532</v>
      </c>
      <c r="L20" s="28">
        <v>0</v>
      </c>
      <c r="M20" s="28">
        <v>4736532</v>
      </c>
      <c r="N20" s="41">
        <v>1913600</v>
      </c>
      <c r="O20" s="28">
        <v>0</v>
      </c>
      <c r="P20" s="24">
        <v>1913600</v>
      </c>
      <c r="Q20" s="50">
        <f t="shared" si="0"/>
        <v>1913600</v>
      </c>
      <c r="R20" s="50">
        <f t="shared" si="1"/>
        <v>4736532</v>
      </c>
      <c r="S20" s="50">
        <f t="shared" si="2"/>
        <v>3325066</v>
      </c>
      <c r="T20" s="50">
        <f t="shared" si="4"/>
        <v>3325066</v>
      </c>
      <c r="U20" s="41">
        <f t="shared" si="6"/>
        <v>1662533</v>
      </c>
      <c r="V20" s="41">
        <f t="shared" si="7"/>
        <v>3325066</v>
      </c>
    </row>
    <row r="21" spans="2:22" ht="24">
      <c r="B21" s="13">
        <v>16</v>
      </c>
      <c r="C21" s="13" t="s">
        <v>13</v>
      </c>
      <c r="D21" s="13" t="s">
        <v>58</v>
      </c>
      <c r="E21" s="45" t="s">
        <v>74</v>
      </c>
      <c r="F21" s="19" t="s">
        <v>73</v>
      </c>
      <c r="G21" s="19">
        <v>4</v>
      </c>
      <c r="H21" s="19">
        <v>4</v>
      </c>
      <c r="I21" s="59">
        <f t="shared" si="5"/>
        <v>0</v>
      </c>
      <c r="J21" s="66">
        <f t="shared" si="3"/>
        <v>0</v>
      </c>
      <c r="K21" s="30">
        <v>5793492</v>
      </c>
      <c r="L21" s="28">
        <v>0</v>
      </c>
      <c r="M21" s="28">
        <v>5793492</v>
      </c>
      <c r="N21" s="41">
        <v>3680000</v>
      </c>
      <c r="O21" s="28">
        <v>0</v>
      </c>
      <c r="P21" s="24">
        <v>3680000</v>
      </c>
      <c r="Q21" s="50">
        <f t="shared" si="0"/>
        <v>3680000</v>
      </c>
      <c r="R21" s="50">
        <f t="shared" si="1"/>
        <v>5793492</v>
      </c>
      <c r="S21" s="50">
        <f t="shared" si="2"/>
        <v>4736746</v>
      </c>
      <c r="T21" s="50">
        <f t="shared" si="4"/>
        <v>4736746</v>
      </c>
      <c r="U21" s="41">
        <f t="shared" si="6"/>
        <v>1184186.5</v>
      </c>
      <c r="V21" s="41">
        <f t="shared" si="7"/>
        <v>4736746</v>
      </c>
    </row>
    <row r="22" spans="2:22" ht="24">
      <c r="B22" s="13">
        <v>17</v>
      </c>
      <c r="C22" s="13" t="s">
        <v>13</v>
      </c>
      <c r="D22" s="13" t="s">
        <v>58</v>
      </c>
      <c r="E22" s="45" t="s">
        <v>75</v>
      </c>
      <c r="F22" s="19" t="s">
        <v>73</v>
      </c>
      <c r="G22" s="19">
        <v>2</v>
      </c>
      <c r="H22" s="19">
        <v>2</v>
      </c>
      <c r="I22" s="59">
        <f t="shared" si="5"/>
        <v>0</v>
      </c>
      <c r="J22" s="66">
        <f t="shared" si="3"/>
        <v>0</v>
      </c>
      <c r="K22" s="30">
        <v>4736532</v>
      </c>
      <c r="L22" s="28">
        <v>0</v>
      </c>
      <c r="M22" s="28">
        <v>4736532</v>
      </c>
      <c r="N22" s="41">
        <v>1913600</v>
      </c>
      <c r="O22" s="28">
        <v>0</v>
      </c>
      <c r="P22" s="24">
        <v>1913600</v>
      </c>
      <c r="Q22" s="50">
        <f t="shared" si="0"/>
        <v>1913600</v>
      </c>
      <c r="R22" s="50">
        <f t="shared" si="1"/>
        <v>4736532</v>
      </c>
      <c r="S22" s="50">
        <f t="shared" si="2"/>
        <v>3325066</v>
      </c>
      <c r="T22" s="50">
        <f t="shared" si="4"/>
        <v>3325066</v>
      </c>
      <c r="U22" s="41">
        <f t="shared" si="6"/>
        <v>1662533</v>
      </c>
      <c r="V22" s="41">
        <f t="shared" si="7"/>
        <v>3325066</v>
      </c>
    </row>
    <row r="23" spans="2:22" ht="24">
      <c r="B23" s="11">
        <v>18</v>
      </c>
      <c r="C23" s="13" t="s">
        <v>13</v>
      </c>
      <c r="D23" s="13" t="s">
        <v>58</v>
      </c>
      <c r="E23" s="45" t="s">
        <v>76</v>
      </c>
      <c r="F23" s="19" t="s">
        <v>77</v>
      </c>
      <c r="G23" s="19">
        <v>3</v>
      </c>
      <c r="H23" s="19">
        <v>3</v>
      </c>
      <c r="I23" s="59">
        <f t="shared" si="5"/>
        <v>0</v>
      </c>
      <c r="J23" s="66">
        <f t="shared" si="3"/>
        <v>0</v>
      </c>
      <c r="K23" s="30">
        <v>4264212</v>
      </c>
      <c r="L23" s="28">
        <v>0</v>
      </c>
      <c r="M23" s="28">
        <v>4264212</v>
      </c>
      <c r="N23" s="41">
        <v>2796800</v>
      </c>
      <c r="O23" s="28">
        <v>0</v>
      </c>
      <c r="P23" s="24">
        <v>2796800</v>
      </c>
      <c r="Q23" s="50">
        <f t="shared" si="0"/>
        <v>2796800</v>
      </c>
      <c r="R23" s="50">
        <f t="shared" si="1"/>
        <v>4264212</v>
      </c>
      <c r="S23" s="50">
        <f t="shared" si="2"/>
        <v>3530506</v>
      </c>
      <c r="T23" s="50">
        <f t="shared" si="4"/>
        <v>3530506</v>
      </c>
      <c r="U23" s="41">
        <f t="shared" si="6"/>
        <v>1176835.33</v>
      </c>
      <c r="V23" s="41">
        <f t="shared" si="7"/>
        <v>3530505.99</v>
      </c>
    </row>
    <row r="24" spans="2:22" ht="24">
      <c r="B24" s="13">
        <v>19</v>
      </c>
      <c r="C24" s="13" t="s">
        <v>13</v>
      </c>
      <c r="D24" s="13" t="s">
        <v>58</v>
      </c>
      <c r="E24" s="45" t="s">
        <v>78</v>
      </c>
      <c r="F24" s="19" t="s">
        <v>63</v>
      </c>
      <c r="G24" s="19">
        <v>4</v>
      </c>
      <c r="H24" s="19">
        <v>4</v>
      </c>
      <c r="I24" s="59">
        <f t="shared" si="5"/>
        <v>0</v>
      </c>
      <c r="J24" s="66">
        <f t="shared" si="3"/>
        <v>0</v>
      </c>
      <c r="K24" s="30">
        <v>7188852</v>
      </c>
      <c r="L24" s="28">
        <v>0</v>
      </c>
      <c r="M24" s="28">
        <v>7188852</v>
      </c>
      <c r="N24" s="41">
        <v>3680000</v>
      </c>
      <c r="O24" s="28">
        <v>0</v>
      </c>
      <c r="P24" s="24">
        <v>3680000</v>
      </c>
      <c r="Q24" s="50">
        <f t="shared" si="0"/>
        <v>3680000</v>
      </c>
      <c r="R24" s="50">
        <f t="shared" si="1"/>
        <v>7188852</v>
      </c>
      <c r="S24" s="50">
        <f t="shared" si="2"/>
        <v>5434426</v>
      </c>
      <c r="T24" s="50">
        <f t="shared" si="4"/>
        <v>5434426</v>
      </c>
      <c r="U24" s="41">
        <f t="shared" si="6"/>
        <v>1358606.5</v>
      </c>
      <c r="V24" s="41">
        <f t="shared" si="7"/>
        <v>5434426</v>
      </c>
    </row>
    <row r="25" spans="2:22" ht="24">
      <c r="B25" s="13">
        <v>20</v>
      </c>
      <c r="C25" s="13" t="s">
        <v>13</v>
      </c>
      <c r="D25" s="13" t="s">
        <v>58</v>
      </c>
      <c r="E25" s="45" t="s">
        <v>79</v>
      </c>
      <c r="F25" s="19" t="s">
        <v>63</v>
      </c>
      <c r="G25" s="19">
        <v>4</v>
      </c>
      <c r="H25" s="19">
        <v>4</v>
      </c>
      <c r="I25" s="59">
        <f t="shared" si="5"/>
        <v>0</v>
      </c>
      <c r="J25" s="66">
        <f t="shared" si="3"/>
        <v>0</v>
      </c>
      <c r="K25" s="30">
        <v>7188852</v>
      </c>
      <c r="L25" s="28">
        <v>0</v>
      </c>
      <c r="M25" s="28">
        <v>7188852</v>
      </c>
      <c r="N25" s="41">
        <v>3680000</v>
      </c>
      <c r="O25" s="28">
        <v>0</v>
      </c>
      <c r="P25" s="24">
        <v>3680000</v>
      </c>
      <c r="Q25" s="50">
        <f t="shared" si="0"/>
        <v>3680000</v>
      </c>
      <c r="R25" s="50">
        <f t="shared" si="1"/>
        <v>7188852</v>
      </c>
      <c r="S25" s="50">
        <f t="shared" si="2"/>
        <v>5434426</v>
      </c>
      <c r="T25" s="50">
        <f t="shared" si="4"/>
        <v>5434426</v>
      </c>
      <c r="U25" s="41">
        <f t="shared" si="6"/>
        <v>1358606.5</v>
      </c>
      <c r="V25" s="41">
        <f t="shared" si="7"/>
        <v>5434426</v>
      </c>
    </row>
    <row r="26" spans="2:22" ht="24">
      <c r="B26" s="11">
        <v>21</v>
      </c>
      <c r="C26" s="13" t="s">
        <v>13</v>
      </c>
      <c r="D26" s="13" t="s">
        <v>58</v>
      </c>
      <c r="E26" s="45" t="s">
        <v>80</v>
      </c>
      <c r="F26" s="19" t="s">
        <v>73</v>
      </c>
      <c r="G26" s="19">
        <v>4</v>
      </c>
      <c r="H26" s="19">
        <v>4</v>
      </c>
      <c r="I26" s="59">
        <f t="shared" si="5"/>
        <v>0</v>
      </c>
      <c r="J26" s="66">
        <f t="shared" si="3"/>
        <v>0</v>
      </c>
      <c r="K26" s="30">
        <v>5793492</v>
      </c>
      <c r="L26" s="28">
        <v>0</v>
      </c>
      <c r="M26" s="28">
        <v>5793492</v>
      </c>
      <c r="N26" s="41">
        <v>3680000</v>
      </c>
      <c r="O26" s="28">
        <v>0</v>
      </c>
      <c r="P26" s="24">
        <v>3680000</v>
      </c>
      <c r="Q26" s="50">
        <f t="shared" si="0"/>
        <v>3680000</v>
      </c>
      <c r="R26" s="50">
        <f t="shared" si="1"/>
        <v>5793492</v>
      </c>
      <c r="S26" s="50">
        <f t="shared" si="2"/>
        <v>4736746</v>
      </c>
      <c r="T26" s="50">
        <f t="shared" si="4"/>
        <v>4736746</v>
      </c>
      <c r="U26" s="41">
        <f t="shared" si="6"/>
        <v>1184186.5</v>
      </c>
      <c r="V26" s="41">
        <f t="shared" si="7"/>
        <v>4736746</v>
      </c>
    </row>
    <row r="27" spans="2:22" ht="24">
      <c r="B27" s="13">
        <v>22</v>
      </c>
      <c r="C27" s="13" t="s">
        <v>13</v>
      </c>
      <c r="D27" s="13" t="s">
        <v>58</v>
      </c>
      <c r="E27" s="45" t="s">
        <v>81</v>
      </c>
      <c r="F27" s="19" t="s">
        <v>63</v>
      </c>
      <c r="G27" s="19">
        <v>2</v>
      </c>
      <c r="H27" s="19">
        <v>2</v>
      </c>
      <c r="I27" s="59">
        <f t="shared" si="5"/>
        <v>0</v>
      </c>
      <c r="J27" s="66">
        <f t="shared" si="3"/>
        <v>0</v>
      </c>
      <c r="K27" s="30">
        <v>4736532</v>
      </c>
      <c r="L27" s="28">
        <v>0</v>
      </c>
      <c r="M27" s="28">
        <v>4736532</v>
      </c>
      <c r="N27" s="41">
        <v>1913600</v>
      </c>
      <c r="O27" s="28">
        <v>0</v>
      </c>
      <c r="P27" s="24">
        <v>1913600</v>
      </c>
      <c r="Q27" s="50">
        <f t="shared" si="0"/>
        <v>1913600</v>
      </c>
      <c r="R27" s="50">
        <f t="shared" si="1"/>
        <v>4736532</v>
      </c>
      <c r="S27" s="50">
        <f t="shared" si="2"/>
        <v>3325066</v>
      </c>
      <c r="T27" s="50">
        <f t="shared" si="4"/>
        <v>3325066</v>
      </c>
      <c r="U27" s="41">
        <f t="shared" si="6"/>
        <v>1662533</v>
      </c>
      <c r="V27" s="41">
        <f t="shared" si="7"/>
        <v>3325066</v>
      </c>
    </row>
    <row r="28" spans="2:22" ht="24">
      <c r="B28" s="13">
        <v>23</v>
      </c>
      <c r="C28" s="13" t="s">
        <v>13</v>
      </c>
      <c r="D28" s="13" t="s">
        <v>58</v>
      </c>
      <c r="E28" s="45" t="s">
        <v>82</v>
      </c>
      <c r="F28" s="19" t="s">
        <v>83</v>
      </c>
      <c r="G28" s="19">
        <v>2</v>
      </c>
      <c r="H28" s="19">
        <v>2</v>
      </c>
      <c r="I28" s="59">
        <f t="shared" si="5"/>
        <v>0</v>
      </c>
      <c r="J28" s="66">
        <f t="shared" si="3"/>
        <v>0</v>
      </c>
      <c r="K28" s="30">
        <v>3323172</v>
      </c>
      <c r="L28" s="28">
        <v>0</v>
      </c>
      <c r="M28" s="28">
        <v>3323172</v>
      </c>
      <c r="N28" s="41">
        <v>1913600</v>
      </c>
      <c r="O28" s="28">
        <v>0</v>
      </c>
      <c r="P28" s="24">
        <v>1913600</v>
      </c>
      <c r="Q28" s="50">
        <f t="shared" si="0"/>
        <v>1913600</v>
      </c>
      <c r="R28" s="50">
        <f t="shared" si="1"/>
        <v>3323172</v>
      </c>
      <c r="S28" s="50">
        <f t="shared" si="2"/>
        <v>2618386</v>
      </c>
      <c r="T28" s="50">
        <f t="shared" si="4"/>
        <v>2618386</v>
      </c>
      <c r="U28" s="41">
        <f t="shared" si="6"/>
        <v>1309193</v>
      </c>
      <c r="V28" s="41">
        <f t="shared" si="7"/>
        <v>2618386</v>
      </c>
    </row>
    <row r="29" spans="2:22" ht="60">
      <c r="B29" s="11">
        <v>24</v>
      </c>
      <c r="C29" s="13" t="s">
        <v>13</v>
      </c>
      <c r="D29" s="13" t="s">
        <v>58</v>
      </c>
      <c r="E29" s="45" t="s">
        <v>84</v>
      </c>
      <c r="F29" s="19" t="s">
        <v>85</v>
      </c>
      <c r="G29" s="19">
        <v>2</v>
      </c>
      <c r="H29" s="19">
        <v>2</v>
      </c>
      <c r="I29" s="59">
        <f t="shared" si="5"/>
        <v>0</v>
      </c>
      <c r="J29" s="66">
        <f t="shared" si="3"/>
        <v>0</v>
      </c>
      <c r="K29" s="30">
        <v>6645972</v>
      </c>
      <c r="L29" s="28">
        <v>0</v>
      </c>
      <c r="M29" s="28">
        <v>6645972</v>
      </c>
      <c r="N29" s="41">
        <v>1913600</v>
      </c>
      <c r="O29" s="28">
        <v>0</v>
      </c>
      <c r="P29" s="24">
        <v>1913600</v>
      </c>
      <c r="Q29" s="50">
        <f t="shared" si="0"/>
        <v>1913600</v>
      </c>
      <c r="R29" s="50">
        <f t="shared" si="1"/>
        <v>6645972</v>
      </c>
      <c r="S29" s="50">
        <f t="shared" si="2"/>
        <v>4279786</v>
      </c>
      <c r="T29" s="50">
        <f t="shared" si="4"/>
        <v>4279786</v>
      </c>
      <c r="U29" s="41">
        <f t="shared" si="6"/>
        <v>2139893</v>
      </c>
      <c r="V29" s="41">
        <f t="shared" si="7"/>
        <v>4279786</v>
      </c>
    </row>
    <row r="30" spans="2:22" ht="24">
      <c r="B30" s="13">
        <v>25</v>
      </c>
      <c r="C30" s="13" t="s">
        <v>13</v>
      </c>
      <c r="D30" s="13" t="s">
        <v>58</v>
      </c>
      <c r="E30" s="45" t="s">
        <v>86</v>
      </c>
      <c r="F30" s="19" t="s">
        <v>87</v>
      </c>
      <c r="G30" s="19">
        <v>2</v>
      </c>
      <c r="H30" s="19">
        <v>2</v>
      </c>
      <c r="I30" s="59">
        <f t="shared" si="5"/>
        <v>0</v>
      </c>
      <c r="J30" s="66">
        <f t="shared" si="3"/>
        <v>0</v>
      </c>
      <c r="K30" s="30">
        <v>10994772</v>
      </c>
      <c r="L30" s="28">
        <v>0</v>
      </c>
      <c r="M30" s="28">
        <v>10994772</v>
      </c>
      <c r="N30" s="41">
        <v>1913600</v>
      </c>
      <c r="O30" s="28">
        <v>0</v>
      </c>
      <c r="P30" s="24">
        <v>1913600</v>
      </c>
      <c r="Q30" s="50">
        <f t="shared" si="0"/>
        <v>1913600</v>
      </c>
      <c r="R30" s="50">
        <f t="shared" si="1"/>
        <v>10994772</v>
      </c>
      <c r="S30" s="50">
        <f t="shared" si="2"/>
        <v>6454186</v>
      </c>
      <c r="T30" s="50">
        <f t="shared" si="4"/>
        <v>6454186</v>
      </c>
      <c r="U30" s="41">
        <f t="shared" si="6"/>
        <v>3227093</v>
      </c>
      <c r="V30" s="41">
        <f t="shared" si="7"/>
        <v>6454186</v>
      </c>
    </row>
    <row r="31" spans="2:22" ht="24">
      <c r="B31" s="11">
        <v>27</v>
      </c>
      <c r="C31" s="13" t="s">
        <v>13</v>
      </c>
      <c r="D31" s="13" t="s">
        <v>58</v>
      </c>
      <c r="E31" s="45" t="s">
        <v>88</v>
      </c>
      <c r="F31" s="19" t="s">
        <v>89</v>
      </c>
      <c r="G31" s="19">
        <v>4</v>
      </c>
      <c r="H31" s="19">
        <v>4</v>
      </c>
      <c r="I31" s="59">
        <f t="shared" si="5"/>
        <v>0</v>
      </c>
      <c r="J31" s="66">
        <f t="shared" si="3"/>
        <v>0</v>
      </c>
      <c r="K31" s="30">
        <v>8957460</v>
      </c>
      <c r="L31" s="28">
        <v>0</v>
      </c>
      <c r="M31" s="28">
        <v>8957460</v>
      </c>
      <c r="N31" s="41">
        <v>28160000</v>
      </c>
      <c r="O31" s="28">
        <v>0</v>
      </c>
      <c r="P31" s="24">
        <v>28160000</v>
      </c>
      <c r="Q31" s="50">
        <f t="shared" si="0"/>
        <v>8957460</v>
      </c>
      <c r="R31" s="50">
        <f t="shared" si="1"/>
        <v>28160000</v>
      </c>
      <c r="S31" s="50">
        <f t="shared" si="2"/>
        <v>18558730</v>
      </c>
      <c r="T31" s="50">
        <f t="shared" si="4"/>
        <v>18558730</v>
      </c>
      <c r="U31" s="41">
        <f t="shared" si="6"/>
        <v>4639682.5</v>
      </c>
      <c r="V31" s="41">
        <f t="shared" si="7"/>
        <v>18558730</v>
      </c>
    </row>
    <row r="32" spans="2:22" ht="24">
      <c r="B32" s="13">
        <v>28</v>
      </c>
      <c r="C32" s="13" t="s">
        <v>13</v>
      </c>
      <c r="D32" s="13" t="s">
        <v>58</v>
      </c>
      <c r="E32" s="45" t="s">
        <v>90</v>
      </c>
      <c r="F32" s="19" t="s">
        <v>63</v>
      </c>
      <c r="G32" s="19">
        <v>30</v>
      </c>
      <c r="H32" s="19">
        <v>15</v>
      </c>
      <c r="I32" s="59">
        <f t="shared" si="5"/>
        <v>15</v>
      </c>
      <c r="J32" s="66">
        <f t="shared" si="3"/>
        <v>0.5</v>
      </c>
      <c r="K32" s="30">
        <v>31267190.879999995</v>
      </c>
      <c r="L32" s="28">
        <v>0</v>
      </c>
      <c r="M32" s="28">
        <v>31267190.879999995</v>
      </c>
      <c r="N32" s="41">
        <v>26643200</v>
      </c>
      <c r="O32" s="28">
        <v>0</v>
      </c>
      <c r="P32" s="24">
        <v>26643200</v>
      </c>
      <c r="Q32" s="50">
        <f t="shared" si="0"/>
        <v>26643200</v>
      </c>
      <c r="R32" s="50">
        <f t="shared" si="1"/>
        <v>31267190.879999995</v>
      </c>
      <c r="S32" s="50">
        <f t="shared" si="2"/>
        <v>28955195.439999998</v>
      </c>
      <c r="T32" s="50">
        <f>+S32</f>
        <v>28955195.439999998</v>
      </c>
      <c r="U32" s="41">
        <f t="shared" si="6"/>
        <v>965173.18</v>
      </c>
      <c r="V32" s="41">
        <f t="shared" si="7"/>
        <v>14477597.700000001</v>
      </c>
    </row>
    <row r="33" spans="2:22" ht="24">
      <c r="B33" s="13">
        <v>29</v>
      </c>
      <c r="C33" s="13" t="s">
        <v>13</v>
      </c>
      <c r="D33" s="13" t="s">
        <v>58</v>
      </c>
      <c r="E33" s="46" t="s">
        <v>91</v>
      </c>
      <c r="F33" s="20" t="s">
        <v>60</v>
      </c>
      <c r="G33" s="20">
        <v>2</v>
      </c>
      <c r="H33" s="20">
        <v>2</v>
      </c>
      <c r="I33" s="59">
        <f t="shared" si="5"/>
        <v>0</v>
      </c>
      <c r="J33" s="66">
        <f t="shared" si="3"/>
        <v>0</v>
      </c>
      <c r="K33" s="30">
        <v>5724372</v>
      </c>
      <c r="L33" s="28">
        <v>0</v>
      </c>
      <c r="M33" s="28">
        <v>5724372</v>
      </c>
      <c r="N33" s="41">
        <v>8979199.9999999981</v>
      </c>
      <c r="O33" s="28">
        <v>0</v>
      </c>
      <c r="P33" s="24">
        <v>8979199.9999999981</v>
      </c>
      <c r="Q33" s="50">
        <f t="shared" si="0"/>
        <v>5724372</v>
      </c>
      <c r="R33" s="50">
        <f t="shared" si="1"/>
        <v>8979199.9999999981</v>
      </c>
      <c r="S33" s="50">
        <f t="shared" si="2"/>
        <v>7351785.9999999991</v>
      </c>
      <c r="T33" s="50">
        <f t="shared" si="4"/>
        <v>7351785.9999999991</v>
      </c>
      <c r="U33" s="41">
        <f t="shared" si="6"/>
        <v>3675893</v>
      </c>
      <c r="V33" s="41">
        <f t="shared" si="7"/>
        <v>7351786</v>
      </c>
    </row>
    <row r="34" spans="2:22" ht="24">
      <c r="B34" s="11">
        <v>30</v>
      </c>
      <c r="C34" s="13" t="s">
        <v>13</v>
      </c>
      <c r="D34" s="13" t="s">
        <v>58</v>
      </c>
      <c r="E34" s="47" t="s">
        <v>92</v>
      </c>
      <c r="F34" s="21" t="s">
        <v>93</v>
      </c>
      <c r="G34" s="60">
        <v>40</v>
      </c>
      <c r="H34" s="61">
        <v>20</v>
      </c>
      <c r="I34" s="59">
        <f t="shared" si="5"/>
        <v>20</v>
      </c>
      <c r="J34" s="66">
        <f t="shared" si="3"/>
        <v>0.5</v>
      </c>
      <c r="K34" s="27">
        <v>62112309.119999997</v>
      </c>
      <c r="L34" s="28">
        <v>0</v>
      </c>
      <c r="M34" s="28">
        <v>62112309.119999997</v>
      </c>
      <c r="N34" s="41">
        <v>35475199.999999993</v>
      </c>
      <c r="O34" s="28">
        <v>0</v>
      </c>
      <c r="P34" s="24">
        <v>35475199.999999993</v>
      </c>
      <c r="Q34" s="50">
        <f t="shared" si="0"/>
        <v>35475199.999999993</v>
      </c>
      <c r="R34" s="50">
        <f t="shared" si="1"/>
        <v>62112309.119999997</v>
      </c>
      <c r="S34" s="50">
        <f t="shared" si="2"/>
        <v>48793754.559999995</v>
      </c>
      <c r="T34" s="50">
        <f t="shared" si="4"/>
        <v>48793754.559999995</v>
      </c>
      <c r="U34" s="41">
        <f t="shared" si="6"/>
        <v>1219843.8600000001</v>
      </c>
      <c r="V34" s="41">
        <f t="shared" si="7"/>
        <v>24396877.200000003</v>
      </c>
    </row>
    <row r="35" spans="2:22" ht="24">
      <c r="B35" s="13">
        <v>41</v>
      </c>
      <c r="C35" s="13" t="s">
        <v>17</v>
      </c>
      <c r="D35" s="13" t="s">
        <v>94</v>
      </c>
      <c r="E35" s="48" t="s">
        <v>95</v>
      </c>
      <c r="F35" s="23" t="s">
        <v>96</v>
      </c>
      <c r="G35" s="23">
        <v>290</v>
      </c>
      <c r="H35" s="23">
        <v>290</v>
      </c>
      <c r="I35" s="22">
        <f t="shared" ref="I35:I45" si="8">+G35-H35</f>
        <v>0</v>
      </c>
      <c r="J35" s="66">
        <f t="shared" si="3"/>
        <v>0</v>
      </c>
      <c r="K35" s="27">
        <v>75000</v>
      </c>
      <c r="L35" s="28">
        <v>0</v>
      </c>
      <c r="M35" s="28">
        <v>21750000</v>
      </c>
      <c r="N35" s="41">
        <v>16684199.999999998</v>
      </c>
      <c r="O35" s="28">
        <v>0</v>
      </c>
      <c r="P35" s="24">
        <v>16684199.999999998</v>
      </c>
      <c r="Q35" s="50">
        <f t="shared" ref="Q35:Q56" si="9">MIN(M35,P35)</f>
        <v>16684199.999999998</v>
      </c>
      <c r="R35" s="50">
        <f t="shared" ref="R35:R56" si="10">MAX(M35,P35)</f>
        <v>21750000</v>
      </c>
      <c r="S35" s="50">
        <f t="shared" ref="S35:S56" si="11">AVERAGE(M35,P35)</f>
        <v>19217100</v>
      </c>
      <c r="T35" s="50">
        <f t="shared" si="4"/>
        <v>19217100</v>
      </c>
      <c r="U35" s="41">
        <f t="shared" ref="U35:U45" si="12">ROUND(T35/G35,2)</f>
        <v>66265.86</v>
      </c>
      <c r="V35" s="41">
        <f t="shared" ref="V35:V45" si="13">+U35*H35</f>
        <v>19217099.399999999</v>
      </c>
    </row>
    <row r="36" spans="2:22" ht="24">
      <c r="B36" s="11">
        <v>42</v>
      </c>
      <c r="C36" s="13" t="s">
        <v>17</v>
      </c>
      <c r="D36" s="13" t="s">
        <v>94</v>
      </c>
      <c r="E36" s="48" t="s">
        <v>97</v>
      </c>
      <c r="F36" s="23" t="s">
        <v>98</v>
      </c>
      <c r="G36" s="23">
        <v>24</v>
      </c>
      <c r="H36" s="23">
        <v>24</v>
      </c>
      <c r="I36" s="22">
        <f t="shared" si="8"/>
        <v>0</v>
      </c>
      <c r="J36" s="66">
        <f t="shared" si="3"/>
        <v>0</v>
      </c>
      <c r="K36" s="27">
        <v>465000</v>
      </c>
      <c r="L36" s="28">
        <v>0</v>
      </c>
      <c r="M36" s="28">
        <v>11160000</v>
      </c>
      <c r="N36" s="41">
        <v>9384000</v>
      </c>
      <c r="O36" s="28">
        <v>0</v>
      </c>
      <c r="P36" s="24">
        <v>9384000</v>
      </c>
      <c r="Q36" s="50">
        <f t="shared" si="9"/>
        <v>9384000</v>
      </c>
      <c r="R36" s="50">
        <f t="shared" si="10"/>
        <v>11160000</v>
      </c>
      <c r="S36" s="50">
        <f t="shared" si="11"/>
        <v>10272000</v>
      </c>
      <c r="T36" s="50">
        <f t="shared" si="4"/>
        <v>10272000</v>
      </c>
      <c r="U36" s="41">
        <f t="shared" si="12"/>
        <v>428000</v>
      </c>
      <c r="V36" s="41">
        <f t="shared" si="13"/>
        <v>10272000</v>
      </c>
    </row>
    <row r="37" spans="2:22" ht="24">
      <c r="B37" s="13">
        <v>43</v>
      </c>
      <c r="C37" s="13" t="s">
        <v>17</v>
      </c>
      <c r="D37" s="13" t="s">
        <v>94</v>
      </c>
      <c r="E37" s="48" t="s">
        <v>99</v>
      </c>
      <c r="F37" s="23" t="s">
        <v>100</v>
      </c>
      <c r="G37" s="23">
        <v>60</v>
      </c>
      <c r="H37" s="23">
        <v>60</v>
      </c>
      <c r="I37" s="22">
        <f t="shared" si="8"/>
        <v>0</v>
      </c>
      <c r="J37" s="66">
        <f t="shared" si="3"/>
        <v>0</v>
      </c>
      <c r="K37" s="27">
        <v>182000</v>
      </c>
      <c r="L37" s="28">
        <v>0</v>
      </c>
      <c r="M37" s="28">
        <v>10920000</v>
      </c>
      <c r="N37" s="41">
        <v>9190800</v>
      </c>
      <c r="O37" s="28">
        <v>0</v>
      </c>
      <c r="P37" s="24">
        <v>9190800</v>
      </c>
      <c r="Q37" s="50">
        <f t="shared" si="9"/>
        <v>9190800</v>
      </c>
      <c r="R37" s="50">
        <f t="shared" si="10"/>
        <v>10920000</v>
      </c>
      <c r="S37" s="50">
        <f t="shared" si="11"/>
        <v>10055400</v>
      </c>
      <c r="T37" s="50">
        <f t="shared" si="4"/>
        <v>10055400</v>
      </c>
      <c r="U37" s="41">
        <f t="shared" si="12"/>
        <v>167590</v>
      </c>
      <c r="V37" s="41">
        <f t="shared" si="13"/>
        <v>10055400</v>
      </c>
    </row>
    <row r="38" spans="2:22" ht="24">
      <c r="B38" s="13">
        <v>44</v>
      </c>
      <c r="C38" s="13" t="s">
        <v>17</v>
      </c>
      <c r="D38" s="13" t="s">
        <v>94</v>
      </c>
      <c r="E38" s="48" t="s">
        <v>101</v>
      </c>
      <c r="F38" s="23" t="s">
        <v>102</v>
      </c>
      <c r="G38" s="23">
        <v>2</v>
      </c>
      <c r="H38" s="23">
        <v>2</v>
      </c>
      <c r="I38" s="22">
        <f t="shared" si="8"/>
        <v>0</v>
      </c>
      <c r="J38" s="66">
        <f t="shared" si="3"/>
        <v>0</v>
      </c>
      <c r="K38" s="27">
        <v>605000</v>
      </c>
      <c r="L38" s="28">
        <v>0</v>
      </c>
      <c r="M38" s="33">
        <v>1210000</v>
      </c>
      <c r="N38" s="41">
        <v>766566.99999999988</v>
      </c>
      <c r="O38" s="28">
        <v>0</v>
      </c>
      <c r="P38" s="24">
        <v>766566.99999999988</v>
      </c>
      <c r="Q38" s="50">
        <f t="shared" si="9"/>
        <v>766566.99999999988</v>
      </c>
      <c r="R38" s="50">
        <f t="shared" si="10"/>
        <v>1210000</v>
      </c>
      <c r="S38" s="50">
        <f t="shared" si="11"/>
        <v>988283.5</v>
      </c>
      <c r="T38" s="50">
        <f t="shared" si="4"/>
        <v>988283.5</v>
      </c>
      <c r="U38" s="41">
        <f t="shared" si="12"/>
        <v>494141.75</v>
      </c>
      <c r="V38" s="41">
        <f t="shared" si="13"/>
        <v>988283.5</v>
      </c>
    </row>
    <row r="39" spans="2:22" ht="24">
      <c r="B39" s="11">
        <v>45</v>
      </c>
      <c r="C39" s="13" t="s">
        <v>17</v>
      </c>
      <c r="D39" s="13" t="s">
        <v>94</v>
      </c>
      <c r="E39" s="48" t="s">
        <v>103</v>
      </c>
      <c r="F39" s="23" t="s">
        <v>104</v>
      </c>
      <c r="G39" s="23">
        <v>6</v>
      </c>
      <c r="H39" s="23">
        <v>6</v>
      </c>
      <c r="I39" s="22">
        <f t="shared" si="8"/>
        <v>0</v>
      </c>
      <c r="J39" s="66">
        <f t="shared" si="3"/>
        <v>0</v>
      </c>
      <c r="K39" s="27">
        <v>605000</v>
      </c>
      <c r="L39" s="28">
        <v>0</v>
      </c>
      <c r="M39" s="36">
        <v>3630000</v>
      </c>
      <c r="N39" s="41">
        <v>3449551.4999999995</v>
      </c>
      <c r="O39" s="28">
        <v>0</v>
      </c>
      <c r="P39" s="24">
        <v>3449551.4999999995</v>
      </c>
      <c r="Q39" s="50">
        <f t="shared" si="9"/>
        <v>3449551.4999999995</v>
      </c>
      <c r="R39" s="50">
        <f t="shared" si="10"/>
        <v>3630000</v>
      </c>
      <c r="S39" s="50">
        <f t="shared" si="11"/>
        <v>3539775.75</v>
      </c>
      <c r="T39" s="50">
        <f t="shared" si="4"/>
        <v>3539775.75</v>
      </c>
      <c r="U39" s="41">
        <f t="shared" si="12"/>
        <v>589962.63</v>
      </c>
      <c r="V39" s="41">
        <f t="shared" si="13"/>
        <v>3539775.7800000003</v>
      </c>
    </row>
    <row r="40" spans="2:22" ht="24">
      <c r="B40" s="13">
        <v>46</v>
      </c>
      <c r="C40" s="13" t="s">
        <v>17</v>
      </c>
      <c r="D40" s="13" t="s">
        <v>94</v>
      </c>
      <c r="E40" s="48" t="s">
        <v>105</v>
      </c>
      <c r="F40" s="23" t="s">
        <v>106</v>
      </c>
      <c r="G40" s="23">
        <v>5</v>
      </c>
      <c r="H40" s="23">
        <v>5</v>
      </c>
      <c r="I40" s="22">
        <f t="shared" si="8"/>
        <v>0</v>
      </c>
      <c r="J40" s="66">
        <f t="shared" si="3"/>
        <v>0</v>
      </c>
      <c r="K40" s="38">
        <v>505000</v>
      </c>
      <c r="L40" s="28">
        <v>0</v>
      </c>
      <c r="M40" s="36">
        <v>2525000</v>
      </c>
      <c r="N40" s="41">
        <v>4599402</v>
      </c>
      <c r="O40" s="28">
        <v>0</v>
      </c>
      <c r="P40" s="24">
        <v>4599402</v>
      </c>
      <c r="Q40" s="50">
        <f t="shared" si="9"/>
        <v>2525000</v>
      </c>
      <c r="R40" s="50">
        <f t="shared" si="10"/>
        <v>4599402</v>
      </c>
      <c r="S40" s="50">
        <f t="shared" si="11"/>
        <v>3562201</v>
      </c>
      <c r="T40" s="50">
        <f t="shared" si="4"/>
        <v>3562201</v>
      </c>
      <c r="U40" s="41">
        <f t="shared" si="12"/>
        <v>712440.2</v>
      </c>
      <c r="V40" s="41">
        <f t="shared" si="13"/>
        <v>3562201</v>
      </c>
    </row>
    <row r="41" spans="2:22" ht="24">
      <c r="B41" s="13">
        <v>47</v>
      </c>
      <c r="C41" s="13" t="s">
        <v>17</v>
      </c>
      <c r="D41" s="13" t="s">
        <v>94</v>
      </c>
      <c r="E41" s="48" t="s">
        <v>107</v>
      </c>
      <c r="F41" s="23" t="s">
        <v>108</v>
      </c>
      <c r="G41" s="23">
        <v>3</v>
      </c>
      <c r="H41" s="23">
        <v>3</v>
      </c>
      <c r="I41" s="22">
        <f t="shared" si="8"/>
        <v>0</v>
      </c>
      <c r="J41" s="66">
        <f t="shared" si="3"/>
        <v>0</v>
      </c>
      <c r="K41" s="27">
        <v>505000</v>
      </c>
      <c r="L41" s="28">
        <v>0</v>
      </c>
      <c r="M41" s="28">
        <v>1515000</v>
      </c>
      <c r="N41" s="41">
        <v>12265071.999999998</v>
      </c>
      <c r="O41" s="28">
        <v>0</v>
      </c>
      <c r="P41" s="24">
        <v>12265071.999999998</v>
      </c>
      <c r="Q41" s="50">
        <f t="shared" si="9"/>
        <v>1515000</v>
      </c>
      <c r="R41" s="50">
        <f t="shared" si="10"/>
        <v>12265071.999999998</v>
      </c>
      <c r="S41" s="50">
        <f t="shared" si="11"/>
        <v>6890035.9999999991</v>
      </c>
      <c r="T41" s="50">
        <f t="shared" si="4"/>
        <v>6890035.9999999991</v>
      </c>
      <c r="U41" s="41">
        <f t="shared" si="12"/>
        <v>2296678.67</v>
      </c>
      <c r="V41" s="41">
        <f t="shared" si="13"/>
        <v>6890036.0099999998</v>
      </c>
    </row>
    <row r="42" spans="2:22" ht="48">
      <c r="B42" s="13">
        <v>49</v>
      </c>
      <c r="C42" s="13" t="s">
        <v>17</v>
      </c>
      <c r="D42" s="13" t="s">
        <v>94</v>
      </c>
      <c r="E42" s="48" t="s">
        <v>109</v>
      </c>
      <c r="F42" s="23" t="s">
        <v>110</v>
      </c>
      <c r="G42" s="23">
        <v>300</v>
      </c>
      <c r="H42" s="23">
        <v>300</v>
      </c>
      <c r="I42" s="22">
        <f t="shared" si="8"/>
        <v>0</v>
      </c>
      <c r="J42" s="66">
        <f t="shared" si="3"/>
        <v>0</v>
      </c>
      <c r="K42" s="27">
        <v>90000</v>
      </c>
      <c r="L42" s="28">
        <v>0</v>
      </c>
      <c r="M42" s="28">
        <v>27000000</v>
      </c>
      <c r="N42" s="41">
        <v>24012000</v>
      </c>
      <c r="O42" s="28">
        <v>0</v>
      </c>
      <c r="P42" s="24">
        <v>24012000</v>
      </c>
      <c r="Q42" s="50">
        <f t="shared" si="9"/>
        <v>24012000</v>
      </c>
      <c r="R42" s="50">
        <f t="shared" si="10"/>
        <v>27000000</v>
      </c>
      <c r="S42" s="50">
        <f t="shared" si="11"/>
        <v>25506000</v>
      </c>
      <c r="T42" s="50">
        <f t="shared" si="4"/>
        <v>25506000</v>
      </c>
      <c r="U42" s="41">
        <f t="shared" si="12"/>
        <v>85020</v>
      </c>
      <c r="V42" s="41">
        <f t="shared" si="13"/>
        <v>25506000</v>
      </c>
    </row>
    <row r="43" spans="2:22" ht="48">
      <c r="B43" s="13">
        <v>50</v>
      </c>
      <c r="C43" s="13" t="s">
        <v>17</v>
      </c>
      <c r="D43" s="13" t="s">
        <v>94</v>
      </c>
      <c r="E43" s="48" t="s">
        <v>111</v>
      </c>
      <c r="F43" s="23" t="s">
        <v>112</v>
      </c>
      <c r="G43" s="23">
        <v>80</v>
      </c>
      <c r="H43" s="23">
        <v>80</v>
      </c>
      <c r="I43" s="22">
        <f>+G43-H43</f>
        <v>0</v>
      </c>
      <c r="J43" s="66">
        <f t="shared" si="3"/>
        <v>0</v>
      </c>
      <c r="K43" s="27">
        <v>174000</v>
      </c>
      <c r="L43" s="28">
        <v>0</v>
      </c>
      <c r="M43" s="28">
        <v>13920000</v>
      </c>
      <c r="N43" s="41">
        <v>16468000</v>
      </c>
      <c r="O43" s="28">
        <v>0</v>
      </c>
      <c r="P43" s="24">
        <v>16468000</v>
      </c>
      <c r="Q43" s="50">
        <f t="shared" si="9"/>
        <v>13920000</v>
      </c>
      <c r="R43" s="50">
        <f t="shared" si="10"/>
        <v>16468000</v>
      </c>
      <c r="S43" s="50">
        <f t="shared" si="11"/>
        <v>15194000</v>
      </c>
      <c r="T43" s="50">
        <f t="shared" si="4"/>
        <v>15194000</v>
      </c>
      <c r="U43" s="41">
        <f t="shared" si="12"/>
        <v>189925</v>
      </c>
      <c r="V43" s="41">
        <f>+U43*H43</f>
        <v>15194000</v>
      </c>
    </row>
    <row r="44" spans="2:22" ht="60">
      <c r="B44" s="11">
        <v>51</v>
      </c>
      <c r="C44" s="13" t="s">
        <v>17</v>
      </c>
      <c r="D44" s="13" t="s">
        <v>94</v>
      </c>
      <c r="E44" s="48" t="s">
        <v>113</v>
      </c>
      <c r="F44" s="23" t="s">
        <v>114</v>
      </c>
      <c r="G44" s="23">
        <v>4</v>
      </c>
      <c r="H44" s="23">
        <v>4</v>
      </c>
      <c r="I44" s="22">
        <f t="shared" si="8"/>
        <v>0</v>
      </c>
      <c r="J44" s="66">
        <f t="shared" si="3"/>
        <v>0</v>
      </c>
      <c r="K44" s="27">
        <v>726000</v>
      </c>
      <c r="L44" s="28">
        <v>0</v>
      </c>
      <c r="M44" s="37">
        <v>2904000</v>
      </c>
      <c r="N44" s="41">
        <v>3832834.9999999995</v>
      </c>
      <c r="O44" s="28">
        <v>0</v>
      </c>
      <c r="P44" s="24">
        <v>3832834.9999999995</v>
      </c>
      <c r="Q44" s="50">
        <f t="shared" si="9"/>
        <v>2904000</v>
      </c>
      <c r="R44" s="50">
        <f t="shared" si="10"/>
        <v>3832834.9999999995</v>
      </c>
      <c r="S44" s="50">
        <f t="shared" si="11"/>
        <v>3368417.5</v>
      </c>
      <c r="T44" s="50">
        <f t="shared" si="4"/>
        <v>3368417.5</v>
      </c>
      <c r="U44" s="41">
        <f t="shared" si="12"/>
        <v>842104.38</v>
      </c>
      <c r="V44" s="41">
        <f t="shared" si="13"/>
        <v>3368417.52</v>
      </c>
    </row>
    <row r="45" spans="2:22" ht="24">
      <c r="B45" s="13">
        <v>53</v>
      </c>
      <c r="C45" s="13" t="s">
        <v>17</v>
      </c>
      <c r="D45" s="13" t="s">
        <v>94</v>
      </c>
      <c r="E45" s="48" t="s">
        <v>115</v>
      </c>
      <c r="F45" s="23" t="s">
        <v>116</v>
      </c>
      <c r="G45" s="23">
        <v>4</v>
      </c>
      <c r="H45" s="23">
        <v>4</v>
      </c>
      <c r="I45" s="22">
        <f t="shared" si="8"/>
        <v>0</v>
      </c>
      <c r="J45" s="66">
        <f t="shared" si="3"/>
        <v>0</v>
      </c>
      <c r="K45" s="27">
        <v>605000</v>
      </c>
      <c r="L45" s="28">
        <v>0</v>
      </c>
      <c r="M45" s="37">
        <v>2420000</v>
      </c>
      <c r="N45" s="41">
        <v>3832834.9999999995</v>
      </c>
      <c r="O45" s="28">
        <v>0</v>
      </c>
      <c r="P45" s="24">
        <v>3832834.9999999995</v>
      </c>
      <c r="Q45" s="50">
        <f t="shared" si="9"/>
        <v>2420000</v>
      </c>
      <c r="R45" s="50">
        <f t="shared" si="10"/>
        <v>3832834.9999999995</v>
      </c>
      <c r="S45" s="50">
        <f t="shared" si="11"/>
        <v>3126417.5</v>
      </c>
      <c r="T45" s="50">
        <f t="shared" si="4"/>
        <v>3126417.5</v>
      </c>
      <c r="U45" s="41">
        <f t="shared" si="12"/>
        <v>781604.38</v>
      </c>
      <c r="V45" s="41">
        <f t="shared" si="13"/>
        <v>3126417.52</v>
      </c>
    </row>
    <row r="46" spans="2:22" ht="48">
      <c r="B46" s="11">
        <v>54</v>
      </c>
      <c r="C46" s="13" t="s">
        <v>117</v>
      </c>
      <c r="D46" s="13" t="s">
        <v>118</v>
      </c>
      <c r="E46" s="49" t="s">
        <v>119</v>
      </c>
      <c r="F46" s="11" t="s">
        <v>120</v>
      </c>
      <c r="G46" s="13">
        <v>2</v>
      </c>
      <c r="H46" s="13">
        <v>1</v>
      </c>
      <c r="I46" s="13">
        <f t="shared" ref="I46:I74" si="14">+G46-H46</f>
        <v>1</v>
      </c>
      <c r="J46" s="66">
        <f t="shared" si="3"/>
        <v>0.5</v>
      </c>
      <c r="K46" s="27">
        <v>1140000</v>
      </c>
      <c r="L46" s="28">
        <v>0</v>
      </c>
      <c r="M46" s="28">
        <v>2280000</v>
      </c>
      <c r="N46" s="28">
        <v>12365100</v>
      </c>
      <c r="O46" s="28"/>
      <c r="P46" s="28">
        <v>12365100</v>
      </c>
      <c r="Q46" s="50">
        <f t="shared" si="9"/>
        <v>2280000</v>
      </c>
      <c r="R46" s="50">
        <f t="shared" si="10"/>
        <v>12365100</v>
      </c>
      <c r="S46" s="50">
        <f t="shared" si="11"/>
        <v>7322550</v>
      </c>
      <c r="T46" s="50">
        <f t="shared" si="4"/>
        <v>7322550</v>
      </c>
      <c r="U46" s="50">
        <f t="shared" ref="U46:U55" si="15">ROUND(T46/G46,2)</f>
        <v>3661275</v>
      </c>
      <c r="V46" s="50">
        <f t="shared" ref="V46:V70" si="16">+U46*H46</f>
        <v>3661275</v>
      </c>
    </row>
    <row r="47" spans="2:22" ht="36">
      <c r="B47" s="13">
        <v>55</v>
      </c>
      <c r="C47" s="13" t="s">
        <v>117</v>
      </c>
      <c r="D47" s="13" t="s">
        <v>118</v>
      </c>
      <c r="E47" s="49" t="s">
        <v>121</v>
      </c>
      <c r="F47" s="11" t="s">
        <v>122</v>
      </c>
      <c r="G47" s="13">
        <v>4</v>
      </c>
      <c r="H47" s="13">
        <v>1</v>
      </c>
      <c r="I47" s="13">
        <f t="shared" si="14"/>
        <v>3</v>
      </c>
      <c r="J47" s="66">
        <f t="shared" si="3"/>
        <v>0.75</v>
      </c>
      <c r="K47" s="27">
        <v>780000</v>
      </c>
      <c r="L47" s="28">
        <v>0</v>
      </c>
      <c r="M47" s="28">
        <v>3120000</v>
      </c>
      <c r="N47" s="28">
        <v>11135619.684</v>
      </c>
      <c r="O47" s="28"/>
      <c r="P47" s="28">
        <v>11135619.684</v>
      </c>
      <c r="Q47" s="50">
        <f t="shared" si="9"/>
        <v>3120000</v>
      </c>
      <c r="R47" s="50">
        <f t="shared" si="10"/>
        <v>11135619.684</v>
      </c>
      <c r="S47" s="50">
        <f t="shared" si="11"/>
        <v>7127809.8420000002</v>
      </c>
      <c r="T47" s="50">
        <f t="shared" si="4"/>
        <v>7127809.8420000002</v>
      </c>
      <c r="U47" s="50">
        <f t="shared" si="15"/>
        <v>1781952.46</v>
      </c>
      <c r="V47" s="50">
        <f t="shared" si="16"/>
        <v>1781952.46</v>
      </c>
    </row>
    <row r="48" spans="2:22" ht="84">
      <c r="B48" s="13">
        <v>56</v>
      </c>
      <c r="C48" s="13" t="s">
        <v>117</v>
      </c>
      <c r="D48" s="13" t="s">
        <v>118</v>
      </c>
      <c r="E48" s="49" t="s">
        <v>123</v>
      </c>
      <c r="F48" s="11" t="s">
        <v>124</v>
      </c>
      <c r="G48" s="13">
        <v>2</v>
      </c>
      <c r="H48" s="13">
        <v>1</v>
      </c>
      <c r="I48" s="13">
        <f t="shared" si="14"/>
        <v>1</v>
      </c>
      <c r="J48" s="66">
        <f t="shared" si="3"/>
        <v>0.5</v>
      </c>
      <c r="K48" s="27">
        <v>4200000</v>
      </c>
      <c r="L48" s="28">
        <v>0</v>
      </c>
      <c r="M48" s="28">
        <v>8400000</v>
      </c>
      <c r="N48" s="28">
        <v>20240880</v>
      </c>
      <c r="O48" s="28"/>
      <c r="P48" s="28">
        <v>20240880</v>
      </c>
      <c r="Q48" s="50">
        <f t="shared" si="9"/>
        <v>8400000</v>
      </c>
      <c r="R48" s="50">
        <f t="shared" si="10"/>
        <v>20240880</v>
      </c>
      <c r="S48" s="50">
        <f t="shared" si="11"/>
        <v>14320440</v>
      </c>
      <c r="T48" s="50">
        <f t="shared" si="4"/>
        <v>14320440</v>
      </c>
      <c r="U48" s="50">
        <f t="shared" si="15"/>
        <v>7160220</v>
      </c>
      <c r="V48" s="50">
        <f t="shared" si="16"/>
        <v>7160220</v>
      </c>
    </row>
    <row r="49" spans="2:22" ht="107.25" customHeight="1">
      <c r="B49" s="11">
        <v>57</v>
      </c>
      <c r="C49" s="13" t="s">
        <v>117</v>
      </c>
      <c r="D49" s="13" t="s">
        <v>118</v>
      </c>
      <c r="E49" s="49" t="s">
        <v>125</v>
      </c>
      <c r="F49" s="11" t="s">
        <v>126</v>
      </c>
      <c r="G49" s="13">
        <v>360</v>
      </c>
      <c r="H49" s="13">
        <v>67</v>
      </c>
      <c r="I49" s="13">
        <f t="shared" si="14"/>
        <v>293</v>
      </c>
      <c r="J49" s="66">
        <f t="shared" si="3"/>
        <v>0.81388888888888888</v>
      </c>
      <c r="K49" s="27">
        <v>40912.799999999996</v>
      </c>
      <c r="L49" s="28">
        <v>0</v>
      </c>
      <c r="M49" s="28">
        <v>14728607.999999998</v>
      </c>
      <c r="N49" s="41">
        <v>20240880</v>
      </c>
      <c r="O49" s="28"/>
      <c r="P49" s="28">
        <v>20240880</v>
      </c>
      <c r="Q49" s="50">
        <f t="shared" si="9"/>
        <v>14728607.999999998</v>
      </c>
      <c r="R49" s="50">
        <f t="shared" si="10"/>
        <v>20240880</v>
      </c>
      <c r="S49" s="50">
        <f t="shared" si="11"/>
        <v>17484744</v>
      </c>
      <c r="T49" s="50">
        <f t="shared" si="4"/>
        <v>17484744</v>
      </c>
      <c r="U49" s="50">
        <f t="shared" si="15"/>
        <v>48568.73</v>
      </c>
      <c r="V49" s="50">
        <f t="shared" si="16"/>
        <v>3254104.91</v>
      </c>
    </row>
    <row r="50" spans="2:22" ht="36">
      <c r="B50" s="13">
        <v>58</v>
      </c>
      <c r="C50" s="13" t="s">
        <v>117</v>
      </c>
      <c r="D50" s="13" t="s">
        <v>118</v>
      </c>
      <c r="E50" s="49" t="s">
        <v>127</v>
      </c>
      <c r="F50" s="11" t="s">
        <v>128</v>
      </c>
      <c r="G50" s="13">
        <v>4</v>
      </c>
      <c r="H50" s="13">
        <v>1</v>
      </c>
      <c r="I50" s="13">
        <f t="shared" si="14"/>
        <v>3</v>
      </c>
      <c r="J50" s="66">
        <f t="shared" si="3"/>
        <v>0.75</v>
      </c>
      <c r="K50" s="27">
        <v>780000</v>
      </c>
      <c r="L50" s="28">
        <v>0</v>
      </c>
      <c r="M50" s="28">
        <v>3120000</v>
      </c>
      <c r="N50" s="28">
        <v>12365100</v>
      </c>
      <c r="O50" s="28"/>
      <c r="P50" s="28">
        <v>12365100</v>
      </c>
      <c r="Q50" s="50">
        <f t="shared" si="9"/>
        <v>3120000</v>
      </c>
      <c r="R50" s="50">
        <f t="shared" si="10"/>
        <v>12365100</v>
      </c>
      <c r="S50" s="50">
        <f t="shared" si="11"/>
        <v>7742550</v>
      </c>
      <c r="T50" s="50">
        <f t="shared" si="4"/>
        <v>7742550</v>
      </c>
      <c r="U50" s="50">
        <f t="shared" si="15"/>
        <v>1935637.5</v>
      </c>
      <c r="V50" s="50">
        <f t="shared" si="16"/>
        <v>1935637.5</v>
      </c>
    </row>
    <row r="51" spans="2:22" ht="24">
      <c r="B51" s="13">
        <v>59</v>
      </c>
      <c r="C51" s="13" t="s">
        <v>117</v>
      </c>
      <c r="D51" s="13" t="s">
        <v>118</v>
      </c>
      <c r="E51" s="49" t="s">
        <v>129</v>
      </c>
      <c r="F51" s="11" t="s">
        <v>128</v>
      </c>
      <c r="G51" s="13">
        <v>4</v>
      </c>
      <c r="H51" s="13">
        <v>1</v>
      </c>
      <c r="I51" s="13">
        <f t="shared" si="14"/>
        <v>3</v>
      </c>
      <c r="J51" s="66">
        <f t="shared" si="3"/>
        <v>0.75</v>
      </c>
      <c r="K51" s="27">
        <v>780000</v>
      </c>
      <c r="L51" s="28">
        <v>0</v>
      </c>
      <c r="M51" s="28">
        <v>3120000</v>
      </c>
      <c r="N51" s="28">
        <v>13335500</v>
      </c>
      <c r="O51" s="28"/>
      <c r="P51" s="28">
        <v>13335500</v>
      </c>
      <c r="Q51" s="50">
        <f t="shared" si="9"/>
        <v>3120000</v>
      </c>
      <c r="R51" s="50">
        <f t="shared" si="10"/>
        <v>13335500</v>
      </c>
      <c r="S51" s="50">
        <f t="shared" si="11"/>
        <v>8227750</v>
      </c>
      <c r="T51" s="50">
        <f t="shared" si="4"/>
        <v>8227750</v>
      </c>
      <c r="U51" s="50">
        <f t="shared" si="15"/>
        <v>2056937.5</v>
      </c>
      <c r="V51" s="50">
        <f t="shared" si="16"/>
        <v>2056937.5</v>
      </c>
    </row>
    <row r="52" spans="2:22" ht="24">
      <c r="B52" s="11">
        <v>60</v>
      </c>
      <c r="C52" s="13" t="s">
        <v>117</v>
      </c>
      <c r="D52" s="13" t="s">
        <v>118</v>
      </c>
      <c r="E52" s="49" t="s">
        <v>130</v>
      </c>
      <c r="F52" s="11" t="s">
        <v>128</v>
      </c>
      <c r="G52" s="13">
        <v>4</v>
      </c>
      <c r="H52" s="13">
        <v>1</v>
      </c>
      <c r="I52" s="13">
        <f t="shared" si="14"/>
        <v>3</v>
      </c>
      <c r="J52" s="66">
        <f t="shared" si="3"/>
        <v>0.75</v>
      </c>
      <c r="K52" s="27">
        <v>780000</v>
      </c>
      <c r="L52" s="28">
        <v>0</v>
      </c>
      <c r="M52" s="28">
        <v>3120000</v>
      </c>
      <c r="N52" s="28">
        <v>13335500</v>
      </c>
      <c r="O52" s="28"/>
      <c r="P52" s="28">
        <v>13335500</v>
      </c>
      <c r="Q52" s="50">
        <f t="shared" si="9"/>
        <v>3120000</v>
      </c>
      <c r="R52" s="50">
        <f t="shared" si="10"/>
        <v>13335500</v>
      </c>
      <c r="S52" s="50">
        <f t="shared" si="11"/>
        <v>8227750</v>
      </c>
      <c r="T52" s="50">
        <f t="shared" si="4"/>
        <v>8227750</v>
      </c>
      <c r="U52" s="50">
        <f t="shared" si="15"/>
        <v>2056937.5</v>
      </c>
      <c r="V52" s="50">
        <f t="shared" si="16"/>
        <v>2056937.5</v>
      </c>
    </row>
    <row r="53" spans="2:22" ht="24">
      <c r="B53" s="13">
        <v>61</v>
      </c>
      <c r="C53" s="13" t="s">
        <v>117</v>
      </c>
      <c r="D53" s="13" t="s">
        <v>118</v>
      </c>
      <c r="E53" s="49" t="s">
        <v>131</v>
      </c>
      <c r="F53" s="11" t="s">
        <v>128</v>
      </c>
      <c r="G53" s="13">
        <v>4</v>
      </c>
      <c r="H53" s="13">
        <v>1</v>
      </c>
      <c r="I53" s="13">
        <f t="shared" si="14"/>
        <v>3</v>
      </c>
      <c r="J53" s="66">
        <f t="shared" si="3"/>
        <v>0.75</v>
      </c>
      <c r="K53" s="27">
        <v>780000</v>
      </c>
      <c r="L53" s="28">
        <v>0</v>
      </c>
      <c r="M53" s="28">
        <v>3120000</v>
      </c>
      <c r="N53" s="28">
        <v>13335500</v>
      </c>
      <c r="O53" s="28"/>
      <c r="P53" s="28">
        <v>13335500</v>
      </c>
      <c r="Q53" s="50">
        <f t="shared" si="9"/>
        <v>3120000</v>
      </c>
      <c r="R53" s="50">
        <f t="shared" si="10"/>
        <v>13335500</v>
      </c>
      <c r="S53" s="50">
        <f t="shared" si="11"/>
        <v>8227750</v>
      </c>
      <c r="T53" s="50">
        <f t="shared" si="4"/>
        <v>8227750</v>
      </c>
      <c r="U53" s="50">
        <f t="shared" si="15"/>
        <v>2056937.5</v>
      </c>
      <c r="V53" s="50">
        <f t="shared" si="16"/>
        <v>2056937.5</v>
      </c>
    </row>
    <row r="54" spans="2:22" ht="24">
      <c r="B54" s="13">
        <v>62</v>
      </c>
      <c r="C54" s="13" t="s">
        <v>117</v>
      </c>
      <c r="D54" s="13" t="s">
        <v>118</v>
      </c>
      <c r="E54" s="49" t="s">
        <v>132</v>
      </c>
      <c r="F54" s="11" t="s">
        <v>128</v>
      </c>
      <c r="G54" s="13">
        <v>4</v>
      </c>
      <c r="H54" s="13">
        <v>1</v>
      </c>
      <c r="I54" s="13">
        <f t="shared" si="14"/>
        <v>3</v>
      </c>
      <c r="J54" s="66">
        <f t="shared" si="3"/>
        <v>0.75</v>
      </c>
      <c r="K54" s="27">
        <v>780000</v>
      </c>
      <c r="L54" s="28">
        <v>0</v>
      </c>
      <c r="M54" s="28">
        <v>3120000</v>
      </c>
      <c r="N54" s="28">
        <v>13335500</v>
      </c>
      <c r="O54" s="28"/>
      <c r="P54" s="28">
        <v>13335500</v>
      </c>
      <c r="Q54" s="50">
        <f t="shared" si="9"/>
        <v>3120000</v>
      </c>
      <c r="R54" s="50">
        <f t="shared" si="10"/>
        <v>13335500</v>
      </c>
      <c r="S54" s="50">
        <f t="shared" si="11"/>
        <v>8227750</v>
      </c>
      <c r="T54" s="50">
        <f t="shared" si="4"/>
        <v>8227750</v>
      </c>
      <c r="U54" s="50">
        <f t="shared" si="15"/>
        <v>2056937.5</v>
      </c>
      <c r="V54" s="50">
        <f t="shared" si="16"/>
        <v>2056937.5</v>
      </c>
    </row>
    <row r="55" spans="2:22" ht="24">
      <c r="B55" s="11">
        <v>63</v>
      </c>
      <c r="C55" s="13" t="s">
        <v>117</v>
      </c>
      <c r="D55" s="13" t="s">
        <v>118</v>
      </c>
      <c r="E55" s="49" t="s">
        <v>133</v>
      </c>
      <c r="F55" s="11" t="s">
        <v>128</v>
      </c>
      <c r="G55" s="13">
        <v>4</v>
      </c>
      <c r="H55" s="13">
        <v>1</v>
      </c>
      <c r="I55" s="13">
        <f t="shared" si="14"/>
        <v>3</v>
      </c>
      <c r="J55" s="66">
        <f t="shared" si="3"/>
        <v>0.75</v>
      </c>
      <c r="K55" s="27">
        <v>900000</v>
      </c>
      <c r="L55" s="28">
        <v>0</v>
      </c>
      <c r="M55" s="28">
        <v>3600000</v>
      </c>
      <c r="N55" s="28">
        <v>12365100</v>
      </c>
      <c r="O55" s="28"/>
      <c r="P55" s="28">
        <v>12365100</v>
      </c>
      <c r="Q55" s="50">
        <f t="shared" si="9"/>
        <v>3600000</v>
      </c>
      <c r="R55" s="50">
        <f t="shared" si="10"/>
        <v>12365100</v>
      </c>
      <c r="S55" s="50">
        <f t="shared" si="11"/>
        <v>7982550</v>
      </c>
      <c r="T55" s="50">
        <f t="shared" si="4"/>
        <v>7982550</v>
      </c>
      <c r="U55" s="50">
        <f t="shared" si="15"/>
        <v>1995637.5</v>
      </c>
      <c r="V55" s="50">
        <f t="shared" si="16"/>
        <v>1995637.5</v>
      </c>
    </row>
    <row r="56" spans="2:22" ht="24">
      <c r="B56" s="13">
        <v>64</v>
      </c>
      <c r="C56" s="13" t="s">
        <v>13</v>
      </c>
      <c r="D56" s="13" t="s">
        <v>118</v>
      </c>
      <c r="E56" s="49" t="s">
        <v>134</v>
      </c>
      <c r="F56" s="13" t="s">
        <v>135</v>
      </c>
      <c r="G56" s="13">
        <v>244</v>
      </c>
      <c r="H56" s="13">
        <v>60</v>
      </c>
      <c r="I56" s="13">
        <f t="shared" si="14"/>
        <v>184</v>
      </c>
      <c r="J56" s="66">
        <f t="shared" si="3"/>
        <v>0.75409836065573765</v>
      </c>
      <c r="K56" s="38">
        <v>900000</v>
      </c>
      <c r="L56" s="28">
        <v>0</v>
      </c>
      <c r="M56" s="35">
        <v>54900000</v>
      </c>
      <c r="N56" s="28">
        <v>1392600</v>
      </c>
      <c r="O56" s="35"/>
      <c r="P56" s="35">
        <v>1392600</v>
      </c>
      <c r="Q56" s="50">
        <f t="shared" si="9"/>
        <v>1392600</v>
      </c>
      <c r="R56" s="50">
        <f t="shared" si="10"/>
        <v>54900000</v>
      </c>
      <c r="S56" s="50">
        <f t="shared" si="11"/>
        <v>28146300</v>
      </c>
      <c r="T56" s="50">
        <f t="shared" si="4"/>
        <v>28146300</v>
      </c>
      <c r="U56" s="41">
        <f>+ROUND(T56/G56,2)</f>
        <v>115353.69</v>
      </c>
      <c r="V56" s="41">
        <f t="shared" si="16"/>
        <v>6921221.4000000004</v>
      </c>
    </row>
    <row r="57" spans="2:22" ht="24">
      <c r="B57" s="13">
        <v>65</v>
      </c>
      <c r="C57" s="13" t="s">
        <v>117</v>
      </c>
      <c r="D57" s="13" t="s">
        <v>118</v>
      </c>
      <c r="E57" s="49" t="s">
        <v>136</v>
      </c>
      <c r="F57" s="13" t="s">
        <v>137</v>
      </c>
      <c r="G57" s="13">
        <v>8</v>
      </c>
      <c r="H57" s="13">
        <v>2</v>
      </c>
      <c r="I57" s="13">
        <f t="shared" si="14"/>
        <v>6</v>
      </c>
      <c r="J57" s="66">
        <f t="shared" si="3"/>
        <v>0.75</v>
      </c>
      <c r="K57" s="27">
        <v>3000000</v>
      </c>
      <c r="L57" s="28">
        <v>0</v>
      </c>
      <c r="M57" s="28">
        <v>24000000</v>
      </c>
      <c r="N57" s="28">
        <v>9717551.9000000004</v>
      </c>
      <c r="O57" s="28"/>
      <c r="P57" s="28">
        <v>9717551.9000000004</v>
      </c>
      <c r="Q57" s="50">
        <f t="shared" ref="Q57:Q88" si="17">MIN(M57,P57)</f>
        <v>9717551.9000000004</v>
      </c>
      <c r="R57" s="50">
        <f t="shared" ref="R57:R88" si="18">MAX(M57,P57)</f>
        <v>24000000</v>
      </c>
      <c r="S57" s="50">
        <f t="shared" ref="S57:S88" si="19">AVERAGE(M57,P57)</f>
        <v>16858775.949999999</v>
      </c>
      <c r="T57" s="50">
        <f t="shared" si="4"/>
        <v>16858775.949999999</v>
      </c>
      <c r="U57" s="50">
        <f t="shared" ref="U57:U70" si="20">ROUND(T57/G57,2)</f>
        <v>2107346.9900000002</v>
      </c>
      <c r="V57" s="50">
        <f t="shared" si="16"/>
        <v>4214693.9800000004</v>
      </c>
    </row>
    <row r="58" spans="2:22" ht="60">
      <c r="B58" s="13">
        <v>67</v>
      </c>
      <c r="C58" s="13" t="s">
        <v>117</v>
      </c>
      <c r="D58" s="13" t="s">
        <v>118</v>
      </c>
      <c r="E58" s="49" t="s">
        <v>138</v>
      </c>
      <c r="F58" s="13" t="s">
        <v>137</v>
      </c>
      <c r="G58" s="13">
        <v>8</v>
      </c>
      <c r="H58" s="13">
        <v>2</v>
      </c>
      <c r="I58" s="13">
        <f t="shared" si="14"/>
        <v>6</v>
      </c>
      <c r="J58" s="66">
        <f t="shared" ref="J58:J100" si="21">+I58/G58</f>
        <v>0.75</v>
      </c>
      <c r="K58" s="38">
        <v>3000000</v>
      </c>
      <c r="L58" s="28">
        <v>0</v>
      </c>
      <c r="M58" s="28">
        <v>24000000</v>
      </c>
      <c r="N58" s="28">
        <v>29651054</v>
      </c>
      <c r="O58" s="28"/>
      <c r="P58" s="28">
        <v>29651054</v>
      </c>
      <c r="Q58" s="50">
        <f t="shared" si="17"/>
        <v>24000000</v>
      </c>
      <c r="R58" s="50">
        <f t="shared" si="18"/>
        <v>29651054</v>
      </c>
      <c r="S58" s="50">
        <f t="shared" si="19"/>
        <v>26825527</v>
      </c>
      <c r="T58" s="50">
        <f t="shared" ref="T58:T100" si="22">+S58</f>
        <v>26825527</v>
      </c>
      <c r="U58" s="50">
        <f t="shared" si="20"/>
        <v>3353190.88</v>
      </c>
      <c r="V58" s="50">
        <f t="shared" si="16"/>
        <v>6706381.7599999998</v>
      </c>
    </row>
    <row r="59" spans="2:22" ht="24">
      <c r="B59" s="13">
        <v>68</v>
      </c>
      <c r="C59" s="13" t="s">
        <v>117</v>
      </c>
      <c r="D59" s="13" t="s">
        <v>118</v>
      </c>
      <c r="E59" s="49" t="s">
        <v>139</v>
      </c>
      <c r="F59" s="13" t="s">
        <v>140</v>
      </c>
      <c r="G59" s="13">
        <v>1</v>
      </c>
      <c r="H59" s="13">
        <v>1</v>
      </c>
      <c r="I59" s="13">
        <f t="shared" si="14"/>
        <v>0</v>
      </c>
      <c r="J59" s="66">
        <f t="shared" si="21"/>
        <v>0</v>
      </c>
      <c r="K59" s="27">
        <v>780000</v>
      </c>
      <c r="L59" s="28">
        <v>0</v>
      </c>
      <c r="M59" s="28">
        <v>780000</v>
      </c>
      <c r="N59" s="28">
        <v>35188800</v>
      </c>
      <c r="O59" s="28"/>
      <c r="P59" s="28">
        <v>35188800</v>
      </c>
      <c r="Q59" s="50">
        <f t="shared" si="17"/>
        <v>780000</v>
      </c>
      <c r="R59" s="50">
        <f t="shared" si="18"/>
        <v>35188800</v>
      </c>
      <c r="S59" s="50">
        <f t="shared" si="19"/>
        <v>17984400</v>
      </c>
      <c r="T59" s="50">
        <f t="shared" si="22"/>
        <v>17984400</v>
      </c>
      <c r="U59" s="50">
        <f t="shared" si="20"/>
        <v>17984400</v>
      </c>
      <c r="V59" s="50">
        <f t="shared" si="16"/>
        <v>17984400</v>
      </c>
    </row>
    <row r="60" spans="2:22" ht="24">
      <c r="B60" s="11">
        <v>69</v>
      </c>
      <c r="C60" s="13" t="s">
        <v>117</v>
      </c>
      <c r="D60" s="13" t="s">
        <v>118</v>
      </c>
      <c r="E60" s="49" t="s">
        <v>141</v>
      </c>
      <c r="F60" s="13" t="s">
        <v>140</v>
      </c>
      <c r="G60" s="13">
        <v>1</v>
      </c>
      <c r="H60" s="13">
        <v>1</v>
      </c>
      <c r="I60" s="13">
        <f t="shared" si="14"/>
        <v>0</v>
      </c>
      <c r="J60" s="66">
        <f t="shared" si="21"/>
        <v>0</v>
      </c>
      <c r="K60" s="27">
        <v>900000</v>
      </c>
      <c r="L60" s="28">
        <v>0</v>
      </c>
      <c r="M60" s="28">
        <v>900000</v>
      </c>
      <c r="N60" s="28">
        <v>30651054</v>
      </c>
      <c r="O60" s="28"/>
      <c r="P60" s="28">
        <v>30651054</v>
      </c>
      <c r="Q60" s="50">
        <f t="shared" si="17"/>
        <v>900000</v>
      </c>
      <c r="R60" s="50">
        <f t="shared" si="18"/>
        <v>30651054</v>
      </c>
      <c r="S60" s="50">
        <f t="shared" si="19"/>
        <v>15775527</v>
      </c>
      <c r="T60" s="50">
        <f t="shared" si="22"/>
        <v>15775527</v>
      </c>
      <c r="U60" s="50">
        <f t="shared" si="20"/>
        <v>15775527</v>
      </c>
      <c r="V60" s="50">
        <f t="shared" si="16"/>
        <v>15775527</v>
      </c>
    </row>
    <row r="61" spans="2:22" ht="24" customHeight="1">
      <c r="B61" s="13">
        <v>70</v>
      </c>
      <c r="C61" s="13" t="s">
        <v>117</v>
      </c>
      <c r="D61" s="13" t="s">
        <v>118</v>
      </c>
      <c r="E61" s="49" t="s">
        <v>142</v>
      </c>
      <c r="F61" s="11" t="s">
        <v>126</v>
      </c>
      <c r="G61" s="13">
        <v>360</v>
      </c>
      <c r="H61" s="13">
        <v>67</v>
      </c>
      <c r="I61" s="13">
        <f t="shared" si="14"/>
        <v>293</v>
      </c>
      <c r="J61" s="66">
        <f t="shared" si="21"/>
        <v>0.81388888888888888</v>
      </c>
      <c r="K61" s="27">
        <v>84000</v>
      </c>
      <c r="L61" s="28">
        <v>0</v>
      </c>
      <c r="M61" s="28">
        <v>30240000</v>
      </c>
      <c r="N61" s="28">
        <v>30726000</v>
      </c>
      <c r="O61" s="28"/>
      <c r="P61" s="28">
        <v>30726000</v>
      </c>
      <c r="Q61" s="50">
        <f t="shared" si="17"/>
        <v>30240000</v>
      </c>
      <c r="R61" s="50">
        <f t="shared" si="18"/>
        <v>30726000</v>
      </c>
      <c r="S61" s="50">
        <f t="shared" si="19"/>
        <v>30483000</v>
      </c>
      <c r="T61" s="50">
        <f t="shared" si="22"/>
        <v>30483000</v>
      </c>
      <c r="U61" s="50">
        <f t="shared" si="20"/>
        <v>84675</v>
      </c>
      <c r="V61" s="50">
        <f t="shared" si="16"/>
        <v>5673225</v>
      </c>
    </row>
    <row r="62" spans="2:22" ht="24">
      <c r="B62" s="13">
        <v>71</v>
      </c>
      <c r="C62" s="13" t="s">
        <v>117</v>
      </c>
      <c r="D62" s="13" t="s">
        <v>118</v>
      </c>
      <c r="E62" s="49" t="s">
        <v>143</v>
      </c>
      <c r="F62" s="11" t="s">
        <v>144</v>
      </c>
      <c r="G62" s="13">
        <v>30</v>
      </c>
      <c r="H62" s="13">
        <v>5</v>
      </c>
      <c r="I62" s="13">
        <f t="shared" si="14"/>
        <v>25</v>
      </c>
      <c r="J62" s="66">
        <f t="shared" si="21"/>
        <v>0.83333333333333337</v>
      </c>
      <c r="K62" s="38">
        <v>780000</v>
      </c>
      <c r="L62" s="28">
        <v>0</v>
      </c>
      <c r="M62" s="35">
        <v>780000</v>
      </c>
      <c r="N62" s="41">
        <v>9177500</v>
      </c>
      <c r="O62" s="35"/>
      <c r="P62" s="35">
        <v>9177500</v>
      </c>
      <c r="Q62" s="50">
        <f t="shared" si="17"/>
        <v>780000</v>
      </c>
      <c r="R62" s="50">
        <f t="shared" si="18"/>
        <v>9177500</v>
      </c>
      <c r="S62" s="50">
        <f t="shared" si="19"/>
        <v>4978750</v>
      </c>
      <c r="T62" s="50">
        <f t="shared" si="22"/>
        <v>4978750</v>
      </c>
      <c r="U62" s="50">
        <f t="shared" si="20"/>
        <v>165958.32999999999</v>
      </c>
      <c r="V62" s="50">
        <f t="shared" si="16"/>
        <v>829791.64999999991</v>
      </c>
    </row>
    <row r="63" spans="2:22" ht="120">
      <c r="B63" s="11">
        <v>72</v>
      </c>
      <c r="C63" s="13" t="s">
        <v>117</v>
      </c>
      <c r="D63" s="13" t="s">
        <v>118</v>
      </c>
      <c r="E63" s="49" t="s">
        <v>145</v>
      </c>
      <c r="F63" s="11" t="s">
        <v>144</v>
      </c>
      <c r="G63" s="13">
        <v>30</v>
      </c>
      <c r="H63" s="13">
        <v>5</v>
      </c>
      <c r="I63" s="13">
        <f t="shared" si="14"/>
        <v>25</v>
      </c>
      <c r="J63" s="66">
        <f t="shared" si="21"/>
        <v>0.83333333333333337</v>
      </c>
      <c r="K63" s="38">
        <v>60000</v>
      </c>
      <c r="L63" s="28">
        <v>0</v>
      </c>
      <c r="M63" s="35">
        <v>1800000</v>
      </c>
      <c r="N63" s="41">
        <v>4177500</v>
      </c>
      <c r="O63" s="35"/>
      <c r="P63" s="35">
        <v>4177500</v>
      </c>
      <c r="Q63" s="50">
        <f t="shared" si="17"/>
        <v>1800000</v>
      </c>
      <c r="R63" s="50">
        <f t="shared" si="18"/>
        <v>4177500</v>
      </c>
      <c r="S63" s="50">
        <f t="shared" si="19"/>
        <v>2988750</v>
      </c>
      <c r="T63" s="50">
        <f t="shared" si="22"/>
        <v>2988750</v>
      </c>
      <c r="U63" s="50">
        <f t="shared" si="20"/>
        <v>99625</v>
      </c>
      <c r="V63" s="50">
        <f t="shared" si="16"/>
        <v>498125</v>
      </c>
    </row>
    <row r="64" spans="2:22" ht="36">
      <c r="B64" s="13">
        <v>73</v>
      </c>
      <c r="C64" s="13" t="s">
        <v>117</v>
      </c>
      <c r="D64" s="13" t="s">
        <v>118</v>
      </c>
      <c r="E64" s="49" t="s">
        <v>146</v>
      </c>
      <c r="F64" s="11" t="s">
        <v>128</v>
      </c>
      <c r="G64" s="13">
        <v>4</v>
      </c>
      <c r="H64" s="13">
        <v>2</v>
      </c>
      <c r="I64" s="13">
        <f t="shared" si="14"/>
        <v>2</v>
      </c>
      <c r="J64" s="66">
        <f t="shared" si="21"/>
        <v>0.5</v>
      </c>
      <c r="K64" s="34">
        <v>1800000</v>
      </c>
      <c r="L64" s="28">
        <v>0</v>
      </c>
      <c r="M64" s="33">
        <v>7200000</v>
      </c>
      <c r="N64" s="41">
        <v>696300</v>
      </c>
      <c r="O64" s="33"/>
      <c r="P64" s="33">
        <v>696300</v>
      </c>
      <c r="Q64" s="50">
        <f t="shared" si="17"/>
        <v>696300</v>
      </c>
      <c r="R64" s="50">
        <f t="shared" si="18"/>
        <v>7200000</v>
      </c>
      <c r="S64" s="50">
        <f t="shared" si="19"/>
        <v>3948150</v>
      </c>
      <c r="T64" s="50">
        <f t="shared" si="22"/>
        <v>3948150</v>
      </c>
      <c r="U64" s="50">
        <f t="shared" si="20"/>
        <v>987037.5</v>
      </c>
      <c r="V64" s="50">
        <f t="shared" si="16"/>
        <v>1974075</v>
      </c>
    </row>
    <row r="65" spans="2:22" ht="24">
      <c r="B65" s="13">
        <v>74</v>
      </c>
      <c r="C65" s="13" t="s">
        <v>117</v>
      </c>
      <c r="D65" s="13" t="s">
        <v>118</v>
      </c>
      <c r="E65" s="49" t="s">
        <v>147</v>
      </c>
      <c r="F65" s="11" t="s">
        <v>128</v>
      </c>
      <c r="G65" s="13">
        <v>4</v>
      </c>
      <c r="H65" s="13">
        <v>1</v>
      </c>
      <c r="I65" s="13">
        <f t="shared" si="14"/>
        <v>3</v>
      </c>
      <c r="J65" s="66">
        <f t="shared" si="21"/>
        <v>0.75</v>
      </c>
      <c r="K65" s="27">
        <v>780000</v>
      </c>
      <c r="L65" s="28">
        <v>0</v>
      </c>
      <c r="M65" s="28">
        <v>3120000</v>
      </c>
      <c r="N65" s="41">
        <v>12365100</v>
      </c>
      <c r="O65" s="28"/>
      <c r="P65" s="28">
        <v>12365100</v>
      </c>
      <c r="Q65" s="50">
        <f t="shared" si="17"/>
        <v>3120000</v>
      </c>
      <c r="R65" s="50">
        <f t="shared" si="18"/>
        <v>12365100</v>
      </c>
      <c r="S65" s="50">
        <f t="shared" si="19"/>
        <v>7742550</v>
      </c>
      <c r="T65" s="50">
        <f t="shared" si="22"/>
        <v>7742550</v>
      </c>
      <c r="U65" s="50">
        <f t="shared" si="20"/>
        <v>1935637.5</v>
      </c>
      <c r="V65" s="50">
        <f t="shared" si="16"/>
        <v>1935637.5</v>
      </c>
    </row>
    <row r="66" spans="2:22" ht="24">
      <c r="B66" s="11">
        <v>75</v>
      </c>
      <c r="C66" s="13" t="s">
        <v>117</v>
      </c>
      <c r="D66" s="13" t="s">
        <v>118</v>
      </c>
      <c r="E66" s="49" t="s">
        <v>148</v>
      </c>
      <c r="F66" s="11" t="s">
        <v>128</v>
      </c>
      <c r="G66" s="13">
        <v>4</v>
      </c>
      <c r="H66" s="13">
        <v>1</v>
      </c>
      <c r="I66" s="13">
        <f t="shared" si="14"/>
        <v>3</v>
      </c>
      <c r="J66" s="66">
        <f t="shared" si="21"/>
        <v>0.75</v>
      </c>
      <c r="K66" s="27">
        <v>780000</v>
      </c>
      <c r="L66" s="28">
        <v>0</v>
      </c>
      <c r="M66" s="28">
        <v>3120000</v>
      </c>
      <c r="N66" s="41">
        <v>9825527</v>
      </c>
      <c r="O66" s="28"/>
      <c r="P66" s="28">
        <v>9825527</v>
      </c>
      <c r="Q66" s="50">
        <f t="shared" si="17"/>
        <v>3120000</v>
      </c>
      <c r="R66" s="50">
        <f t="shared" si="18"/>
        <v>9825527</v>
      </c>
      <c r="S66" s="50">
        <f t="shared" si="19"/>
        <v>6472763.5</v>
      </c>
      <c r="T66" s="50">
        <f t="shared" si="22"/>
        <v>6472763.5</v>
      </c>
      <c r="U66" s="50">
        <f t="shared" si="20"/>
        <v>1618190.88</v>
      </c>
      <c r="V66" s="50">
        <f t="shared" si="16"/>
        <v>1618190.88</v>
      </c>
    </row>
    <row r="67" spans="2:22" ht="24">
      <c r="B67" s="13">
        <v>76</v>
      </c>
      <c r="C67" s="13" t="s">
        <v>117</v>
      </c>
      <c r="D67" s="13" t="s">
        <v>118</v>
      </c>
      <c r="E67" s="49" t="s">
        <v>149</v>
      </c>
      <c r="F67" s="11" t="s">
        <v>150</v>
      </c>
      <c r="G67" s="13">
        <v>4</v>
      </c>
      <c r="H67" s="13">
        <v>1</v>
      </c>
      <c r="I67" s="13">
        <f t="shared" si="14"/>
        <v>3</v>
      </c>
      <c r="J67" s="66">
        <f t="shared" si="21"/>
        <v>0.75</v>
      </c>
      <c r="K67" s="38">
        <v>4200000</v>
      </c>
      <c r="L67" s="28">
        <v>0</v>
      </c>
      <c r="M67" s="35">
        <v>16800000</v>
      </c>
      <c r="N67" s="41">
        <v>284784</v>
      </c>
      <c r="O67" s="35"/>
      <c r="P67" s="35">
        <v>284784</v>
      </c>
      <c r="Q67" s="50">
        <f t="shared" si="17"/>
        <v>284784</v>
      </c>
      <c r="R67" s="50">
        <f t="shared" si="18"/>
        <v>16800000</v>
      </c>
      <c r="S67" s="50">
        <f t="shared" si="19"/>
        <v>8542392</v>
      </c>
      <c r="T67" s="50">
        <f t="shared" si="22"/>
        <v>8542392</v>
      </c>
      <c r="U67" s="50">
        <f t="shared" si="20"/>
        <v>2135598</v>
      </c>
      <c r="V67" s="50">
        <f t="shared" si="16"/>
        <v>2135598</v>
      </c>
    </row>
    <row r="68" spans="2:22" ht="48">
      <c r="B68" s="13">
        <v>77</v>
      </c>
      <c r="C68" s="13" t="s">
        <v>117</v>
      </c>
      <c r="D68" s="13" t="s">
        <v>118</v>
      </c>
      <c r="E68" s="49" t="s">
        <v>151</v>
      </c>
      <c r="F68" s="11" t="s">
        <v>128</v>
      </c>
      <c r="G68" s="13">
        <v>4</v>
      </c>
      <c r="H68" s="13">
        <v>1</v>
      </c>
      <c r="I68" s="13">
        <f t="shared" si="14"/>
        <v>3</v>
      </c>
      <c r="J68" s="66">
        <f t="shared" si="21"/>
        <v>0.75</v>
      </c>
      <c r="K68" s="27">
        <v>780000</v>
      </c>
      <c r="L68" s="28">
        <v>0</v>
      </c>
      <c r="M68" s="28">
        <v>3120000</v>
      </c>
      <c r="N68" s="41">
        <v>29651054</v>
      </c>
      <c r="O68" s="28"/>
      <c r="P68" s="28">
        <v>29651054</v>
      </c>
      <c r="Q68" s="50">
        <f t="shared" si="17"/>
        <v>3120000</v>
      </c>
      <c r="R68" s="50">
        <f t="shared" si="18"/>
        <v>29651054</v>
      </c>
      <c r="S68" s="50">
        <f t="shared" si="19"/>
        <v>16385527</v>
      </c>
      <c r="T68" s="50">
        <f t="shared" si="22"/>
        <v>16385527</v>
      </c>
      <c r="U68" s="50">
        <f t="shared" si="20"/>
        <v>4096381.75</v>
      </c>
      <c r="V68" s="50">
        <f t="shared" si="16"/>
        <v>4096381.75</v>
      </c>
    </row>
    <row r="69" spans="2:22" ht="36">
      <c r="B69" s="11">
        <v>78</v>
      </c>
      <c r="C69" s="13" t="s">
        <v>117</v>
      </c>
      <c r="D69" s="13" t="s">
        <v>118</v>
      </c>
      <c r="E69" s="49" t="s">
        <v>152</v>
      </c>
      <c r="F69" s="11" t="s">
        <v>128</v>
      </c>
      <c r="G69" s="13">
        <v>4</v>
      </c>
      <c r="H69" s="13">
        <v>1</v>
      </c>
      <c r="I69" s="13">
        <f t="shared" si="14"/>
        <v>3</v>
      </c>
      <c r="J69" s="66">
        <f t="shared" si="21"/>
        <v>0.75</v>
      </c>
      <c r="K69" s="38">
        <v>900000</v>
      </c>
      <c r="L69" s="28">
        <v>0</v>
      </c>
      <c r="M69" s="35">
        <v>3600000</v>
      </c>
      <c r="N69" s="35">
        <v>25964146</v>
      </c>
      <c r="O69" s="35"/>
      <c r="P69" s="35">
        <v>25964146</v>
      </c>
      <c r="Q69" s="50">
        <f t="shared" si="17"/>
        <v>3600000</v>
      </c>
      <c r="R69" s="50">
        <f t="shared" si="18"/>
        <v>25964146</v>
      </c>
      <c r="S69" s="50">
        <f t="shared" si="19"/>
        <v>14782073</v>
      </c>
      <c r="T69" s="50">
        <f t="shared" si="22"/>
        <v>14782073</v>
      </c>
      <c r="U69" s="50">
        <f t="shared" si="20"/>
        <v>3695518.25</v>
      </c>
      <c r="V69" s="50">
        <f t="shared" si="16"/>
        <v>3695518.25</v>
      </c>
    </row>
    <row r="70" spans="2:22" ht="24">
      <c r="B70" s="13">
        <v>79</v>
      </c>
      <c r="C70" s="13" t="s">
        <v>20</v>
      </c>
      <c r="D70" s="13" t="s">
        <v>118</v>
      </c>
      <c r="E70" s="49" t="s">
        <v>153</v>
      </c>
      <c r="F70" s="11" t="s">
        <v>154</v>
      </c>
      <c r="G70" s="13">
        <v>1</v>
      </c>
      <c r="H70" s="13">
        <v>1</v>
      </c>
      <c r="I70" s="13">
        <f t="shared" si="14"/>
        <v>0</v>
      </c>
      <c r="J70" s="66">
        <f t="shared" si="21"/>
        <v>0</v>
      </c>
      <c r="K70" s="27">
        <v>8705400</v>
      </c>
      <c r="L70" s="35">
        <f>+K70*19%</f>
        <v>1654026</v>
      </c>
      <c r="M70" s="28">
        <f>+K70+L70</f>
        <v>10359426</v>
      </c>
      <c r="N70" s="35">
        <v>94493.277310924372</v>
      </c>
      <c r="O70" s="35">
        <f>+N70*19%</f>
        <v>17953.722689075632</v>
      </c>
      <c r="P70" s="28">
        <v>11244700</v>
      </c>
      <c r="Q70" s="50">
        <f t="shared" si="17"/>
        <v>10359426</v>
      </c>
      <c r="R70" s="50">
        <f t="shared" si="18"/>
        <v>11244700</v>
      </c>
      <c r="S70" s="50">
        <f t="shared" si="19"/>
        <v>10802063</v>
      </c>
      <c r="T70" s="50">
        <f t="shared" si="22"/>
        <v>10802063</v>
      </c>
      <c r="U70" s="50">
        <f t="shared" si="20"/>
        <v>10802063</v>
      </c>
      <c r="V70" s="50">
        <f t="shared" si="16"/>
        <v>10802063</v>
      </c>
    </row>
    <row r="71" spans="2:22" ht="36">
      <c r="B71" s="13">
        <v>80</v>
      </c>
      <c r="C71" s="13" t="s">
        <v>20</v>
      </c>
      <c r="D71" s="13" t="s">
        <v>118</v>
      </c>
      <c r="E71" s="49" t="s">
        <v>155</v>
      </c>
      <c r="F71" s="13" t="s">
        <v>156</v>
      </c>
      <c r="G71" s="13">
        <v>1000</v>
      </c>
      <c r="H71" s="13">
        <v>1000</v>
      </c>
      <c r="I71" s="13">
        <f t="shared" si="14"/>
        <v>0</v>
      </c>
      <c r="J71" s="66">
        <f t="shared" si="21"/>
        <v>0</v>
      </c>
      <c r="K71" s="27">
        <v>36000000</v>
      </c>
      <c r="L71" s="24">
        <v>0</v>
      </c>
      <c r="M71" s="28">
        <f>+K71</f>
        <v>36000000</v>
      </c>
      <c r="N71" s="53">
        <v>37696464</v>
      </c>
      <c r="O71" s="54"/>
      <c r="P71" s="53">
        <v>37696464</v>
      </c>
      <c r="Q71" s="50">
        <f t="shared" si="17"/>
        <v>36000000</v>
      </c>
      <c r="R71" s="50">
        <f t="shared" si="18"/>
        <v>37696464</v>
      </c>
      <c r="S71" s="50">
        <f t="shared" si="19"/>
        <v>36848232</v>
      </c>
      <c r="T71" s="50">
        <f>+Q71</f>
        <v>36000000</v>
      </c>
      <c r="U71" s="50">
        <f>+T71</f>
        <v>36000000</v>
      </c>
      <c r="V71" s="50">
        <f>+U71</f>
        <v>36000000</v>
      </c>
    </row>
    <row r="72" spans="2:22" ht="24">
      <c r="B72" s="11">
        <v>81</v>
      </c>
      <c r="C72" s="13" t="s">
        <v>13</v>
      </c>
      <c r="D72" s="13" t="s">
        <v>118</v>
      </c>
      <c r="E72" s="49" t="s">
        <v>157</v>
      </c>
      <c r="F72" s="11" t="s">
        <v>128</v>
      </c>
      <c r="G72" s="22">
        <v>4</v>
      </c>
      <c r="H72" s="22">
        <v>3</v>
      </c>
      <c r="I72" s="13">
        <f t="shared" si="14"/>
        <v>1</v>
      </c>
      <c r="J72" s="66">
        <f t="shared" si="21"/>
        <v>0.25</v>
      </c>
      <c r="K72" s="38">
        <v>14863500</v>
      </c>
      <c r="L72" s="35">
        <v>0</v>
      </c>
      <c r="M72" s="35">
        <f>+K72</f>
        <v>14863500</v>
      </c>
      <c r="N72" s="35">
        <v>32017210.084033616</v>
      </c>
      <c r="O72" s="53"/>
      <c r="P72" s="35">
        <f>+N72+O72</f>
        <v>32017210.084033616</v>
      </c>
      <c r="Q72" s="50">
        <f t="shared" si="17"/>
        <v>14863500</v>
      </c>
      <c r="R72" s="50">
        <f t="shared" si="18"/>
        <v>32017210.084033616</v>
      </c>
      <c r="S72" s="50">
        <f t="shared" si="19"/>
        <v>23440355.042016808</v>
      </c>
      <c r="T72" s="62">
        <f t="shared" si="22"/>
        <v>23440355.042016808</v>
      </c>
      <c r="U72" s="9">
        <f>+ROUND(T72/G72,2)</f>
        <v>5860088.7599999998</v>
      </c>
      <c r="V72" s="9">
        <f>+U72*H72</f>
        <v>17580266.280000001</v>
      </c>
    </row>
    <row r="73" spans="2:22" ht="24" customHeight="1">
      <c r="B73" s="13">
        <v>82</v>
      </c>
      <c r="C73" s="13" t="s">
        <v>20</v>
      </c>
      <c r="D73" s="13" t="s">
        <v>118</v>
      </c>
      <c r="E73" s="49" t="s">
        <v>158</v>
      </c>
      <c r="F73" s="11" t="s">
        <v>159</v>
      </c>
      <c r="G73" s="13">
        <v>2</v>
      </c>
      <c r="H73" s="13">
        <v>2</v>
      </c>
      <c r="I73" s="13">
        <f t="shared" si="14"/>
        <v>0</v>
      </c>
      <c r="J73" s="66">
        <f t="shared" si="21"/>
        <v>0</v>
      </c>
      <c r="K73" s="27">
        <v>802200</v>
      </c>
      <c r="L73" s="35">
        <f>+K73*19%</f>
        <v>152418</v>
      </c>
      <c r="M73" s="28">
        <f>+K73+L73</f>
        <v>954618</v>
      </c>
      <c r="N73" s="35">
        <v>88444</v>
      </c>
      <c r="O73" s="35">
        <f>+N73*19%</f>
        <v>16804.36</v>
      </c>
      <c r="P73" s="35">
        <v>6314901.5999999996</v>
      </c>
      <c r="Q73" s="50">
        <f t="shared" si="17"/>
        <v>954618</v>
      </c>
      <c r="R73" s="50">
        <f t="shared" si="18"/>
        <v>6314901.5999999996</v>
      </c>
      <c r="S73" s="50">
        <f t="shared" si="19"/>
        <v>3634759.8</v>
      </c>
      <c r="T73" s="50">
        <f t="shared" si="22"/>
        <v>3634759.8</v>
      </c>
      <c r="U73" s="50">
        <f>ROUND(T73/G73,2)</f>
        <v>1817379.9</v>
      </c>
      <c r="V73" s="50">
        <f>+U73*H73</f>
        <v>3634759.8</v>
      </c>
    </row>
    <row r="74" spans="2:22" ht="84">
      <c r="B74" s="13">
        <v>83</v>
      </c>
      <c r="C74" s="13" t="s">
        <v>117</v>
      </c>
      <c r="D74" s="13" t="s">
        <v>118</v>
      </c>
      <c r="E74" s="49" t="s">
        <v>160</v>
      </c>
      <c r="F74" s="11" t="s">
        <v>161</v>
      </c>
      <c r="G74" s="13">
        <v>60</v>
      </c>
      <c r="H74" s="13">
        <v>6</v>
      </c>
      <c r="I74" s="13">
        <f t="shared" si="14"/>
        <v>54</v>
      </c>
      <c r="J74" s="66">
        <f t="shared" si="21"/>
        <v>0.9</v>
      </c>
      <c r="K74" s="27">
        <v>64974</v>
      </c>
      <c r="L74" s="24">
        <v>0</v>
      </c>
      <c r="M74" s="28">
        <v>3898440</v>
      </c>
      <c r="N74" s="41">
        <v>9140277.3109243698</v>
      </c>
      <c r="O74" s="53"/>
      <c r="P74" s="35">
        <f>+N74+O74</f>
        <v>9140277.3109243698</v>
      </c>
      <c r="Q74" s="50">
        <f t="shared" si="17"/>
        <v>3898440</v>
      </c>
      <c r="R74" s="50">
        <f t="shared" si="18"/>
        <v>9140277.3109243698</v>
      </c>
      <c r="S74" s="50">
        <f t="shared" si="19"/>
        <v>6519358.6554621849</v>
      </c>
      <c r="T74" s="62">
        <f t="shared" si="22"/>
        <v>6519358.6554621849</v>
      </c>
      <c r="U74" s="62">
        <f>ROUND(T74/G74,2)</f>
        <v>108655.98</v>
      </c>
      <c r="V74" s="62">
        <f>+U74*H74</f>
        <v>651935.88</v>
      </c>
    </row>
    <row r="75" spans="2:22" ht="24">
      <c r="B75" s="11">
        <v>84</v>
      </c>
      <c r="C75" s="13" t="s">
        <v>20</v>
      </c>
      <c r="D75" s="13" t="s">
        <v>118</v>
      </c>
      <c r="E75" s="49" t="s">
        <v>162</v>
      </c>
      <c r="F75" s="13" t="s">
        <v>163</v>
      </c>
      <c r="G75" s="13">
        <v>8</v>
      </c>
      <c r="H75" s="13">
        <v>4</v>
      </c>
      <c r="I75" s="13">
        <f t="shared" ref="I75:I76" si="23">+G75-H75</f>
        <v>4</v>
      </c>
      <c r="J75" s="66">
        <f t="shared" si="21"/>
        <v>0.5</v>
      </c>
      <c r="K75" s="27">
        <v>32594529.599999998</v>
      </c>
      <c r="L75" s="35">
        <f>+K75*19%</f>
        <v>6192960.6239999998</v>
      </c>
      <c r="M75" s="28">
        <f>+K75+L75</f>
        <v>38787490.223999999</v>
      </c>
      <c r="N75" s="35">
        <v>33311470.588235296</v>
      </c>
      <c r="O75" s="35">
        <f>+N75*19%</f>
        <v>6329179.4117647065</v>
      </c>
      <c r="P75" s="35">
        <v>39640650</v>
      </c>
      <c r="Q75" s="50">
        <f t="shared" si="17"/>
        <v>38787490.223999999</v>
      </c>
      <c r="R75" s="50">
        <f t="shared" si="18"/>
        <v>39640650</v>
      </c>
      <c r="S75" s="50">
        <f t="shared" si="19"/>
        <v>39214070.112000003</v>
      </c>
      <c r="T75" s="50">
        <f t="shared" si="22"/>
        <v>39214070.112000003</v>
      </c>
      <c r="U75" s="50">
        <f>ROUND(T75/G75,2)</f>
        <v>4901758.76</v>
      </c>
      <c r="V75" s="50">
        <f>+U75*H75</f>
        <v>19607035.039999999</v>
      </c>
    </row>
    <row r="76" spans="2:22" ht="24">
      <c r="B76" s="13">
        <v>85</v>
      </c>
      <c r="C76" s="13" t="s">
        <v>20</v>
      </c>
      <c r="D76" s="13" t="s">
        <v>118</v>
      </c>
      <c r="E76" s="49" t="s">
        <v>164</v>
      </c>
      <c r="F76" s="13" t="s">
        <v>165</v>
      </c>
      <c r="G76" s="13">
        <v>500</v>
      </c>
      <c r="H76" s="13">
        <v>500</v>
      </c>
      <c r="I76" s="13">
        <f t="shared" si="23"/>
        <v>0</v>
      </c>
      <c r="J76" s="66">
        <f t="shared" si="21"/>
        <v>0</v>
      </c>
      <c r="K76" s="27">
        <v>18000000</v>
      </c>
      <c r="L76" s="24">
        <v>0</v>
      </c>
      <c r="M76" s="28">
        <f>+K76</f>
        <v>18000000</v>
      </c>
      <c r="N76" s="53">
        <v>37696464</v>
      </c>
      <c r="O76" s="54"/>
      <c r="P76" s="53">
        <v>37696464</v>
      </c>
      <c r="Q76" s="50">
        <f t="shared" si="17"/>
        <v>18000000</v>
      </c>
      <c r="R76" s="50">
        <f t="shared" si="18"/>
        <v>37696464</v>
      </c>
      <c r="S76" s="50">
        <f t="shared" si="19"/>
        <v>27848232</v>
      </c>
      <c r="T76" s="50">
        <f>+Q76</f>
        <v>18000000</v>
      </c>
      <c r="U76" s="50">
        <f>+T76</f>
        <v>18000000</v>
      </c>
      <c r="V76" s="50">
        <f>+U76</f>
        <v>18000000</v>
      </c>
    </row>
    <row r="77" spans="2:22" ht="24">
      <c r="B77" s="13">
        <v>86</v>
      </c>
      <c r="C77" s="13" t="s">
        <v>13</v>
      </c>
      <c r="D77" s="13" t="s">
        <v>118</v>
      </c>
      <c r="E77" s="49" t="s">
        <v>166</v>
      </c>
      <c r="F77" s="11" t="s">
        <v>167</v>
      </c>
      <c r="G77" s="22">
        <v>4</v>
      </c>
      <c r="H77" s="22">
        <v>3</v>
      </c>
      <c r="I77" s="13">
        <f>+G77-H77</f>
        <v>1</v>
      </c>
      <c r="J77" s="66">
        <f t="shared" si="21"/>
        <v>0.25</v>
      </c>
      <c r="K77" s="38">
        <v>8490900</v>
      </c>
      <c r="L77" s="35">
        <v>0</v>
      </c>
      <c r="M77" s="38">
        <v>8490900</v>
      </c>
      <c r="N77" s="35">
        <v>36555750</v>
      </c>
      <c r="O77" s="35"/>
      <c r="P77" s="35">
        <v>36555750</v>
      </c>
      <c r="Q77" s="50">
        <f t="shared" si="17"/>
        <v>8490900</v>
      </c>
      <c r="R77" s="50">
        <f t="shared" si="18"/>
        <v>36555750</v>
      </c>
      <c r="S77" s="50">
        <f t="shared" si="19"/>
        <v>22523325</v>
      </c>
      <c r="T77" s="62">
        <f t="shared" si="22"/>
        <v>22523325</v>
      </c>
      <c r="U77" s="9">
        <f>+ROUND(T77/G77,2)</f>
        <v>5630831.25</v>
      </c>
      <c r="V77" s="9">
        <f t="shared" ref="V77:V88" si="24">+U77*H77</f>
        <v>16892493.75</v>
      </c>
    </row>
    <row r="78" spans="2:22" ht="48">
      <c r="B78" s="11">
        <v>87</v>
      </c>
      <c r="C78" s="13" t="s">
        <v>20</v>
      </c>
      <c r="D78" s="13" t="s">
        <v>118</v>
      </c>
      <c r="E78" s="49" t="s">
        <v>168</v>
      </c>
      <c r="F78" s="11" t="s">
        <v>169</v>
      </c>
      <c r="G78" s="13">
        <v>4</v>
      </c>
      <c r="H78" s="13">
        <v>2</v>
      </c>
      <c r="I78" s="13">
        <f>+G78-H78</f>
        <v>2</v>
      </c>
      <c r="J78" s="66">
        <f t="shared" si="21"/>
        <v>0.5</v>
      </c>
      <c r="K78" s="27">
        <v>8554080</v>
      </c>
      <c r="L78" s="35">
        <f>+K78*19%</f>
        <v>1625275.2</v>
      </c>
      <c r="M78" s="28">
        <f>+K78+L78</f>
        <v>10179355.199999999</v>
      </c>
      <c r="N78" s="35">
        <v>249910.00000000003</v>
      </c>
      <c r="O78" s="35">
        <f>+N78*19%</f>
        <v>47482.900000000009</v>
      </c>
      <c r="P78" s="35">
        <v>107061444.00000001</v>
      </c>
      <c r="Q78" s="50">
        <f t="shared" si="17"/>
        <v>10179355.199999999</v>
      </c>
      <c r="R78" s="50">
        <f t="shared" si="18"/>
        <v>107061444.00000001</v>
      </c>
      <c r="S78" s="50">
        <f t="shared" si="19"/>
        <v>58620399.600000009</v>
      </c>
      <c r="T78" s="50">
        <f t="shared" si="22"/>
        <v>58620399.600000009</v>
      </c>
      <c r="U78" s="50">
        <f>ROUND(T78/G78,2)</f>
        <v>14655099.9</v>
      </c>
      <c r="V78" s="50">
        <f t="shared" si="24"/>
        <v>29310199.800000001</v>
      </c>
    </row>
    <row r="79" spans="2:22" ht="24">
      <c r="B79" s="13">
        <v>88</v>
      </c>
      <c r="C79" s="13" t="s">
        <v>13</v>
      </c>
      <c r="D79" s="13" t="s">
        <v>118</v>
      </c>
      <c r="E79" s="48" t="s">
        <v>170</v>
      </c>
      <c r="F79" s="11" t="s">
        <v>171</v>
      </c>
      <c r="G79" s="22">
        <v>4</v>
      </c>
      <c r="H79" s="13">
        <v>3</v>
      </c>
      <c r="I79" s="13">
        <f>+G79-H79</f>
        <v>1</v>
      </c>
      <c r="J79" s="66">
        <f t="shared" si="21"/>
        <v>0.25</v>
      </c>
      <c r="K79" s="34">
        <v>8490900</v>
      </c>
      <c r="L79" s="24">
        <v>0</v>
      </c>
      <c r="M79" s="33">
        <v>8490900</v>
      </c>
      <c r="N79" s="35">
        <v>10345280</v>
      </c>
      <c r="O79" s="24"/>
      <c r="P79" s="33">
        <v>10345280</v>
      </c>
      <c r="Q79" s="50">
        <f t="shared" si="17"/>
        <v>8490900</v>
      </c>
      <c r="R79" s="50">
        <f t="shared" si="18"/>
        <v>10345280</v>
      </c>
      <c r="S79" s="50">
        <f t="shared" si="19"/>
        <v>9418090</v>
      </c>
      <c r="T79" s="62">
        <f t="shared" si="22"/>
        <v>9418090</v>
      </c>
      <c r="U79" s="9">
        <f>+ROUND(T79/G79,2)</f>
        <v>2354522.5</v>
      </c>
      <c r="V79" s="9">
        <f t="shared" si="24"/>
        <v>7063567.5</v>
      </c>
    </row>
    <row r="80" spans="2:22" ht="24">
      <c r="B80" s="13">
        <v>89</v>
      </c>
      <c r="C80" s="13" t="s">
        <v>13</v>
      </c>
      <c r="D80" s="13" t="s">
        <v>118</v>
      </c>
      <c r="E80" s="49" t="s">
        <v>172</v>
      </c>
      <c r="F80" s="11" t="s">
        <v>173</v>
      </c>
      <c r="G80" s="22">
        <v>4</v>
      </c>
      <c r="H80" s="13">
        <v>3</v>
      </c>
      <c r="I80" s="13">
        <f>+G80-H80</f>
        <v>1</v>
      </c>
      <c r="J80" s="66">
        <f t="shared" si="21"/>
        <v>0.25</v>
      </c>
      <c r="K80" s="27">
        <v>8490900</v>
      </c>
      <c r="L80" s="28">
        <v>0</v>
      </c>
      <c r="M80" s="28">
        <v>8490900</v>
      </c>
      <c r="N80" s="35">
        <v>9748200</v>
      </c>
      <c r="O80" s="28"/>
      <c r="P80" s="28">
        <v>9748200</v>
      </c>
      <c r="Q80" s="50">
        <f t="shared" si="17"/>
        <v>8490900</v>
      </c>
      <c r="R80" s="50">
        <f t="shared" si="18"/>
        <v>9748200</v>
      </c>
      <c r="S80" s="50">
        <f t="shared" si="19"/>
        <v>9119550</v>
      </c>
      <c r="T80" s="50">
        <f t="shared" si="22"/>
        <v>9119550</v>
      </c>
      <c r="U80" s="41">
        <f>+ROUND(T80/G80,2)</f>
        <v>2279887.5</v>
      </c>
      <c r="V80" s="41">
        <f t="shared" si="24"/>
        <v>6839662.5</v>
      </c>
    </row>
    <row r="81" spans="2:22" ht="24">
      <c r="B81" s="11">
        <v>90</v>
      </c>
      <c r="C81" s="13" t="s">
        <v>20</v>
      </c>
      <c r="D81" s="13" t="s">
        <v>118</v>
      </c>
      <c r="E81" s="49" t="s">
        <v>174</v>
      </c>
      <c r="F81" s="11" t="s">
        <v>175</v>
      </c>
      <c r="G81" s="13">
        <v>8</v>
      </c>
      <c r="H81" s="13">
        <v>8</v>
      </c>
      <c r="I81" s="13">
        <f t="shared" ref="I81:I86" si="25">+G81-H81</f>
        <v>0</v>
      </c>
      <c r="J81" s="66">
        <f t="shared" si="21"/>
        <v>0</v>
      </c>
      <c r="K81" s="27">
        <v>7433880</v>
      </c>
      <c r="L81" s="35">
        <f t="shared" ref="L81:L86" si="26">+K81*19%</f>
        <v>1412437.2</v>
      </c>
      <c r="M81" s="28">
        <f t="shared" ref="M81:M86" si="27">+K81+L81</f>
        <v>8846317.1999999993</v>
      </c>
      <c r="N81" s="35">
        <v>3855820</v>
      </c>
      <c r="O81" s="53"/>
      <c r="P81" s="28">
        <v>3855820</v>
      </c>
      <c r="Q81" s="50">
        <f t="shared" si="17"/>
        <v>3855820</v>
      </c>
      <c r="R81" s="50">
        <f t="shared" si="18"/>
        <v>8846317.1999999993</v>
      </c>
      <c r="S81" s="50">
        <f t="shared" si="19"/>
        <v>6351068.5999999996</v>
      </c>
      <c r="T81" s="50">
        <f t="shared" si="22"/>
        <v>6351068.5999999996</v>
      </c>
      <c r="U81" s="50">
        <f t="shared" ref="U81:U88" si="28">ROUND(T81/G81,2)</f>
        <v>793883.58</v>
      </c>
      <c r="V81" s="50">
        <f t="shared" si="24"/>
        <v>6351068.6399999997</v>
      </c>
    </row>
    <row r="82" spans="2:22" ht="24">
      <c r="B82" s="13">
        <v>91</v>
      </c>
      <c r="C82" s="13" t="s">
        <v>20</v>
      </c>
      <c r="D82" s="13" t="s">
        <v>118</v>
      </c>
      <c r="E82" s="49" t="s">
        <v>176</v>
      </c>
      <c r="F82" s="11" t="s">
        <v>169</v>
      </c>
      <c r="G82" s="13">
        <v>4</v>
      </c>
      <c r="H82" s="13">
        <v>4</v>
      </c>
      <c r="I82" s="13">
        <f t="shared" si="25"/>
        <v>0</v>
      </c>
      <c r="J82" s="66">
        <f t="shared" si="21"/>
        <v>0</v>
      </c>
      <c r="K82" s="27">
        <v>1850400</v>
      </c>
      <c r="L82" s="35">
        <f t="shared" si="26"/>
        <v>351576</v>
      </c>
      <c r="M82" s="28">
        <f t="shared" si="27"/>
        <v>2201976</v>
      </c>
      <c r="N82" s="35">
        <v>8256745.3781512612</v>
      </c>
      <c r="O82" s="35">
        <f>+N82*19%</f>
        <v>1568781.6218487397</v>
      </c>
      <c r="P82" s="28">
        <v>9825527</v>
      </c>
      <c r="Q82" s="50">
        <f t="shared" si="17"/>
        <v>2201976</v>
      </c>
      <c r="R82" s="50">
        <f t="shared" si="18"/>
        <v>9825527</v>
      </c>
      <c r="S82" s="50">
        <f t="shared" si="19"/>
        <v>6013751.5</v>
      </c>
      <c r="T82" s="50">
        <f t="shared" si="22"/>
        <v>6013751.5</v>
      </c>
      <c r="U82" s="50">
        <f t="shared" si="28"/>
        <v>1503437.88</v>
      </c>
      <c r="V82" s="50">
        <f t="shared" si="24"/>
        <v>6013751.5199999996</v>
      </c>
    </row>
    <row r="83" spans="2:22" ht="24">
      <c r="B83" s="13">
        <v>92</v>
      </c>
      <c r="C83" s="13" t="s">
        <v>20</v>
      </c>
      <c r="D83" s="13" t="s">
        <v>118</v>
      </c>
      <c r="E83" s="49" t="s">
        <v>177</v>
      </c>
      <c r="F83" s="11" t="s">
        <v>178</v>
      </c>
      <c r="G83" s="13">
        <v>2</v>
      </c>
      <c r="H83" s="13">
        <v>2</v>
      </c>
      <c r="I83" s="13">
        <f t="shared" si="25"/>
        <v>0</v>
      </c>
      <c r="J83" s="66">
        <f t="shared" si="21"/>
        <v>0</v>
      </c>
      <c r="K83" s="27">
        <v>1920960</v>
      </c>
      <c r="L83" s="35">
        <f t="shared" si="26"/>
        <v>364982.4</v>
      </c>
      <c r="M83" s="28">
        <f t="shared" si="27"/>
        <v>2285942.4</v>
      </c>
      <c r="N83" s="35">
        <v>2797350</v>
      </c>
      <c r="O83" s="35">
        <f>+N83*19%</f>
        <v>531496.5</v>
      </c>
      <c r="P83" s="28">
        <v>3328846.5</v>
      </c>
      <c r="Q83" s="50">
        <f t="shared" si="17"/>
        <v>2285942.4</v>
      </c>
      <c r="R83" s="50">
        <f t="shared" si="18"/>
        <v>3328846.5</v>
      </c>
      <c r="S83" s="50">
        <f t="shared" si="19"/>
        <v>2807394.45</v>
      </c>
      <c r="T83" s="50">
        <f t="shared" si="22"/>
        <v>2807394.45</v>
      </c>
      <c r="U83" s="50">
        <f t="shared" si="28"/>
        <v>1403697.23</v>
      </c>
      <c r="V83" s="50">
        <f t="shared" si="24"/>
        <v>2807394.46</v>
      </c>
    </row>
    <row r="84" spans="2:22" ht="24">
      <c r="B84" s="11">
        <v>93</v>
      </c>
      <c r="C84" s="13" t="s">
        <v>20</v>
      </c>
      <c r="D84" s="13" t="s">
        <v>118</v>
      </c>
      <c r="E84" s="49" t="s">
        <v>179</v>
      </c>
      <c r="F84" s="11" t="s">
        <v>180</v>
      </c>
      <c r="G84" s="13">
        <v>2</v>
      </c>
      <c r="H84" s="13">
        <v>2</v>
      </c>
      <c r="I84" s="13">
        <f t="shared" si="25"/>
        <v>0</v>
      </c>
      <c r="J84" s="66">
        <f t="shared" si="21"/>
        <v>0</v>
      </c>
      <c r="K84" s="27">
        <v>1920960</v>
      </c>
      <c r="L84" s="35">
        <f t="shared" si="26"/>
        <v>364982.4</v>
      </c>
      <c r="M84" s="28">
        <f t="shared" si="27"/>
        <v>2285942.4</v>
      </c>
      <c r="N84" s="35">
        <v>6862193.2773109246</v>
      </c>
      <c r="O84" s="35">
        <f>+N84*19%</f>
        <v>1303816.7226890756</v>
      </c>
      <c r="P84" s="28">
        <v>8166010</v>
      </c>
      <c r="Q84" s="50">
        <f t="shared" si="17"/>
        <v>2285942.4</v>
      </c>
      <c r="R84" s="50">
        <f t="shared" si="18"/>
        <v>8166010</v>
      </c>
      <c r="S84" s="50">
        <f t="shared" si="19"/>
        <v>5225976.2</v>
      </c>
      <c r="T84" s="50">
        <f t="shared" si="22"/>
        <v>5225976.2</v>
      </c>
      <c r="U84" s="50">
        <f t="shared" si="28"/>
        <v>2612988.1</v>
      </c>
      <c r="V84" s="50">
        <f t="shared" si="24"/>
        <v>5225976.2</v>
      </c>
    </row>
    <row r="85" spans="2:22" ht="48">
      <c r="B85" s="13">
        <v>94</v>
      </c>
      <c r="C85" s="13" t="s">
        <v>20</v>
      </c>
      <c r="D85" s="13" t="s">
        <v>118</v>
      </c>
      <c r="E85" s="49" t="s">
        <v>181</v>
      </c>
      <c r="F85" s="11" t="s">
        <v>182</v>
      </c>
      <c r="G85" s="13">
        <v>4</v>
      </c>
      <c r="H85" s="13">
        <v>4</v>
      </c>
      <c r="I85" s="13">
        <f t="shared" si="25"/>
        <v>0</v>
      </c>
      <c r="J85" s="66">
        <f t="shared" si="21"/>
        <v>0</v>
      </c>
      <c r="K85" s="27">
        <v>5589024</v>
      </c>
      <c r="L85" s="35">
        <f t="shared" si="26"/>
        <v>1061914.56</v>
      </c>
      <c r="M85" s="28">
        <f t="shared" si="27"/>
        <v>6650938.5600000005</v>
      </c>
      <c r="N85" s="35">
        <v>30995.000000000004</v>
      </c>
      <c r="O85" s="35">
        <f>+N85*19%</f>
        <v>5889.0500000000011</v>
      </c>
      <c r="P85" s="28">
        <v>4426086</v>
      </c>
      <c r="Q85" s="50">
        <f t="shared" si="17"/>
        <v>4426086</v>
      </c>
      <c r="R85" s="50">
        <f t="shared" si="18"/>
        <v>6650938.5600000005</v>
      </c>
      <c r="S85" s="50">
        <f t="shared" si="19"/>
        <v>5538512.2800000003</v>
      </c>
      <c r="T85" s="50">
        <f t="shared" si="22"/>
        <v>5538512.2800000003</v>
      </c>
      <c r="U85" s="50">
        <f t="shared" si="28"/>
        <v>1384628.07</v>
      </c>
      <c r="V85" s="50">
        <f t="shared" si="24"/>
        <v>5538512.2800000003</v>
      </c>
    </row>
    <row r="86" spans="2:22" ht="24">
      <c r="B86" s="13">
        <v>95</v>
      </c>
      <c r="C86" s="13" t="s">
        <v>20</v>
      </c>
      <c r="D86" s="13" t="s">
        <v>118</v>
      </c>
      <c r="E86" s="49" t="s">
        <v>183</v>
      </c>
      <c r="F86" s="11" t="s">
        <v>184</v>
      </c>
      <c r="G86" s="13">
        <v>16</v>
      </c>
      <c r="H86" s="13">
        <v>16</v>
      </c>
      <c r="I86" s="13">
        <f t="shared" si="25"/>
        <v>0</v>
      </c>
      <c r="J86" s="66">
        <f t="shared" si="21"/>
        <v>0</v>
      </c>
      <c r="K86" s="27">
        <v>16627268.399999999</v>
      </c>
      <c r="L86" s="35">
        <f t="shared" si="26"/>
        <v>3159180.9959999998</v>
      </c>
      <c r="M86" s="28">
        <f t="shared" si="27"/>
        <v>19786449.395999998</v>
      </c>
      <c r="N86" s="35">
        <v>31951369.74789916</v>
      </c>
      <c r="O86" s="35">
        <f>+N86*19%</f>
        <v>6070760.2521008402</v>
      </c>
      <c r="P86" s="28">
        <v>38022130</v>
      </c>
      <c r="Q86" s="50">
        <f t="shared" si="17"/>
        <v>19786449.395999998</v>
      </c>
      <c r="R86" s="50">
        <f t="shared" si="18"/>
        <v>38022130</v>
      </c>
      <c r="S86" s="50">
        <f t="shared" si="19"/>
        <v>28904289.697999999</v>
      </c>
      <c r="T86" s="50">
        <f t="shared" si="22"/>
        <v>28904289.697999999</v>
      </c>
      <c r="U86" s="50">
        <f t="shared" si="28"/>
        <v>1806518.11</v>
      </c>
      <c r="V86" s="50">
        <f t="shared" si="24"/>
        <v>28904289.760000002</v>
      </c>
    </row>
    <row r="87" spans="2:22" ht="24">
      <c r="B87" s="11">
        <v>96</v>
      </c>
      <c r="C87" s="13" t="s">
        <v>117</v>
      </c>
      <c r="D87" s="13" t="s">
        <v>118</v>
      </c>
      <c r="E87" s="49" t="s">
        <v>185</v>
      </c>
      <c r="F87" s="11" t="s">
        <v>150</v>
      </c>
      <c r="G87" s="13">
        <v>4</v>
      </c>
      <c r="H87" s="13">
        <v>1</v>
      </c>
      <c r="I87" s="13">
        <f>+G87-H87</f>
        <v>3</v>
      </c>
      <c r="J87" s="66">
        <f t="shared" si="21"/>
        <v>0.75</v>
      </c>
      <c r="K87" s="27">
        <v>950000</v>
      </c>
      <c r="L87" s="24">
        <v>0</v>
      </c>
      <c r="M87" s="28">
        <v>3800000</v>
      </c>
      <c r="N87" s="35">
        <v>4128380.6722689075</v>
      </c>
      <c r="O87" s="53"/>
      <c r="P87" s="28">
        <f>+N87+O87</f>
        <v>4128380.6722689075</v>
      </c>
      <c r="Q87" s="50">
        <f t="shared" si="17"/>
        <v>3800000</v>
      </c>
      <c r="R87" s="50">
        <f t="shared" si="18"/>
        <v>4128380.6722689075</v>
      </c>
      <c r="S87" s="50">
        <f t="shared" si="19"/>
        <v>3964190.3361344538</v>
      </c>
      <c r="T87" s="62">
        <f t="shared" si="22"/>
        <v>3964190.3361344538</v>
      </c>
      <c r="U87" s="62">
        <f t="shared" si="28"/>
        <v>991047.58</v>
      </c>
      <c r="V87" s="62">
        <f t="shared" si="24"/>
        <v>991047.58</v>
      </c>
    </row>
    <row r="88" spans="2:22" ht="24">
      <c r="B88" s="13">
        <v>97</v>
      </c>
      <c r="C88" s="13" t="s">
        <v>20</v>
      </c>
      <c r="D88" s="13" t="s">
        <v>118</v>
      </c>
      <c r="E88" s="49" t="s">
        <v>186</v>
      </c>
      <c r="F88" s="11" t="s">
        <v>187</v>
      </c>
      <c r="G88" s="13">
        <v>2</v>
      </c>
      <c r="H88" s="13">
        <v>1</v>
      </c>
      <c r="I88" s="13">
        <f t="shared" ref="I88:I91" si="29">+G88-H88</f>
        <v>1</v>
      </c>
      <c r="J88" s="66">
        <f t="shared" si="21"/>
        <v>0.5</v>
      </c>
      <c r="K88" s="27">
        <v>40304220</v>
      </c>
      <c r="L88" s="35">
        <f>+K88*19%</f>
        <v>7657801.7999999998</v>
      </c>
      <c r="M88" s="28">
        <f>+K88+L88</f>
        <v>47962021.799999997</v>
      </c>
      <c r="N88" s="35">
        <v>32355891.596638657</v>
      </c>
      <c r="O88" s="35">
        <f>+N88*19%</f>
        <v>6147619.4033613447</v>
      </c>
      <c r="P88" s="28">
        <v>38503511</v>
      </c>
      <c r="Q88" s="50">
        <f t="shared" si="17"/>
        <v>38503511</v>
      </c>
      <c r="R88" s="50">
        <f t="shared" si="18"/>
        <v>47962021.799999997</v>
      </c>
      <c r="S88" s="50">
        <f t="shared" si="19"/>
        <v>43232766.399999999</v>
      </c>
      <c r="T88" s="50">
        <f t="shared" si="22"/>
        <v>43232766.399999999</v>
      </c>
      <c r="U88" s="50">
        <f t="shared" si="28"/>
        <v>21616383.199999999</v>
      </c>
      <c r="V88" s="50">
        <f t="shared" si="24"/>
        <v>21616383.199999999</v>
      </c>
    </row>
    <row r="89" spans="2:22" ht="180">
      <c r="B89" s="13">
        <v>98</v>
      </c>
      <c r="C89" s="13" t="s">
        <v>20</v>
      </c>
      <c r="D89" s="13" t="s">
        <v>118</v>
      </c>
      <c r="E89" s="49" t="s">
        <v>188</v>
      </c>
      <c r="F89" s="13" t="s">
        <v>189</v>
      </c>
      <c r="G89" s="64">
        <v>68000</v>
      </c>
      <c r="H89" s="64">
        <v>68000</v>
      </c>
      <c r="I89" s="13">
        <f t="shared" si="29"/>
        <v>0</v>
      </c>
      <c r="J89" s="66">
        <f t="shared" si="21"/>
        <v>0</v>
      </c>
      <c r="K89" s="27">
        <v>6800000</v>
      </c>
      <c r="L89" s="24">
        <v>0</v>
      </c>
      <c r="M89" s="27">
        <v>6800000</v>
      </c>
      <c r="N89" s="53">
        <v>37696464</v>
      </c>
      <c r="O89" s="54"/>
      <c r="P89" s="53">
        <v>37696464</v>
      </c>
      <c r="Q89" s="50">
        <f t="shared" ref="Q89:Q100" si="30">MIN(M89,P89)</f>
        <v>6800000</v>
      </c>
      <c r="R89" s="50">
        <f t="shared" ref="R89:R100" si="31">MAX(M89,P89)</f>
        <v>37696464</v>
      </c>
      <c r="S89" s="50">
        <f t="shared" ref="S89:S100" si="32">AVERAGE(M89,P89)</f>
        <v>22248232</v>
      </c>
      <c r="T89" s="50">
        <f>+Q89</f>
        <v>6800000</v>
      </c>
      <c r="U89" s="50">
        <f>+T89</f>
        <v>6800000</v>
      </c>
      <c r="V89" s="50">
        <f>+U89</f>
        <v>6800000</v>
      </c>
    </row>
    <row r="90" spans="2:22" ht="24">
      <c r="B90" s="11">
        <v>99</v>
      </c>
      <c r="C90" s="13" t="s">
        <v>20</v>
      </c>
      <c r="D90" s="13" t="s">
        <v>118</v>
      </c>
      <c r="E90" s="49" t="s">
        <v>190</v>
      </c>
      <c r="F90" s="42" t="s">
        <v>169</v>
      </c>
      <c r="G90" s="13">
        <v>4</v>
      </c>
      <c r="H90" s="13">
        <v>4</v>
      </c>
      <c r="I90" s="13">
        <f t="shared" si="29"/>
        <v>0</v>
      </c>
      <c r="J90" s="66">
        <f t="shared" si="21"/>
        <v>0</v>
      </c>
      <c r="K90" s="38">
        <v>60179056.799999997</v>
      </c>
      <c r="L90" s="35">
        <f t="shared" ref="L90:L100" si="33">+K90*19%</f>
        <v>11434020.791999999</v>
      </c>
      <c r="M90" s="28">
        <f>+K90+L90</f>
        <v>71613077.591999993</v>
      </c>
      <c r="N90" s="35">
        <v>4912773</v>
      </c>
      <c r="O90" s="35">
        <f>+N90*19%</f>
        <v>933426.87</v>
      </c>
      <c r="P90" s="28">
        <v>5846199.8700000001</v>
      </c>
      <c r="Q90" s="50">
        <f t="shared" si="30"/>
        <v>5846199.8700000001</v>
      </c>
      <c r="R90" s="50">
        <f t="shared" si="31"/>
        <v>71613077.591999993</v>
      </c>
      <c r="S90" s="50">
        <f t="shared" si="32"/>
        <v>38729638.730999999</v>
      </c>
      <c r="T90" s="50">
        <f t="shared" si="22"/>
        <v>38729638.730999999</v>
      </c>
      <c r="U90" s="50">
        <f>ROUND(T90/G90,2)</f>
        <v>9682409.6799999997</v>
      </c>
      <c r="V90" s="50">
        <f t="shared" ref="V90:V99" si="34">+U90*H90</f>
        <v>38729638.719999999</v>
      </c>
    </row>
    <row r="91" spans="2:22" ht="24">
      <c r="B91" s="13">
        <v>100</v>
      </c>
      <c r="C91" s="13" t="s">
        <v>20</v>
      </c>
      <c r="D91" s="13" t="s">
        <v>118</v>
      </c>
      <c r="E91" s="49" t="s">
        <v>191</v>
      </c>
      <c r="F91" s="11" t="s">
        <v>169</v>
      </c>
      <c r="G91" s="13">
        <v>4</v>
      </c>
      <c r="H91" s="13">
        <v>4</v>
      </c>
      <c r="I91" s="13">
        <f t="shared" si="29"/>
        <v>0</v>
      </c>
      <c r="J91" s="66">
        <f t="shared" si="21"/>
        <v>0</v>
      </c>
      <c r="K91" s="28">
        <v>60179056.799999997</v>
      </c>
      <c r="L91" s="35">
        <f t="shared" si="33"/>
        <v>11434020.791999999</v>
      </c>
      <c r="M91" s="28">
        <f>+K91+L91</f>
        <v>71613077.591999993</v>
      </c>
      <c r="N91" s="35">
        <v>65576.470588235301</v>
      </c>
      <c r="O91" s="35">
        <f>+N91*19%</f>
        <v>12459.529411764708</v>
      </c>
      <c r="P91" s="28">
        <v>28092960.000000004</v>
      </c>
      <c r="Q91" s="50">
        <f t="shared" si="30"/>
        <v>28092960.000000004</v>
      </c>
      <c r="R91" s="50">
        <f t="shared" si="31"/>
        <v>71613077.591999993</v>
      </c>
      <c r="S91" s="50">
        <f t="shared" si="32"/>
        <v>49853018.795999996</v>
      </c>
      <c r="T91" s="50">
        <f t="shared" si="22"/>
        <v>49853018.795999996</v>
      </c>
      <c r="U91" s="50">
        <f>ROUND(T91/G91,2)</f>
        <v>12463254.699999999</v>
      </c>
      <c r="V91" s="50">
        <f t="shared" si="34"/>
        <v>49853018.799999997</v>
      </c>
    </row>
    <row r="92" spans="2:22" ht="24">
      <c r="B92" s="13">
        <v>101</v>
      </c>
      <c r="C92" s="13" t="s">
        <v>13</v>
      </c>
      <c r="D92" s="13" t="s">
        <v>118</v>
      </c>
      <c r="E92" s="49" t="s">
        <v>192</v>
      </c>
      <c r="F92" s="11" t="s">
        <v>193</v>
      </c>
      <c r="G92" s="22">
        <v>4</v>
      </c>
      <c r="H92" s="13">
        <v>3</v>
      </c>
      <c r="I92" s="13">
        <f>+G92-H92</f>
        <v>1</v>
      </c>
      <c r="J92" s="66">
        <f t="shared" si="21"/>
        <v>0.25</v>
      </c>
      <c r="K92" s="28">
        <v>7019078.3999999994</v>
      </c>
      <c r="L92" s="24"/>
      <c r="M92" s="35">
        <v>7019078.3999999994</v>
      </c>
      <c r="N92" s="35">
        <v>16513490.756302522</v>
      </c>
      <c r="O92" s="53"/>
      <c r="P92" s="35">
        <f>+N92</f>
        <v>16513490.756302522</v>
      </c>
      <c r="Q92" s="50">
        <f t="shared" si="30"/>
        <v>7019078.3999999994</v>
      </c>
      <c r="R92" s="50">
        <f t="shared" si="31"/>
        <v>16513490.756302522</v>
      </c>
      <c r="S92" s="50">
        <f t="shared" si="32"/>
        <v>11766284.578151261</v>
      </c>
      <c r="T92" s="62">
        <f t="shared" si="22"/>
        <v>11766284.578151261</v>
      </c>
      <c r="U92" s="9">
        <f>+ROUND(T92/G92,2)</f>
        <v>2941571.14</v>
      </c>
      <c r="V92" s="9">
        <f t="shared" si="34"/>
        <v>8824713.4199999999</v>
      </c>
    </row>
    <row r="93" spans="2:22" ht="24">
      <c r="B93" s="11">
        <v>102</v>
      </c>
      <c r="C93" s="13" t="s">
        <v>13</v>
      </c>
      <c r="D93" s="13" t="s">
        <v>118</v>
      </c>
      <c r="E93" s="49" t="s">
        <v>194</v>
      </c>
      <c r="F93" s="11" t="s">
        <v>195</v>
      </c>
      <c r="G93" s="22">
        <v>4</v>
      </c>
      <c r="H93" s="13">
        <v>3</v>
      </c>
      <c r="I93" s="13">
        <f>+G93-H93</f>
        <v>1</v>
      </c>
      <c r="J93" s="66">
        <f t="shared" si="21"/>
        <v>0.25</v>
      </c>
      <c r="K93" s="28">
        <v>5260800</v>
      </c>
      <c r="L93" s="35">
        <f t="shared" si="33"/>
        <v>999552</v>
      </c>
      <c r="M93" s="28">
        <f t="shared" ref="M93:M100" si="35">+K93+L93</f>
        <v>6260352</v>
      </c>
      <c r="N93" s="35">
        <v>176887.3949579832</v>
      </c>
      <c r="O93" s="53"/>
      <c r="P93" s="28">
        <f>+N93*150</f>
        <v>26533109.243697479</v>
      </c>
      <c r="Q93" s="50">
        <f t="shared" si="30"/>
        <v>6260352</v>
      </c>
      <c r="R93" s="50">
        <f t="shared" si="31"/>
        <v>26533109.243697479</v>
      </c>
      <c r="S93" s="50">
        <f t="shared" si="32"/>
        <v>16396730.62184874</v>
      </c>
      <c r="T93" s="50">
        <f t="shared" si="22"/>
        <v>16396730.62184874</v>
      </c>
      <c r="U93" s="41">
        <f>+ROUND(T93/G93,2)</f>
        <v>4099182.66</v>
      </c>
      <c r="V93" s="41">
        <f t="shared" si="34"/>
        <v>12297547.98</v>
      </c>
    </row>
    <row r="94" spans="2:22" ht="24">
      <c r="B94" s="13">
        <v>103</v>
      </c>
      <c r="C94" s="13" t="s">
        <v>13</v>
      </c>
      <c r="D94" s="13" t="s">
        <v>118</v>
      </c>
      <c r="E94" s="49" t="s">
        <v>196</v>
      </c>
      <c r="F94" s="11" t="s">
        <v>197</v>
      </c>
      <c r="G94" s="22">
        <v>4</v>
      </c>
      <c r="H94" s="13">
        <v>3</v>
      </c>
      <c r="I94" s="13">
        <f>+G94-H94</f>
        <v>1</v>
      </c>
      <c r="J94" s="66">
        <f t="shared" si="21"/>
        <v>0.25</v>
      </c>
      <c r="K94" s="28">
        <v>7570418.3999999994</v>
      </c>
      <c r="L94" s="35">
        <f t="shared" si="33"/>
        <v>1438379.4959999998</v>
      </c>
      <c r="M94" s="28">
        <f t="shared" si="35"/>
        <v>9008797.8959999997</v>
      </c>
      <c r="N94" s="35">
        <v>19651054</v>
      </c>
      <c r="O94" s="28"/>
      <c r="P94" s="28">
        <v>19651054</v>
      </c>
      <c r="Q94" s="50">
        <f t="shared" si="30"/>
        <v>9008797.8959999997</v>
      </c>
      <c r="R94" s="50">
        <f t="shared" si="31"/>
        <v>19651054</v>
      </c>
      <c r="S94" s="50">
        <f t="shared" si="32"/>
        <v>14329925.947999999</v>
      </c>
      <c r="T94" s="50">
        <f t="shared" si="22"/>
        <v>14329925.947999999</v>
      </c>
      <c r="U94" s="41">
        <f>+ROUND(T94/G94,2)</f>
        <v>3582481.49</v>
      </c>
      <c r="V94" s="41">
        <f t="shared" si="34"/>
        <v>10747444.470000001</v>
      </c>
    </row>
    <row r="95" spans="2:22" ht="24">
      <c r="B95" s="13">
        <v>104</v>
      </c>
      <c r="C95" s="13" t="s">
        <v>20</v>
      </c>
      <c r="D95" s="13" t="s">
        <v>118</v>
      </c>
      <c r="E95" s="49" t="s">
        <v>198</v>
      </c>
      <c r="F95" s="11" t="s">
        <v>199</v>
      </c>
      <c r="G95" s="13">
        <v>4</v>
      </c>
      <c r="H95" s="13">
        <v>4</v>
      </c>
      <c r="I95" s="13">
        <f t="shared" ref="I95:I100" si="36">+G95-H95</f>
        <v>0</v>
      </c>
      <c r="J95" s="66">
        <f t="shared" si="21"/>
        <v>0</v>
      </c>
      <c r="K95" s="28">
        <v>28289520</v>
      </c>
      <c r="L95" s="35">
        <f t="shared" si="33"/>
        <v>5375008.7999999998</v>
      </c>
      <c r="M95" s="28">
        <f t="shared" si="35"/>
        <v>33664528.799999997</v>
      </c>
      <c r="N95" s="35">
        <v>65576.470588235301</v>
      </c>
      <c r="O95" s="35">
        <f t="shared" ref="O95:O100" si="37">+N95*19%</f>
        <v>12459.529411764708</v>
      </c>
      <c r="P95" s="28">
        <v>11705400.000000002</v>
      </c>
      <c r="Q95" s="50">
        <f t="shared" si="30"/>
        <v>11705400.000000002</v>
      </c>
      <c r="R95" s="50">
        <f t="shared" si="31"/>
        <v>33664528.799999997</v>
      </c>
      <c r="S95" s="50">
        <f t="shared" si="32"/>
        <v>22684964.399999999</v>
      </c>
      <c r="T95" s="50">
        <f t="shared" si="22"/>
        <v>22684964.399999999</v>
      </c>
      <c r="U95" s="50">
        <f t="shared" ref="U95:U100" si="38">ROUND(T95/G95,2)</f>
        <v>5671241.0999999996</v>
      </c>
      <c r="V95" s="50">
        <f t="shared" si="34"/>
        <v>22684964.399999999</v>
      </c>
    </row>
    <row r="96" spans="2:22" ht="24">
      <c r="B96" s="11">
        <v>105</v>
      </c>
      <c r="C96" s="13" t="s">
        <v>20</v>
      </c>
      <c r="D96" s="13" t="s">
        <v>118</v>
      </c>
      <c r="E96" s="49" t="s">
        <v>200</v>
      </c>
      <c r="F96" s="11" t="s">
        <v>169</v>
      </c>
      <c r="G96" s="13">
        <v>4</v>
      </c>
      <c r="H96" s="13">
        <v>4</v>
      </c>
      <c r="I96" s="13">
        <f t="shared" si="36"/>
        <v>0</v>
      </c>
      <c r="J96" s="66">
        <f t="shared" si="21"/>
        <v>0</v>
      </c>
      <c r="K96" s="28">
        <v>7020000</v>
      </c>
      <c r="L96" s="35">
        <f t="shared" si="33"/>
        <v>1333800</v>
      </c>
      <c r="M96" s="28">
        <f t="shared" si="35"/>
        <v>8353800</v>
      </c>
      <c r="N96" s="35">
        <v>8256745.3781512612</v>
      </c>
      <c r="O96" s="35">
        <f t="shared" si="37"/>
        <v>1568781.6218487397</v>
      </c>
      <c r="P96" s="28">
        <v>9825527</v>
      </c>
      <c r="Q96" s="50">
        <f t="shared" si="30"/>
        <v>8353800</v>
      </c>
      <c r="R96" s="50">
        <f t="shared" si="31"/>
        <v>9825527</v>
      </c>
      <c r="S96" s="50">
        <f t="shared" si="32"/>
        <v>9089663.5</v>
      </c>
      <c r="T96" s="50">
        <f t="shared" si="22"/>
        <v>9089663.5</v>
      </c>
      <c r="U96" s="50">
        <f t="shared" si="38"/>
        <v>2272415.88</v>
      </c>
      <c r="V96" s="50">
        <f t="shared" si="34"/>
        <v>9089663.5199999996</v>
      </c>
    </row>
    <row r="97" spans="2:22" ht="48">
      <c r="B97" s="13">
        <v>106</v>
      </c>
      <c r="C97" s="13" t="s">
        <v>20</v>
      </c>
      <c r="D97" s="13" t="s">
        <v>118</v>
      </c>
      <c r="E97" s="49" t="s">
        <v>201</v>
      </c>
      <c r="F97" s="11" t="s">
        <v>202</v>
      </c>
      <c r="G97" s="13">
        <v>1</v>
      </c>
      <c r="H97" s="13">
        <v>1</v>
      </c>
      <c r="I97" s="13">
        <f t="shared" si="36"/>
        <v>0</v>
      </c>
      <c r="J97" s="66">
        <f t="shared" si="21"/>
        <v>0</v>
      </c>
      <c r="K97" s="35">
        <v>24000000</v>
      </c>
      <c r="L97" s="35">
        <f t="shared" si="33"/>
        <v>4560000</v>
      </c>
      <c r="M97" s="28">
        <f t="shared" si="35"/>
        <v>28560000</v>
      </c>
      <c r="N97" s="35">
        <v>15730001</v>
      </c>
      <c r="O97" s="53"/>
      <c r="P97" s="28">
        <v>15730001</v>
      </c>
      <c r="Q97" s="50">
        <f t="shared" si="30"/>
        <v>15730001</v>
      </c>
      <c r="R97" s="50">
        <f t="shared" si="31"/>
        <v>28560000</v>
      </c>
      <c r="S97" s="50">
        <f t="shared" si="32"/>
        <v>22145000.5</v>
      </c>
      <c r="T97" s="50">
        <f t="shared" si="22"/>
        <v>22145000.5</v>
      </c>
      <c r="U97" s="50">
        <f t="shared" si="38"/>
        <v>22145000.5</v>
      </c>
      <c r="V97" s="50">
        <f t="shared" si="34"/>
        <v>22145000.5</v>
      </c>
    </row>
    <row r="98" spans="2:22" ht="24">
      <c r="B98" s="13">
        <v>107</v>
      </c>
      <c r="C98" s="13" t="s">
        <v>20</v>
      </c>
      <c r="D98" s="13" t="s">
        <v>118</v>
      </c>
      <c r="E98" s="49" t="s">
        <v>203</v>
      </c>
      <c r="F98" s="11" t="s">
        <v>204</v>
      </c>
      <c r="G98" s="13">
        <v>8</v>
      </c>
      <c r="H98" s="13">
        <v>8</v>
      </c>
      <c r="I98" s="13">
        <f t="shared" si="36"/>
        <v>0</v>
      </c>
      <c r="J98" s="66">
        <f t="shared" si="21"/>
        <v>0</v>
      </c>
      <c r="K98" s="28">
        <v>11704800</v>
      </c>
      <c r="L98" s="35">
        <f t="shared" si="33"/>
        <v>2223912</v>
      </c>
      <c r="M98" s="28">
        <f t="shared" si="35"/>
        <v>13928712</v>
      </c>
      <c r="N98" s="35">
        <v>641929.4117647059</v>
      </c>
      <c r="O98" s="35">
        <f t="shared" si="37"/>
        <v>121966.58823529413</v>
      </c>
      <c r="P98" s="28">
        <v>1527792</v>
      </c>
      <c r="Q98" s="50">
        <f t="shared" si="30"/>
        <v>1527792</v>
      </c>
      <c r="R98" s="50">
        <f t="shared" si="31"/>
        <v>13928712</v>
      </c>
      <c r="S98" s="50">
        <f t="shared" si="32"/>
        <v>7728252</v>
      </c>
      <c r="T98" s="50">
        <f t="shared" si="22"/>
        <v>7728252</v>
      </c>
      <c r="U98" s="50">
        <f t="shared" si="38"/>
        <v>966031.5</v>
      </c>
      <c r="V98" s="50">
        <f t="shared" si="34"/>
        <v>7728252</v>
      </c>
    </row>
    <row r="99" spans="2:22" ht="24">
      <c r="B99" s="11">
        <v>108</v>
      </c>
      <c r="C99" s="13" t="s">
        <v>20</v>
      </c>
      <c r="D99" s="13" t="s">
        <v>118</v>
      </c>
      <c r="E99" s="49" t="s">
        <v>205</v>
      </c>
      <c r="F99" s="11" t="s">
        <v>206</v>
      </c>
      <c r="G99" s="13">
        <v>8</v>
      </c>
      <c r="H99" s="13">
        <v>6</v>
      </c>
      <c r="I99" s="13">
        <f t="shared" si="36"/>
        <v>2</v>
      </c>
      <c r="J99" s="66">
        <f t="shared" si="21"/>
        <v>0.25</v>
      </c>
      <c r="K99" s="28">
        <v>2335200</v>
      </c>
      <c r="L99" s="35">
        <f t="shared" si="33"/>
        <v>443688</v>
      </c>
      <c r="M99" s="28">
        <f t="shared" si="35"/>
        <v>2778888</v>
      </c>
      <c r="N99" s="35">
        <v>65898620.444444448</v>
      </c>
      <c r="O99" s="53"/>
      <c r="P99" s="28">
        <v>65898620.444444448</v>
      </c>
      <c r="Q99" s="50">
        <f t="shared" si="30"/>
        <v>2778888</v>
      </c>
      <c r="R99" s="50">
        <f t="shared" si="31"/>
        <v>65898620.444444448</v>
      </c>
      <c r="S99" s="50">
        <f t="shared" si="32"/>
        <v>34338754.222222224</v>
      </c>
      <c r="T99" s="50">
        <f t="shared" si="22"/>
        <v>34338754.222222224</v>
      </c>
      <c r="U99" s="50">
        <f t="shared" si="38"/>
        <v>4292344.28</v>
      </c>
      <c r="V99" s="50">
        <f t="shared" si="34"/>
        <v>25754065.68</v>
      </c>
    </row>
    <row r="100" spans="2:22" ht="24">
      <c r="B100" s="13">
        <v>109</v>
      </c>
      <c r="C100" s="13" t="s">
        <v>20</v>
      </c>
      <c r="D100" s="13" t="s">
        <v>118</v>
      </c>
      <c r="E100" s="49" t="s">
        <v>207</v>
      </c>
      <c r="F100" s="11" t="s">
        <v>169</v>
      </c>
      <c r="G100" s="13">
        <v>4</v>
      </c>
      <c r="H100" s="13">
        <v>3</v>
      </c>
      <c r="I100" s="13">
        <f t="shared" si="36"/>
        <v>1</v>
      </c>
      <c r="J100" s="66">
        <f t="shared" si="21"/>
        <v>0.25</v>
      </c>
      <c r="K100" s="28">
        <v>79192800</v>
      </c>
      <c r="L100" s="35">
        <f t="shared" si="33"/>
        <v>15046632</v>
      </c>
      <c r="M100" s="28">
        <f t="shared" si="35"/>
        <v>94239432</v>
      </c>
      <c r="N100" s="35">
        <v>16513490.756302522</v>
      </c>
      <c r="O100" s="35">
        <f t="shared" si="37"/>
        <v>3137563.2436974794</v>
      </c>
      <c r="P100" s="28">
        <v>19651054</v>
      </c>
      <c r="Q100" s="50">
        <f t="shared" si="30"/>
        <v>19651054</v>
      </c>
      <c r="R100" s="50">
        <f t="shared" si="31"/>
        <v>94239432</v>
      </c>
      <c r="S100" s="50">
        <f t="shared" si="32"/>
        <v>56945243</v>
      </c>
      <c r="T100" s="50">
        <f t="shared" si="22"/>
        <v>56945243</v>
      </c>
      <c r="U100" s="50">
        <f t="shared" si="38"/>
        <v>14236310.75</v>
      </c>
      <c r="V100" s="50">
        <f>+U100*H100</f>
        <v>42708932.25</v>
      </c>
    </row>
    <row r="101" spans="2:22">
      <c r="B101" s="78" t="s">
        <v>208</v>
      </c>
      <c r="C101" s="78"/>
      <c r="D101" s="78"/>
      <c r="E101" s="78"/>
      <c r="F101" s="78"/>
      <c r="G101" s="78"/>
      <c r="H101" s="52"/>
      <c r="I101" s="52"/>
      <c r="J101" s="52"/>
      <c r="K101" s="25">
        <f t="shared" ref="K101:P101" si="39">SUM(K5:K100)</f>
        <v>1008236579.1999998</v>
      </c>
      <c r="L101" s="25">
        <f t="shared" si="39"/>
        <v>120561569.06</v>
      </c>
      <c r="M101" s="25">
        <f t="shared" si="39"/>
        <v>1422282309.4599998</v>
      </c>
      <c r="N101" s="25">
        <f t="shared" si="39"/>
        <v>1387249983.0998728</v>
      </c>
      <c r="O101" s="25">
        <f t="shared" si="39"/>
        <v>79479642.207058832</v>
      </c>
      <c r="P101" s="25">
        <f t="shared" si="39"/>
        <v>1661987190.4456713</v>
      </c>
      <c r="T101" s="1"/>
      <c r="U101" s="25">
        <f>SUM(U5:U100)</f>
        <v>534911602.94999993</v>
      </c>
      <c r="V101" s="25">
        <f>SUM(V5:V100)</f>
        <v>1041298618.8599997</v>
      </c>
    </row>
    <row r="103" spans="2:22">
      <c r="V103" s="3"/>
    </row>
    <row r="104" spans="2:22">
      <c r="B104" s="40" t="s">
        <v>209</v>
      </c>
      <c r="C104" s="79" t="s">
        <v>210</v>
      </c>
      <c r="D104" s="79"/>
      <c r="E104" s="79"/>
      <c r="F104" s="79"/>
      <c r="G104" s="79"/>
      <c r="H104" s="79"/>
      <c r="I104" s="79"/>
      <c r="J104" s="79"/>
      <c r="K104" s="79"/>
      <c r="L104" s="79"/>
      <c r="M104" s="79"/>
      <c r="V104" s="3"/>
    </row>
    <row r="105" spans="2:22">
      <c r="V105" s="3"/>
    </row>
    <row r="106" spans="2:22">
      <c r="V106" s="63"/>
    </row>
  </sheetData>
  <sheetProtection algorithmName="SHA-512" hashValue="+3Q/cF6hFnapVU+cKZEp6uSlMR3CKGImjRDv9RWU0KOpIO1/FUfjClGMbbn4ON0/pxcjBXm62ovej1iDDrN2sA==" saltValue="2MV87XcnS7IN2hKeJct76w==" spinCount="100000" sheet="1" objects="1" scenarios="1"/>
  <mergeCells count="7">
    <mergeCell ref="N3:P3"/>
    <mergeCell ref="K3:M3"/>
    <mergeCell ref="B101:G101"/>
    <mergeCell ref="C104:M104"/>
    <mergeCell ref="K10:M10"/>
    <mergeCell ref="N10:P10"/>
    <mergeCell ref="B10:J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RUBROS</vt:lpstr>
      <vt:lpstr>ANALISIS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PS. LAURA JOHANA VILLA RODRIGUEZ</dc:creator>
  <cp:keywords/>
  <dc:description/>
  <cp:lastModifiedBy>PS. Laura Johana Villa Rodriguez</cp:lastModifiedBy>
  <cp:revision/>
  <dcterms:created xsi:type="dcterms:W3CDTF">2025-02-07T21:42:41Z</dcterms:created>
  <dcterms:modified xsi:type="dcterms:W3CDTF">2026-06-02T21:01:58Z</dcterms:modified>
  <cp:category/>
  <cp:contentStatus/>
</cp:coreProperties>
</file>