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Lenovo\Desktop\Maritza\2026\contratación\proceso fiducia\cargue neon\"/>
    </mc:Choice>
  </mc:AlternateContent>
  <xr:revisionPtr revIDLastSave="0" documentId="13_ncr:1_{CDA31C03-9E25-4742-B3BE-1C246E06A9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os Base" sheetId="5" r:id="rId1"/>
    <sheet name="2026 Fiducia" sheetId="6" r:id="rId2"/>
    <sheet name="FormaResumen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5" l="1"/>
  <c r="C44" i="5"/>
  <c r="B20" i="6"/>
  <c r="K52" i="6"/>
  <c r="D18" i="6" l="1"/>
  <c r="D7" i="6" l="1"/>
  <c r="B24" i="6"/>
  <c r="D24" i="6" s="1"/>
  <c r="B23" i="6"/>
  <c r="D23" i="6" s="1"/>
  <c r="B22" i="6"/>
  <c r="B21" i="6"/>
  <c r="B11" i="6"/>
  <c r="D11" i="6" s="1"/>
  <c r="B10" i="6"/>
  <c r="B9" i="6"/>
  <c r="F4" i="5"/>
  <c r="F18" i="5"/>
  <c r="D10" i="6" l="1"/>
  <c r="D9" i="6"/>
  <c r="D20" i="6"/>
  <c r="F2" i="5"/>
  <c r="F3" i="5"/>
  <c r="F5" i="5"/>
  <c r="F6" i="5"/>
  <c r="D12" i="6" l="1"/>
  <c r="F9" i="6"/>
  <c r="D22" i="6"/>
  <c r="J18" i="6"/>
  <c r="D44" i="6"/>
  <c r="A33" i="6" l="1"/>
  <c r="F24" i="5"/>
  <c r="B24" i="5"/>
  <c r="C34" i="5"/>
  <c r="F5" i="9" l="1"/>
  <c r="F25" i="5" l="1"/>
  <c r="E34" i="5"/>
  <c r="D34" i="5"/>
  <c r="C9" i="9" l="1"/>
  <c r="F27" i="5"/>
  <c r="D23" i="5"/>
  <c r="F23" i="5" s="1"/>
  <c r="F11" i="5"/>
  <c r="F20" i="6" s="1"/>
  <c r="J4" i="5"/>
  <c r="E44" i="5"/>
  <c r="D44" i="5"/>
  <c r="G3" i="6" l="1"/>
  <c r="M22" i="6"/>
  <c r="F8" i="5" l="1"/>
  <c r="F22" i="6"/>
  <c r="B25" i="5"/>
  <c r="B26" i="5" l="1"/>
  <c r="J6" i="5" l="1"/>
  <c r="F7" i="5" l="1"/>
  <c r="E22" i="6" s="1"/>
  <c r="F4" i="9" l="1"/>
  <c r="F6" i="9" s="1"/>
  <c r="J7" i="6" l="1"/>
  <c r="F9" i="5"/>
  <c r="F10" i="5"/>
  <c r="J22" i="6"/>
  <c r="K22" i="6" s="1"/>
  <c r="J9" i="6" l="1"/>
  <c r="F12" i="5"/>
  <c r="G9" i="6"/>
  <c r="E9" i="6" l="1"/>
  <c r="D25" i="6"/>
  <c r="K23" i="6"/>
  <c r="M20" i="6"/>
  <c r="J20" i="6"/>
  <c r="K20" i="6" s="1"/>
  <c r="M24" i="6"/>
  <c r="K24" i="6"/>
  <c r="F21" i="6"/>
  <c r="E21" i="6"/>
  <c r="K21" i="6"/>
  <c r="M21" i="6"/>
  <c r="M23" i="6"/>
  <c r="B25" i="6"/>
  <c r="K11" i="6"/>
  <c r="M11" i="6"/>
  <c r="M9" i="6"/>
  <c r="B12" i="6"/>
  <c r="G1" i="6" s="1"/>
  <c r="M10" i="6"/>
  <c r="J10" i="6"/>
  <c r="K10" i="6" s="1"/>
  <c r="D41" i="6" l="1"/>
  <c r="A34" i="6"/>
  <c r="G20" i="6"/>
  <c r="G25" i="6" s="1"/>
  <c r="J12" i="6"/>
  <c r="F23" i="6"/>
  <c r="E23" i="6"/>
  <c r="M25" i="6"/>
  <c r="E20" i="6"/>
  <c r="K25" i="6"/>
  <c r="K27" i="6" s="1"/>
  <c r="F24" i="6"/>
  <c r="J25" i="6"/>
  <c r="E34" i="6" s="1"/>
  <c r="E24" i="6"/>
  <c r="M12" i="6"/>
  <c r="E10" i="6"/>
  <c r="F10" i="6"/>
  <c r="K9" i="6"/>
  <c r="K12" i="6" s="1"/>
  <c r="K14" i="6" s="1"/>
  <c r="F11" i="6"/>
  <c r="E11" i="6"/>
  <c r="C37" i="6" l="1"/>
  <c r="C34" i="6"/>
  <c r="D40" i="6"/>
  <c r="E33" i="6"/>
  <c r="E35" i="6" s="1"/>
  <c r="F12" i="6"/>
  <c r="D28" i="6"/>
  <c r="D15" i="6"/>
  <c r="F25" i="6"/>
  <c r="E25" i="6"/>
  <c r="E12" i="6"/>
  <c r="K49" i="6" l="1"/>
  <c r="C36" i="6"/>
  <c r="F33" i="6"/>
  <c r="H20" i="6"/>
  <c r="H25" i="6" s="1"/>
  <c r="H9" i="6"/>
  <c r="H12" i="6" s="1"/>
  <c r="G12" i="6"/>
  <c r="C33" i="6" l="1"/>
  <c r="D33" i="6" s="1"/>
  <c r="K50" i="6"/>
  <c r="K55" i="6" s="1"/>
  <c r="D42" i="6"/>
  <c r="D43" i="6" s="1"/>
  <c r="D45" i="6" s="1"/>
  <c r="C35" i="6"/>
  <c r="E36" i="6" s="1"/>
  <c r="E14" i="6"/>
  <c r="E15" i="6" s="1"/>
  <c r="E27" i="6"/>
  <c r="E28" i="6" s="1"/>
  <c r="G5" i="9"/>
  <c r="H5" i="9" s="1"/>
  <c r="G4" i="9"/>
  <c r="H4" i="9" s="1"/>
  <c r="K48" i="6" l="1"/>
  <c r="C5" i="9"/>
  <c r="D34" i="6"/>
  <c r="D35" i="6" s="1"/>
  <c r="G6" i="9"/>
  <c r="H6" i="9" s="1"/>
  <c r="F34" i="6" l="1"/>
  <c r="F35" i="6" s="1"/>
  <c r="K51" i="6" s="1"/>
  <c r="K53" i="6" l="1"/>
  <c r="C4" i="9"/>
  <c r="C6" i="9" s="1"/>
  <c r="C7" i="9" s="1"/>
  <c r="C10" i="9" l="1"/>
  <c r="K1" i="6" s="1"/>
</calcChain>
</file>

<file path=xl/sharedStrings.xml><?xml version="1.0" encoding="utf-8"?>
<sst xmlns="http://schemas.openxmlformats.org/spreadsheetml/2006/main" count="141" uniqueCount="102">
  <si>
    <t>Honorarios</t>
  </si>
  <si>
    <t>Acreditación en Alta Calidad</t>
  </si>
  <si>
    <t xml:space="preserve">Registro Calificado </t>
  </si>
  <si>
    <t>Total</t>
  </si>
  <si>
    <t>IVA</t>
  </si>
  <si>
    <t>Dólar</t>
  </si>
  <si>
    <t>Gastos de viaje internacionales</t>
  </si>
  <si>
    <t xml:space="preserve">Tiquetes internacionales </t>
  </si>
  <si>
    <t>Tiquetes nacionales</t>
  </si>
  <si>
    <t>Días pernoctados</t>
  </si>
  <si>
    <t>Comisión fiduciaria</t>
  </si>
  <si>
    <t>Gastos de desplazamiento</t>
  </si>
  <si>
    <t>N° de PARES</t>
  </si>
  <si>
    <t>Pares Coordinadores</t>
  </si>
  <si>
    <t>Pares Académicos</t>
  </si>
  <si>
    <t>Pares Internacionales</t>
  </si>
  <si>
    <t>Pares RC</t>
  </si>
  <si>
    <t>Pares IPS</t>
  </si>
  <si>
    <t>Pares I&amp;V</t>
  </si>
  <si>
    <t xml:space="preserve">REGISTRO CALIFICADO </t>
  </si>
  <si>
    <t>ACREDITACIÓN EN ALTA CALIDAD</t>
  </si>
  <si>
    <t>Porción terrestre</t>
  </si>
  <si>
    <t>Valor</t>
  </si>
  <si>
    <t>Porción transporte terrestre</t>
  </si>
  <si>
    <t>Total RC</t>
  </si>
  <si>
    <t xml:space="preserve">Recursos en Administración </t>
  </si>
  <si>
    <t>Total CNA</t>
  </si>
  <si>
    <t>N° de Pares</t>
  </si>
  <si>
    <t>Totales</t>
  </si>
  <si>
    <t>TOTAL COMISIÓN FIDUCIA</t>
  </si>
  <si>
    <t>TOTAL HONORARIOS PARES</t>
  </si>
  <si>
    <t>TOTAL GASTOS VIAJE PARES</t>
  </si>
  <si>
    <t>Presupuesto asignado</t>
  </si>
  <si>
    <t>Gestión</t>
  </si>
  <si>
    <t>Número total de PARES CNA</t>
  </si>
  <si>
    <t>Rezago Pares CNA</t>
  </si>
  <si>
    <t>Rezago Pares RC</t>
  </si>
  <si>
    <t xml:space="preserve">Fiducia </t>
  </si>
  <si>
    <t>Honorarios y gastos de viaje</t>
  </si>
  <si>
    <t xml:space="preserve">Total </t>
  </si>
  <si>
    <t>Subtotal</t>
  </si>
  <si>
    <t>Rubro</t>
  </si>
  <si>
    <t>Número de total de PARES RC</t>
  </si>
  <si>
    <t>Comisiones reposición por devolución CNA</t>
  </si>
  <si>
    <t>Comisiones reposición por devolución RC</t>
  </si>
  <si>
    <t>Atendidos</t>
  </si>
  <si>
    <t>Rezago</t>
  </si>
  <si>
    <t>Proyección de trámites a atender</t>
  </si>
  <si>
    <t>CNA</t>
  </si>
  <si>
    <t>RC</t>
  </si>
  <si>
    <t>Total Pares</t>
  </si>
  <si>
    <t>Recursos asignados Proceso</t>
  </si>
  <si>
    <t>TOTAL</t>
  </si>
  <si>
    <t xml:space="preserve">Meses año </t>
  </si>
  <si>
    <t>Número de proceso CNA</t>
  </si>
  <si>
    <t>UVT</t>
  </si>
  <si>
    <t>Factor</t>
  </si>
  <si>
    <t>presuopuesto interventoría</t>
  </si>
  <si>
    <t>Datos iniciales 2025</t>
  </si>
  <si>
    <t>Pares Trámites Institucionales</t>
  </si>
  <si>
    <t>Pares condiciones de Prerradicado</t>
  </si>
  <si>
    <t>Operación MEN 2025</t>
  </si>
  <si>
    <t xml:space="preserve">Total Casos </t>
  </si>
  <si>
    <t>Costo 2025
Sin IVA</t>
  </si>
  <si>
    <t>Saldo</t>
  </si>
  <si>
    <t>Cantidad de transacciones</t>
  </si>
  <si>
    <t>Número proyectado de transacciones por pago de gastos de viaje</t>
  </si>
  <si>
    <t>Número proyectado de transacciones adicionales</t>
  </si>
  <si>
    <t>Total transacciones</t>
  </si>
  <si>
    <t xml:space="preserve">Valor unitario por transacción </t>
  </si>
  <si>
    <t>TOTAL comisión fiducia</t>
  </si>
  <si>
    <t>Número proyectado de transacciones por pago de honorarios</t>
  </si>
  <si>
    <t>Pares RC Prerradicado</t>
  </si>
  <si>
    <t>Pares RC Radicado</t>
  </si>
  <si>
    <t>Número de procesos RC, T. Institucionales e I&amp;V</t>
  </si>
  <si>
    <t>Detalle</t>
  </si>
  <si>
    <t>Centro de costo</t>
  </si>
  <si>
    <t>PRESENCIALES Con gastos de desplazamiento</t>
  </si>
  <si>
    <t>VIRTUALES sin gastos de desplazamiento</t>
  </si>
  <si>
    <t>Proyección total pares 2026 CNA</t>
  </si>
  <si>
    <t>Proyección total pares 2026 RC</t>
  </si>
  <si>
    <t>Costo unitario 2026</t>
  </si>
  <si>
    <t>Presupuesto asignado 2026</t>
  </si>
  <si>
    <t>Gasto de viaje CNA-DECRETO 0314 DEL 25 DE MARZO DE 2026</t>
  </si>
  <si>
    <t>Gasto de viaje RC-DECRETO 0314 DEL 25 DE MARZO DE 2026</t>
  </si>
  <si>
    <t xml:space="preserve">Concepto </t>
  </si>
  <si>
    <t>Cantidad</t>
  </si>
  <si>
    <t xml:space="preserve"> vigencia 2026</t>
  </si>
  <si>
    <t>Recursos entregados en adminsitración</t>
  </si>
  <si>
    <t>Gasto de viajes - 2026 DECRETO 0314 DEL 25 DE MARZO DE 2026- RC - I.V - IPS</t>
  </si>
  <si>
    <t>Gasto de viajes - 2026 DECRETO 0314 DEL 25 DE MARZO DE 2026</t>
  </si>
  <si>
    <t>Gasto de viajes - 2026 DECRETO 0314 DEL 25 DE MARZO DE 2026 - Trámites Institucionales</t>
  </si>
  <si>
    <t>Gasto de viajes - 2026 Resolución No.023832 del 19 de diciembre de 2022  - (U$200 dólares)</t>
  </si>
  <si>
    <t xml:space="preserve">Par Internacional (1500 Dolares)-Resolución No.023832 del 19 de diciembre de 2022 </t>
  </si>
  <si>
    <t xml:space="preserve">Pares academicos (UVT)-Resolución No.023832 del 19 de diciembre de 2022 </t>
  </si>
  <si>
    <t xml:space="preserve">Par Institucional o coordinador (119 UVT)-Resolución No.023832 del 19 de diciembre de 2022 </t>
  </si>
  <si>
    <t xml:space="preserve">Pares academicos RC Etaapa de Radicado y Prerradicado (UVT)-Resolución No.023832 del 19 de diciembre de 2022 </t>
  </si>
  <si>
    <t xml:space="preserve">Pares Institucionales (UVT)-Resolución No.023832 del 19 de diciembre de 2022 </t>
  </si>
  <si>
    <t xml:space="preserve">Pares IPS (UVT)-Resolución No.023832 del 19 de diciembre de 2022 </t>
  </si>
  <si>
    <t xml:space="preserve">Pares I&amp;V (UVT)-Resolución No.023832 del 19 de diciembre de 2022 </t>
  </si>
  <si>
    <t>TOTAL VIGENCIA 2026</t>
  </si>
  <si>
    <t>2026 Necesidad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</si>
</sst>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"/>
    <numFmt numFmtId="165" formatCode="&quot;$&quot;#,##0.00"/>
    <numFmt numFmtId="166" formatCode="0.0%\ &quot;IVA&quot;"/>
    <numFmt numFmtId="167" formatCode="0.0"/>
    <numFmt numFmtId="168" formatCode="_-* #,##0.00_-;\-* #,##0.00_-;_-* &quot;-&quot;_-;_-@_-"/>
    <numFmt numFmtId="169" formatCode="0.00\ &quot;# de transacciones fiducia&quot;"/>
    <numFmt numFmtId="170" formatCode="0.000%"/>
    <numFmt numFmtId="171" formatCode="&quot;$&quot;\ #,##0.00"/>
    <numFmt numFmtId="172" formatCode="0.0%"/>
    <numFmt numFmtId="173" formatCode="0.00%\ &quot;Incremento comisión fiduciaria&quot;"/>
    <numFmt numFmtId="174" formatCode="0.00%\ &quot;Incremento gastos de viaje&quot;"/>
    <numFmt numFmtId="176" formatCode="_-&quot;$&quot;* #,##0_-;\-&quot;$&quot;* #,##0_-;_-&quot;$&quot;* &quot;-&quot;_-;_-@_-"/>
    <numFmt numFmtId="177" formatCode="0.00%\ &quot;Incremento tiquetes&quot;"/>
    <numFmt numFmtId="178" formatCode="&quot;$&quot;\ #,##0.00\ &quot;TMR&quot;"/>
  </numFmts>
  <fonts count="30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00"/>
      <name val="Arial MT"/>
    </font>
    <font>
      <b/>
      <sz val="11"/>
      <name val="Calibri"/>
      <family val="2"/>
      <scheme val="minor"/>
    </font>
    <font>
      <b/>
      <sz val="10"/>
      <color rgb="FF000000"/>
      <name val="Arial MT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0000"/>
      <name val="Arial MT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6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000000"/>
      <name val="Arial MT"/>
    </font>
    <font>
      <b/>
      <sz val="24"/>
      <color theme="1"/>
      <name val="Calibri"/>
      <family val="2"/>
      <scheme val="minor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 MT"/>
    </font>
    <font>
      <b/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7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double">
        <color rgb="FFFF0000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rgb="FFFF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rgb="FFFF0000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ouble">
        <color rgb="FFFF0000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rgb="FFFF0000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rgb="FFFF0000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rgb="FFFF0000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double">
        <color rgb="FFFF0000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double">
        <color rgb="FFFF0000"/>
      </top>
      <bottom style="thin">
        <color auto="1"/>
      </bottom>
      <diagonal/>
    </border>
    <border>
      <left style="medium">
        <color auto="1"/>
      </left>
      <right/>
      <top style="double">
        <color rgb="FFFF0000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double">
        <color rgb="FFFF0000"/>
      </top>
      <bottom style="thin">
        <color auto="1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6" fontId="2" fillId="0" borderId="0" applyFont="0" applyFill="0" applyBorder="0" applyAlignment="0" applyProtection="0"/>
  </cellStyleXfs>
  <cellXfs count="328">
    <xf numFmtId="0" fontId="0" fillId="0" borderId="0" xfId="0"/>
    <xf numFmtId="0" fontId="5" fillId="4" borderId="1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1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167" fontId="5" fillId="4" borderId="1" xfId="0" applyNumberFormat="1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3" fillId="6" borderId="23" xfId="0" applyFont="1" applyFill="1" applyBorder="1" applyAlignment="1">
      <alignment horizontal="center" vertical="center"/>
    </xf>
    <xf numFmtId="0" fontId="3" fillId="6" borderId="24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9" borderId="1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19" xfId="0" applyFont="1" applyFill="1" applyBorder="1" applyAlignment="1">
      <alignment horizontal="center" vertical="center" wrapText="1"/>
    </xf>
    <xf numFmtId="168" fontId="7" fillId="4" borderId="0" xfId="1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23" xfId="0" applyBorder="1" applyAlignment="1">
      <alignment horizontal="right" vertical="center"/>
    </xf>
    <xf numFmtId="0" fontId="12" fillId="10" borderId="16" xfId="0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 wrapText="1"/>
    </xf>
    <xf numFmtId="3" fontId="12" fillId="7" borderId="7" xfId="0" applyNumberFormat="1" applyFont="1" applyFill="1" applyBorder="1" applyAlignment="1">
      <alignment horizontal="center" vertical="center" wrapText="1"/>
    </xf>
    <xf numFmtId="3" fontId="12" fillId="10" borderId="7" xfId="0" applyNumberFormat="1" applyFont="1" applyFill="1" applyBorder="1" applyAlignment="1">
      <alignment horizontal="center" vertical="center" wrapText="1"/>
    </xf>
    <xf numFmtId="0" fontId="8" fillId="0" borderId="39" xfId="0" applyFont="1" applyBorder="1" applyAlignment="1">
      <alignment horizontal="right" vertical="center" wrapText="1"/>
    </xf>
    <xf numFmtId="165" fontId="0" fillId="0" borderId="18" xfId="0" applyNumberFormat="1" applyBorder="1" applyAlignment="1">
      <alignment vertical="center"/>
    </xf>
    <xf numFmtId="165" fontId="0" fillId="0" borderId="30" xfId="0" applyNumberFormat="1" applyBorder="1" applyAlignment="1">
      <alignment vertical="center"/>
    </xf>
    <xf numFmtId="165" fontId="8" fillId="0" borderId="33" xfId="0" applyNumberFormat="1" applyFont="1" applyBorder="1" applyAlignment="1">
      <alignment vertical="center"/>
    </xf>
    <xf numFmtId="165" fontId="9" fillId="0" borderId="41" xfId="0" applyNumberFormat="1" applyFont="1" applyBorder="1" applyAlignment="1">
      <alignment horizontal="right" vertical="center"/>
    </xf>
    <xf numFmtId="9" fontId="11" fillId="2" borderId="11" xfId="0" applyNumberFormat="1" applyFont="1" applyFill="1" applyBorder="1" applyAlignment="1">
      <alignment horizontal="center" vertical="center"/>
    </xf>
    <xf numFmtId="9" fontId="10" fillId="5" borderId="11" xfId="0" applyNumberFormat="1" applyFont="1" applyFill="1" applyBorder="1" applyAlignment="1">
      <alignment horizontal="center" vertical="center"/>
    </xf>
    <xf numFmtId="165" fontId="9" fillId="0" borderId="16" xfId="0" applyNumberFormat="1" applyFont="1" applyBorder="1" applyAlignment="1">
      <alignment horizontal="right" vertical="center"/>
    </xf>
    <xf numFmtId="165" fontId="9" fillId="7" borderId="16" xfId="0" applyNumberFormat="1" applyFont="1" applyFill="1" applyBorder="1" applyAlignment="1">
      <alignment vertical="center"/>
    </xf>
    <xf numFmtId="3" fontId="0" fillId="0" borderId="39" xfId="0" applyNumberFormat="1" applyBorder="1" applyAlignment="1">
      <alignment horizontal="center" vertical="center"/>
    </xf>
    <xf numFmtId="3" fontId="0" fillId="0" borderId="44" xfId="0" applyNumberFormat="1" applyBorder="1" applyAlignment="1">
      <alignment horizontal="center" vertical="center"/>
    </xf>
    <xf numFmtId="9" fontId="7" fillId="2" borderId="11" xfId="0" applyNumberFormat="1" applyFont="1" applyFill="1" applyBorder="1" applyAlignment="1">
      <alignment horizontal="center" vertical="center"/>
    </xf>
    <xf numFmtId="9" fontId="7" fillId="2" borderId="45" xfId="0" applyNumberFormat="1" applyFont="1" applyFill="1" applyBorder="1" applyAlignment="1">
      <alignment horizontal="center" vertical="center"/>
    </xf>
    <xf numFmtId="0" fontId="7" fillId="9" borderId="46" xfId="0" applyFont="1" applyFill="1" applyBorder="1" applyAlignment="1">
      <alignment horizontal="center" vertical="center" wrapText="1"/>
    </xf>
    <xf numFmtId="3" fontId="0" fillId="0" borderId="48" xfId="0" applyNumberFormat="1" applyBorder="1" applyAlignment="1">
      <alignment vertical="center"/>
    </xf>
    <xf numFmtId="3" fontId="0" fillId="0" borderId="51" xfId="0" applyNumberFormat="1" applyBorder="1" applyAlignment="1">
      <alignment vertical="center"/>
    </xf>
    <xf numFmtId="3" fontId="8" fillId="0" borderId="52" xfId="0" applyNumberFormat="1" applyFont="1" applyBorder="1" applyAlignment="1">
      <alignment vertical="center"/>
    </xf>
    <xf numFmtId="165" fontId="8" fillId="9" borderId="33" xfId="0" applyNumberFormat="1" applyFont="1" applyFill="1" applyBorder="1" applyAlignment="1">
      <alignment vertical="center"/>
    </xf>
    <xf numFmtId="165" fontId="0" fillId="0" borderId="39" xfId="0" applyNumberFormat="1" applyBorder="1" applyAlignment="1">
      <alignment vertical="center"/>
    </xf>
    <xf numFmtId="165" fontId="0" fillId="0" borderId="40" xfId="0" applyNumberFormat="1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165" fontId="0" fillId="0" borderId="43" xfId="0" applyNumberFormat="1" applyBorder="1" applyAlignment="1">
      <alignment vertical="center"/>
    </xf>
    <xf numFmtId="0" fontId="3" fillId="6" borderId="55" xfId="0" applyFont="1" applyFill="1" applyBorder="1" applyAlignment="1">
      <alignment horizontal="center" vertical="center"/>
    </xf>
    <xf numFmtId="166" fontId="6" fillId="0" borderId="53" xfId="0" applyNumberFormat="1" applyFont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/>
    </xf>
    <xf numFmtId="165" fontId="0" fillId="0" borderId="43" xfId="0" applyNumberFormat="1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165" fontId="0" fillId="0" borderId="40" xfId="0" applyNumberFormat="1" applyBorder="1" applyAlignment="1">
      <alignment horizontal="right" vertical="center"/>
    </xf>
    <xf numFmtId="165" fontId="0" fillId="0" borderId="16" xfId="0" applyNumberFormat="1" applyBorder="1" applyAlignment="1">
      <alignment horizontal="right" vertical="center"/>
    </xf>
    <xf numFmtId="3" fontId="7" fillId="4" borderId="31" xfId="0" applyNumberFormat="1" applyFont="1" applyFill="1" applyBorder="1" applyAlignment="1">
      <alignment horizontal="center" vertical="center"/>
    </xf>
    <xf numFmtId="3" fontId="1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9" xfId="0" applyFont="1" applyBorder="1" applyAlignment="1">
      <alignment horizontal="right" vertical="center"/>
    </xf>
    <xf numFmtId="41" fontId="21" fillId="9" borderId="49" xfId="1" applyFont="1" applyFill="1" applyBorder="1" applyAlignment="1">
      <alignment horizontal="center" vertical="center"/>
    </xf>
    <xf numFmtId="0" fontId="5" fillId="0" borderId="18" xfId="0" applyFont="1" applyBorder="1" applyAlignment="1">
      <alignment vertical="center" wrapText="1"/>
    </xf>
    <xf numFmtId="0" fontId="21" fillId="4" borderId="19" xfId="0" applyFont="1" applyFill="1" applyBorder="1" applyAlignment="1">
      <alignment horizontal="right" vertical="center"/>
    </xf>
    <xf numFmtId="165" fontId="5" fillId="4" borderId="4" xfId="1" applyNumberFormat="1" applyFont="1" applyFill="1" applyBorder="1" applyAlignment="1">
      <alignment vertical="center" wrapText="1"/>
    </xf>
    <xf numFmtId="165" fontId="5" fillId="4" borderId="1" xfId="1" applyNumberFormat="1" applyFont="1" applyFill="1" applyBorder="1" applyAlignment="1">
      <alignment horizontal="right" vertical="center" wrapText="1"/>
    </xf>
    <xf numFmtId="0" fontId="7" fillId="9" borderId="17" xfId="0" applyFont="1" applyFill="1" applyBorder="1" applyAlignment="1">
      <alignment horizontal="center" vertical="center"/>
    </xf>
    <xf numFmtId="165" fontId="5" fillId="4" borderId="18" xfId="1" applyNumberFormat="1" applyFont="1" applyFill="1" applyBorder="1" applyAlignment="1">
      <alignment horizontal="right" vertical="center"/>
    </xf>
    <xf numFmtId="0" fontId="8" fillId="0" borderId="58" xfId="0" applyFont="1" applyBorder="1" applyAlignment="1">
      <alignment horizontal="right" vertical="center" wrapText="1"/>
    </xf>
    <xf numFmtId="3" fontId="8" fillId="9" borderId="59" xfId="0" applyNumberFormat="1" applyFont="1" applyFill="1" applyBorder="1" applyAlignment="1">
      <alignment horizontal="center" vertical="center"/>
    </xf>
    <xf numFmtId="0" fontId="8" fillId="0" borderId="43" xfId="0" applyFont="1" applyBorder="1" applyAlignment="1">
      <alignment horizontal="right" vertical="center" wrapText="1"/>
    </xf>
    <xf numFmtId="0" fontId="8" fillId="0" borderId="40" xfId="0" applyFont="1" applyBorder="1" applyAlignment="1">
      <alignment horizontal="right" vertical="center" wrapText="1"/>
    </xf>
    <xf numFmtId="0" fontId="0" fillId="0" borderId="9" xfId="0" applyBorder="1" applyAlignment="1">
      <alignment vertical="center"/>
    </xf>
    <xf numFmtId="170" fontId="16" fillId="2" borderId="43" xfId="0" applyNumberFormat="1" applyFont="1" applyFill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8" xfId="0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0" fontId="16" fillId="2" borderId="16" xfId="0" applyNumberFormat="1" applyFont="1" applyFill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3" fillId="11" borderId="23" xfId="0" applyFont="1" applyFill="1" applyBorder="1" applyAlignment="1">
      <alignment horizontal="center" vertical="center"/>
    </xf>
    <xf numFmtId="0" fontId="3" fillId="11" borderId="24" xfId="0" applyFont="1" applyFill="1" applyBorder="1" applyAlignment="1">
      <alignment horizontal="center" vertical="center"/>
    </xf>
    <xf numFmtId="0" fontId="3" fillId="11" borderId="57" xfId="0" applyFont="1" applyFill="1" applyBorder="1" applyAlignment="1">
      <alignment horizontal="center" vertical="center"/>
    </xf>
    <xf numFmtId="3" fontId="3" fillId="0" borderId="61" xfId="0" applyNumberFormat="1" applyFont="1" applyBorder="1" applyAlignment="1">
      <alignment horizontal="center" vertical="center"/>
    </xf>
    <xf numFmtId="0" fontId="14" fillId="2" borderId="8" xfId="0" applyFont="1" applyFill="1" applyBorder="1" applyAlignment="1">
      <alignment vertical="center"/>
    </xf>
    <xf numFmtId="0" fontId="7" fillId="0" borderId="16" xfId="0" applyFont="1" applyBorder="1" applyAlignment="1">
      <alignment horizontal="right" vertical="center" wrapText="1"/>
    </xf>
    <xf numFmtId="3" fontId="0" fillId="0" borderId="62" xfId="0" applyNumberFormat="1" applyBorder="1" applyAlignment="1">
      <alignment horizontal="center" vertical="center"/>
    </xf>
    <xf numFmtId="0" fontId="0" fillId="6" borderId="43" xfId="0" applyFill="1" applyBorder="1" applyAlignment="1">
      <alignment vertical="center"/>
    </xf>
    <xf numFmtId="171" fontId="0" fillId="0" borderId="43" xfId="0" applyNumberFormat="1" applyBorder="1" applyAlignment="1">
      <alignment vertical="center"/>
    </xf>
    <xf numFmtId="0" fontId="0" fillId="6" borderId="39" xfId="0" applyFill="1" applyBorder="1" applyAlignment="1">
      <alignment vertical="center"/>
    </xf>
    <xf numFmtId="171" fontId="0" fillId="0" borderId="58" xfId="0" applyNumberFormat="1" applyBorder="1" applyAlignment="1">
      <alignment vertical="center"/>
    </xf>
    <xf numFmtId="0" fontId="0" fillId="0" borderId="10" xfId="0" applyBorder="1" applyAlignment="1">
      <alignment horizontal="right" vertical="center"/>
    </xf>
    <xf numFmtId="0" fontId="20" fillId="0" borderId="0" xfId="0" applyFon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39" xfId="0" applyFont="1" applyBorder="1" applyAlignment="1">
      <alignment vertical="center" wrapText="1"/>
    </xf>
    <xf numFmtId="0" fontId="5" fillId="4" borderId="44" xfId="0" applyFont="1" applyFill="1" applyBorder="1" applyAlignment="1">
      <alignment vertical="center" wrapText="1"/>
    </xf>
    <xf numFmtId="0" fontId="5" fillId="4" borderId="39" xfId="0" applyFont="1" applyFill="1" applyBorder="1" applyAlignment="1">
      <alignment vertical="center" wrapText="1"/>
    </xf>
    <xf numFmtId="3" fontId="8" fillId="0" borderId="1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5" fillId="0" borderId="21" xfId="0" applyFont="1" applyBorder="1" applyAlignment="1">
      <alignment vertical="center" wrapText="1"/>
    </xf>
    <xf numFmtId="3" fontId="5" fillId="4" borderId="20" xfId="0" applyNumberFormat="1" applyFont="1" applyFill="1" applyBorder="1" applyAlignment="1">
      <alignment horizontal="center" vertical="center"/>
    </xf>
    <xf numFmtId="165" fontId="5" fillId="4" borderId="21" xfId="1" applyNumberFormat="1" applyFont="1" applyFill="1" applyBorder="1" applyAlignment="1">
      <alignment vertical="center"/>
    </xf>
    <xf numFmtId="3" fontId="5" fillId="4" borderId="20" xfId="1" applyNumberFormat="1" applyFont="1" applyFill="1" applyBorder="1" applyAlignment="1">
      <alignment horizontal="center" vertical="center"/>
    </xf>
    <xf numFmtId="164" fontId="5" fillId="4" borderId="4" xfId="1" applyNumberFormat="1" applyFont="1" applyFill="1" applyBorder="1" applyAlignment="1">
      <alignment vertical="center" wrapText="1"/>
    </xf>
    <xf numFmtId="3" fontId="5" fillId="4" borderId="13" xfId="0" applyNumberFormat="1" applyFont="1" applyFill="1" applyBorder="1" applyAlignment="1">
      <alignment horizontal="center" vertical="center"/>
    </xf>
    <xf numFmtId="3" fontId="5" fillId="4" borderId="13" xfId="1" applyNumberFormat="1" applyFont="1" applyFill="1" applyBorder="1" applyAlignment="1">
      <alignment horizontal="center" vertical="center"/>
    </xf>
    <xf numFmtId="3" fontId="21" fillId="4" borderId="31" xfId="0" applyNumberFormat="1" applyFont="1" applyFill="1" applyBorder="1" applyAlignment="1">
      <alignment horizontal="center" vertical="center"/>
    </xf>
    <xf numFmtId="3" fontId="21" fillId="9" borderId="31" xfId="0" applyNumberFormat="1" applyFont="1" applyFill="1" applyBorder="1" applyAlignment="1">
      <alignment horizontal="center" vertical="center"/>
    </xf>
    <xf numFmtId="165" fontId="21" fillId="9" borderId="32" xfId="1" applyNumberFormat="1" applyFont="1" applyFill="1" applyBorder="1" applyAlignment="1">
      <alignment vertical="center"/>
    </xf>
    <xf numFmtId="165" fontId="21" fillId="9" borderId="33" xfId="1" applyNumberFormat="1" applyFont="1" applyFill="1" applyBorder="1" applyAlignment="1">
      <alignment vertical="center"/>
    </xf>
    <xf numFmtId="165" fontId="21" fillId="9" borderId="33" xfId="1" applyNumberFormat="1" applyFont="1" applyFill="1" applyBorder="1" applyAlignment="1">
      <alignment horizontal="right" vertical="center"/>
    </xf>
    <xf numFmtId="168" fontId="21" fillId="4" borderId="0" xfId="1" applyNumberFormat="1" applyFont="1" applyFill="1" applyBorder="1" applyAlignment="1">
      <alignment horizontal="left" vertical="center" wrapText="1"/>
    </xf>
    <xf numFmtId="3" fontId="21" fillId="5" borderId="31" xfId="0" applyNumberFormat="1" applyFont="1" applyFill="1" applyBorder="1" applyAlignment="1">
      <alignment horizontal="center" vertical="center"/>
    </xf>
    <xf numFmtId="164" fontId="21" fillId="5" borderId="32" xfId="1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3" fontId="21" fillId="7" borderId="28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right" vertical="center"/>
    </xf>
    <xf numFmtId="165" fontId="4" fillId="7" borderId="7" xfId="0" applyNumberFormat="1" applyFont="1" applyFill="1" applyBorder="1" applyAlignment="1">
      <alignment vertical="center"/>
    </xf>
    <xf numFmtId="0" fontId="5" fillId="4" borderId="21" xfId="0" applyFont="1" applyFill="1" applyBorder="1" applyAlignment="1">
      <alignment vertical="center" wrapText="1"/>
    </xf>
    <xf numFmtId="164" fontId="5" fillId="4" borderId="18" xfId="1" applyNumberFormat="1" applyFont="1" applyFill="1" applyBorder="1" applyAlignment="1">
      <alignment vertical="center" wrapText="1"/>
    </xf>
    <xf numFmtId="4" fontId="0" fillId="0" borderId="0" xfId="0" applyNumberFormat="1" applyAlignment="1">
      <alignment vertical="center"/>
    </xf>
    <xf numFmtId="0" fontId="5" fillId="4" borderId="18" xfId="0" applyFont="1" applyFill="1" applyBorder="1" applyAlignment="1">
      <alignment vertical="center" wrapText="1"/>
    </xf>
    <xf numFmtId="165" fontId="21" fillId="9" borderId="32" xfId="1" applyNumberFormat="1" applyFont="1" applyFill="1" applyBorder="1" applyAlignment="1">
      <alignment horizontal="right" vertical="center"/>
    </xf>
    <xf numFmtId="41" fontId="21" fillId="9" borderId="28" xfId="1" applyFont="1" applyFill="1" applyBorder="1" applyAlignment="1">
      <alignment horizontal="center" vertical="center"/>
    </xf>
    <xf numFmtId="3" fontId="21" fillId="10" borderId="28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vertical="center"/>
    </xf>
    <xf numFmtId="43" fontId="1" fillId="0" borderId="0" xfId="0" applyNumberFormat="1" applyFont="1" applyAlignment="1">
      <alignment vertical="center"/>
    </xf>
    <xf numFmtId="165" fontId="4" fillId="10" borderId="7" xfId="0" applyNumberFormat="1" applyFont="1" applyFill="1" applyBorder="1" applyAlignment="1">
      <alignment vertical="center"/>
    </xf>
    <xf numFmtId="169" fontId="7" fillId="9" borderId="37" xfId="0" applyNumberFormat="1" applyFont="1" applyFill="1" applyBorder="1" applyAlignment="1">
      <alignment horizontal="center" vertical="center"/>
    </xf>
    <xf numFmtId="169" fontId="7" fillId="9" borderId="38" xfId="0" applyNumberFormat="1" applyFont="1" applyFill="1" applyBorder="1" applyAlignment="1">
      <alignment horizontal="center" vertical="center"/>
    </xf>
    <xf numFmtId="169" fontId="7" fillId="5" borderId="50" xfId="0" applyNumberFormat="1" applyFont="1" applyFill="1" applyBorder="1" applyAlignment="1">
      <alignment horizontal="center" vertical="center"/>
    </xf>
    <xf numFmtId="169" fontId="7" fillId="5" borderId="38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3" fontId="18" fillId="0" borderId="0" xfId="0" applyNumberFormat="1" applyFont="1" applyAlignment="1">
      <alignment vertical="center"/>
    </xf>
    <xf numFmtId="165" fontId="5" fillId="4" borderId="1" xfId="1" applyNumberFormat="1" applyFont="1" applyFill="1" applyBorder="1" applyAlignment="1">
      <alignment vertical="center" wrapText="1"/>
    </xf>
    <xf numFmtId="165" fontId="5" fillId="4" borderId="18" xfId="1" applyNumberFormat="1" applyFont="1" applyFill="1" applyBorder="1" applyAlignment="1">
      <alignment vertical="center"/>
    </xf>
    <xf numFmtId="164" fontId="5" fillId="4" borderId="1" xfId="1" applyNumberFormat="1" applyFont="1" applyFill="1" applyBorder="1" applyAlignment="1">
      <alignment vertical="center" wrapText="1"/>
    </xf>
    <xf numFmtId="165" fontId="5" fillId="4" borderId="2" xfId="1" applyNumberFormat="1" applyFont="1" applyFill="1" applyBorder="1" applyAlignment="1">
      <alignment vertical="center" wrapText="1"/>
    </xf>
    <xf numFmtId="165" fontId="5" fillId="4" borderId="30" xfId="1" applyNumberFormat="1" applyFont="1" applyFill="1" applyBorder="1" applyAlignment="1">
      <alignment vertical="center"/>
    </xf>
    <xf numFmtId="164" fontId="5" fillId="4" borderId="2" xfId="1" applyNumberFormat="1" applyFont="1" applyFill="1" applyBorder="1" applyAlignment="1">
      <alignment vertical="center" wrapText="1"/>
    </xf>
    <xf numFmtId="10" fontId="0" fillId="0" borderId="0" xfId="2" applyNumberFormat="1" applyFont="1" applyAlignment="1">
      <alignment vertical="center"/>
    </xf>
    <xf numFmtId="165" fontId="0" fillId="0" borderId="0" xfId="0" applyNumberFormat="1" applyAlignment="1">
      <alignment horizontal="right" vertical="center"/>
    </xf>
    <xf numFmtId="0" fontId="0" fillId="0" borderId="40" xfId="0" applyBorder="1" applyAlignment="1">
      <alignment vertical="center"/>
    </xf>
    <xf numFmtId="165" fontId="0" fillId="0" borderId="12" xfId="0" applyNumberForma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165" fontId="0" fillId="0" borderId="15" xfId="0" applyNumberFormat="1" applyBorder="1" applyAlignment="1">
      <alignment horizontal="right" vertical="center"/>
    </xf>
    <xf numFmtId="0" fontId="5" fillId="0" borderId="43" xfId="0" applyFont="1" applyBorder="1" applyAlignment="1">
      <alignment vertical="center" wrapText="1"/>
    </xf>
    <xf numFmtId="10" fontId="0" fillId="0" borderId="0" xfId="0" applyNumberFormat="1" applyAlignment="1">
      <alignment vertical="center"/>
    </xf>
    <xf numFmtId="3" fontId="3" fillId="0" borderId="3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0" fillId="0" borderId="42" xfId="0" applyBorder="1" applyAlignment="1">
      <alignment vertical="center"/>
    </xf>
    <xf numFmtId="0" fontId="0" fillId="0" borderId="54" xfId="0" applyBorder="1" applyAlignment="1">
      <alignment vertical="center"/>
    </xf>
    <xf numFmtId="0" fontId="3" fillId="12" borderId="1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171" fontId="0" fillId="0" borderId="0" xfId="0" applyNumberFormat="1" applyAlignment="1">
      <alignment vertical="center"/>
    </xf>
    <xf numFmtId="171" fontId="3" fillId="0" borderId="0" xfId="0" applyNumberFormat="1" applyFont="1" applyAlignment="1">
      <alignment vertical="center"/>
    </xf>
    <xf numFmtId="171" fontId="4" fillId="0" borderId="0" xfId="0" applyNumberFormat="1" applyFont="1" applyAlignment="1">
      <alignment vertical="center"/>
    </xf>
    <xf numFmtId="3" fontId="0" fillId="0" borderId="16" xfId="0" applyNumberFormat="1" applyBorder="1" applyAlignment="1">
      <alignment horizontal="center" vertical="center"/>
    </xf>
    <xf numFmtId="3" fontId="0" fillId="0" borderId="56" xfId="0" applyNumberFormat="1" applyBorder="1" applyAlignment="1">
      <alignment horizontal="center" vertical="center"/>
    </xf>
    <xf numFmtId="3" fontId="3" fillId="0" borderId="37" xfId="0" applyNumberFormat="1" applyFont="1" applyBorder="1" applyAlignment="1">
      <alignment horizontal="center" vertical="center"/>
    </xf>
    <xf numFmtId="3" fontId="0" fillId="0" borderId="60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0" fillId="0" borderId="32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71" fontId="3" fillId="0" borderId="16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7" fillId="7" borderId="37" xfId="0" applyFont="1" applyFill="1" applyBorder="1" applyAlignment="1">
      <alignment horizontal="center" vertical="center" wrapText="1"/>
    </xf>
    <xf numFmtId="9" fontId="0" fillId="0" borderId="0" xfId="0" applyNumberForma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7" fillId="7" borderId="9" xfId="0" applyFont="1" applyFill="1" applyBorder="1" applyAlignment="1">
      <alignment vertical="center"/>
    </xf>
    <xf numFmtId="0" fontId="14" fillId="2" borderId="16" xfId="0" applyFont="1" applyFill="1" applyBorder="1" applyAlignment="1">
      <alignment vertical="center"/>
    </xf>
    <xf numFmtId="0" fontId="7" fillId="7" borderId="40" xfId="0" applyFont="1" applyFill="1" applyBorder="1" applyAlignment="1">
      <alignment vertical="center"/>
    </xf>
    <xf numFmtId="173" fontId="6" fillId="0" borderId="55" xfId="0" applyNumberFormat="1" applyFont="1" applyBorder="1" applyAlignment="1">
      <alignment horizontal="center" vertical="center"/>
    </xf>
    <xf numFmtId="170" fontId="17" fillId="0" borderId="0" xfId="0" applyNumberFormat="1" applyFont="1" applyAlignment="1">
      <alignment vertical="center"/>
    </xf>
    <xf numFmtId="165" fontId="3" fillId="0" borderId="12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4" fillId="9" borderId="23" xfId="0" applyFont="1" applyFill="1" applyBorder="1" applyAlignment="1">
      <alignment horizontal="center" vertical="center"/>
    </xf>
    <xf numFmtId="0" fontId="14" fillId="9" borderId="26" xfId="0" applyFont="1" applyFill="1" applyBorder="1" applyAlignment="1">
      <alignment horizontal="center" vertical="center"/>
    </xf>
    <xf numFmtId="0" fontId="7" fillId="10" borderId="29" xfId="0" applyFont="1" applyFill="1" applyBorder="1" applyAlignment="1">
      <alignment horizontal="center" vertical="center" wrapText="1"/>
    </xf>
    <xf numFmtId="3" fontId="0" fillId="4" borderId="1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44" fontId="0" fillId="0" borderId="0" xfId="3" applyFont="1" applyAlignment="1">
      <alignment vertical="center"/>
    </xf>
    <xf numFmtId="165" fontId="0" fillId="0" borderId="16" xfId="0" applyNumberFormat="1" applyBorder="1" applyAlignment="1">
      <alignment vertical="center"/>
    </xf>
    <xf numFmtId="165" fontId="3" fillId="0" borderId="10" xfId="0" applyNumberFormat="1" applyFont="1" applyBorder="1" applyAlignment="1">
      <alignment vertical="center"/>
    </xf>
    <xf numFmtId="44" fontId="0" fillId="0" borderId="0" xfId="0" applyNumberFormat="1" applyAlignment="1">
      <alignment vertical="center"/>
    </xf>
    <xf numFmtId="8" fontId="23" fillId="0" borderId="0" xfId="0" applyNumberFormat="1" applyFont="1"/>
    <xf numFmtId="3" fontId="24" fillId="0" borderId="0" xfId="0" applyNumberFormat="1" applyFont="1"/>
    <xf numFmtId="8" fontId="25" fillId="0" borderId="0" xfId="0" applyNumberFormat="1" applyFont="1"/>
    <xf numFmtId="8" fontId="0" fillId="0" borderId="0" xfId="0" applyNumberFormat="1" applyAlignment="1">
      <alignment vertical="center"/>
    </xf>
    <xf numFmtId="41" fontId="0" fillId="0" borderId="0" xfId="0" applyNumberFormat="1" applyAlignment="1">
      <alignment vertical="center"/>
    </xf>
    <xf numFmtId="9" fontId="1" fillId="0" borderId="0" xfId="2" applyFont="1" applyAlignment="1">
      <alignment vertical="center"/>
    </xf>
    <xf numFmtId="165" fontId="3" fillId="6" borderId="5" xfId="0" applyNumberFormat="1" applyFont="1" applyFill="1" applyBorder="1" applyAlignment="1">
      <alignment horizontal="center" vertical="center" wrapText="1"/>
    </xf>
    <xf numFmtId="0" fontId="26" fillId="4" borderId="39" xfId="0" applyFont="1" applyFill="1" applyBorder="1" applyAlignment="1">
      <alignment vertical="center" wrapText="1"/>
    </xf>
    <xf numFmtId="172" fontId="0" fillId="0" borderId="0" xfId="0" applyNumberFormat="1" applyAlignment="1">
      <alignment vertical="center"/>
    </xf>
    <xf numFmtId="165" fontId="0" fillId="13" borderId="40" xfId="0" applyNumberFormat="1" applyFill="1" applyBorder="1" applyAlignment="1">
      <alignment horizontal="right" vertical="center"/>
    </xf>
    <xf numFmtId="10" fontId="0" fillId="0" borderId="55" xfId="0" applyNumberFormat="1" applyBorder="1" applyAlignment="1">
      <alignment vertical="center"/>
    </xf>
    <xf numFmtId="165" fontId="15" fillId="2" borderId="25" xfId="0" applyNumberFormat="1" applyFont="1" applyFill="1" applyBorder="1" applyAlignment="1">
      <alignment horizontal="right" vertical="center"/>
    </xf>
    <xf numFmtId="3" fontId="0" fillId="0" borderId="26" xfId="0" applyNumberFormat="1" applyBorder="1" applyAlignment="1">
      <alignment horizontal="center" vertical="center"/>
    </xf>
    <xf numFmtId="165" fontId="0" fillId="0" borderId="24" xfId="0" applyNumberFormat="1" applyBorder="1" applyAlignment="1">
      <alignment vertical="center"/>
    </xf>
    <xf numFmtId="165" fontId="4" fillId="0" borderId="58" xfId="0" applyNumberFormat="1" applyFont="1" applyBorder="1" applyAlignment="1">
      <alignment vertical="center"/>
    </xf>
    <xf numFmtId="165" fontId="4" fillId="0" borderId="43" xfId="0" applyNumberFormat="1" applyFont="1" applyBorder="1" applyAlignment="1">
      <alignment vertical="center"/>
    </xf>
    <xf numFmtId="0" fontId="27" fillId="8" borderId="4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right" vertical="center"/>
    </xf>
    <xf numFmtId="171" fontId="4" fillId="0" borderId="28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0" fillId="0" borderId="42" xfId="0" applyNumberFormat="1" applyBorder="1" applyAlignment="1">
      <alignment horizontal="center" vertical="center"/>
    </xf>
    <xf numFmtId="0" fontId="8" fillId="0" borderId="65" xfId="0" applyFont="1" applyBorder="1" applyAlignment="1">
      <alignment horizontal="right" vertical="center" wrapText="1"/>
    </xf>
    <xf numFmtId="3" fontId="0" fillId="0" borderId="1" xfId="0" applyNumberFormat="1" applyBorder="1" applyAlignment="1">
      <alignment horizontal="center" vertical="center"/>
    </xf>
    <xf numFmtId="3" fontId="1" fillId="12" borderId="16" xfId="0" applyNumberFormat="1" applyFont="1" applyFill="1" applyBorder="1" applyAlignment="1">
      <alignment vertical="center"/>
    </xf>
    <xf numFmtId="0" fontId="0" fillId="6" borderId="66" xfId="0" applyFill="1" applyBorder="1" applyAlignment="1">
      <alignment horizontal="left" vertical="center" wrapText="1"/>
    </xf>
    <xf numFmtId="0" fontId="0" fillId="6" borderId="65" xfId="0" applyFill="1" applyBorder="1" applyAlignment="1">
      <alignment horizontal="left" vertical="center" wrapText="1"/>
    </xf>
    <xf numFmtId="3" fontId="0" fillId="6" borderId="67" xfId="0" applyNumberFormat="1" applyFill="1" applyBorder="1" applyAlignment="1">
      <alignment horizontal="left" vertical="center" wrapText="1"/>
    </xf>
    <xf numFmtId="0" fontId="28" fillId="0" borderId="68" xfId="0" applyFont="1" applyBorder="1" applyAlignment="1">
      <alignment vertical="center"/>
    </xf>
    <xf numFmtId="0" fontId="28" fillId="0" borderId="67" xfId="0" applyFont="1" applyBorder="1" applyAlignment="1">
      <alignment vertical="center"/>
    </xf>
    <xf numFmtId="0" fontId="28" fillId="0" borderId="69" xfId="0" applyFont="1" applyBorder="1" applyAlignment="1">
      <alignment vertical="center"/>
    </xf>
    <xf numFmtId="3" fontId="0" fillId="0" borderId="43" xfId="0" applyNumberFormat="1" applyBorder="1" applyAlignment="1">
      <alignment horizontal="center" vertical="center"/>
    </xf>
    <xf numFmtId="3" fontId="28" fillId="0" borderId="70" xfId="0" applyNumberFormat="1" applyFon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3" fontId="1" fillId="0" borderId="43" xfId="0" applyNumberFormat="1" applyFont="1" applyBorder="1" applyAlignment="1">
      <alignment horizontal="center" vertical="center"/>
    </xf>
    <xf numFmtId="3" fontId="1" fillId="0" borderId="39" xfId="0" applyNumberFormat="1" applyFont="1" applyBorder="1" applyAlignment="1">
      <alignment horizontal="center" vertical="center"/>
    </xf>
    <xf numFmtId="3" fontId="1" fillId="0" borderId="58" xfId="0" applyNumberFormat="1" applyFont="1" applyBorder="1" applyAlignment="1">
      <alignment horizontal="center" vertical="center"/>
    </xf>
    <xf numFmtId="165" fontId="0" fillId="0" borderId="44" xfId="0" applyNumberFormat="1" applyBorder="1" applyAlignment="1">
      <alignment horizontal="right" vertical="center"/>
    </xf>
    <xf numFmtId="165" fontId="3" fillId="0" borderId="16" xfId="0" applyNumberFormat="1" applyFont="1" applyBorder="1" applyAlignment="1">
      <alignment vertical="center"/>
    </xf>
    <xf numFmtId="0" fontId="5" fillId="0" borderId="45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167" fontId="5" fillId="4" borderId="12" xfId="0" applyNumberFormat="1" applyFont="1" applyFill="1" applyBorder="1" applyAlignment="1">
      <alignment horizontal="center" vertical="center"/>
    </xf>
    <xf numFmtId="0" fontId="5" fillId="0" borderId="51" xfId="0" applyFont="1" applyBorder="1" applyAlignment="1">
      <alignment vertical="center" wrapText="1"/>
    </xf>
    <xf numFmtId="164" fontId="5" fillId="4" borderId="2" xfId="0" applyNumberFormat="1" applyFont="1" applyFill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165" fontId="0" fillId="0" borderId="58" xfId="0" applyNumberFormat="1" applyBorder="1" applyAlignment="1">
      <alignment vertical="center"/>
    </xf>
    <xf numFmtId="0" fontId="7" fillId="5" borderId="17" xfId="0" applyFont="1" applyFill="1" applyBorder="1" applyAlignment="1">
      <alignment horizontal="center" vertical="center" wrapText="1"/>
    </xf>
    <xf numFmtId="3" fontId="0" fillId="2" borderId="20" xfId="0" applyNumberForma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3" fontId="29" fillId="2" borderId="20" xfId="0" applyNumberFormat="1" applyFont="1" applyFill="1" applyBorder="1" applyAlignment="1">
      <alignment horizontal="center" vertical="center"/>
    </xf>
    <xf numFmtId="165" fontId="28" fillId="0" borderId="58" xfId="0" applyNumberFormat="1" applyFont="1" applyBorder="1" applyAlignment="1">
      <alignment horizontal="center" vertical="center"/>
    </xf>
    <xf numFmtId="165" fontId="28" fillId="0" borderId="28" xfId="0" applyNumberFormat="1" applyFont="1" applyBorder="1" applyAlignment="1">
      <alignment horizontal="center" vertical="center"/>
    </xf>
    <xf numFmtId="44" fontId="20" fillId="0" borderId="0" xfId="0" applyNumberFormat="1" applyFont="1" applyAlignment="1">
      <alignment vertical="center"/>
    </xf>
    <xf numFmtId="171" fontId="3" fillId="14" borderId="28" xfId="0" applyNumberFormat="1" applyFont="1" applyFill="1" applyBorder="1" applyAlignment="1">
      <alignment vertical="center"/>
    </xf>
    <xf numFmtId="178" fontId="6" fillId="2" borderId="3" xfId="0" applyNumberFormat="1" applyFont="1" applyFill="1" applyBorder="1" applyAlignment="1">
      <alignment horizontal="center" vertical="center"/>
    </xf>
    <xf numFmtId="165" fontId="9" fillId="15" borderId="16" xfId="0" applyNumberFormat="1" applyFont="1" applyFill="1" applyBorder="1" applyAlignment="1">
      <alignment horizontal="right" vertical="center"/>
    </xf>
    <xf numFmtId="165" fontId="0" fillId="2" borderId="44" xfId="0" applyNumberFormat="1" applyFill="1" applyBorder="1" applyAlignment="1">
      <alignment horizontal="right" vertical="center"/>
    </xf>
    <xf numFmtId="165" fontId="0" fillId="2" borderId="43" xfId="0" applyNumberFormat="1" applyFill="1" applyBorder="1" applyAlignment="1">
      <alignment horizontal="right" vertical="center"/>
    </xf>
    <xf numFmtId="165" fontId="0" fillId="2" borderId="39" xfId="0" applyNumberFormat="1" applyFill="1" applyBorder="1" applyAlignment="1">
      <alignment horizontal="right" vertical="center"/>
    </xf>
    <xf numFmtId="0" fontId="3" fillId="6" borderId="66" xfId="0" applyFont="1" applyFill="1" applyBorder="1" applyAlignment="1">
      <alignment horizontal="center"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8" xfId="0" applyFont="1" applyFill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10" fontId="27" fillId="0" borderId="8" xfId="0" applyNumberFormat="1" applyFont="1" applyBorder="1" applyAlignment="1">
      <alignment horizontal="center" vertical="center"/>
    </xf>
    <xf numFmtId="10" fontId="27" fillId="0" borderId="10" xfId="0" applyNumberFormat="1" applyFont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41" fontId="5" fillId="4" borderId="47" xfId="1" applyFont="1" applyFill="1" applyBorder="1" applyAlignment="1">
      <alignment horizontal="center" vertical="center"/>
    </xf>
    <xf numFmtId="41" fontId="5" fillId="4" borderId="48" xfId="1" applyFont="1" applyFill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3" xfId="1" applyFont="1" applyFill="1" applyBorder="1" applyAlignment="1">
      <alignment horizontal="center" vertical="center"/>
    </xf>
    <xf numFmtId="169" fontId="7" fillId="9" borderId="11" xfId="0" applyNumberFormat="1" applyFont="1" applyFill="1" applyBorder="1" applyAlignment="1">
      <alignment horizontal="center" vertical="center"/>
    </xf>
    <xf numFmtId="169" fontId="7" fillId="9" borderId="17" xfId="0" applyNumberFormat="1" applyFont="1" applyFill="1" applyBorder="1" applyAlignment="1">
      <alignment horizontal="center" vertical="center"/>
    </xf>
    <xf numFmtId="169" fontId="7" fillId="5" borderId="11" xfId="0" applyNumberFormat="1" applyFont="1" applyFill="1" applyBorder="1" applyAlignment="1">
      <alignment horizontal="center" vertical="center"/>
    </xf>
    <xf numFmtId="169" fontId="7" fillId="5" borderId="17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7" fillId="9" borderId="12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9" fillId="7" borderId="6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right" vertical="center"/>
    </xf>
    <xf numFmtId="0" fontId="9" fillId="0" borderId="27" xfId="0" applyFont="1" applyBorder="1" applyAlignment="1">
      <alignment horizontal="right" vertical="center"/>
    </xf>
    <xf numFmtId="0" fontId="9" fillId="0" borderId="35" xfId="0" applyFont="1" applyBorder="1" applyAlignment="1">
      <alignment horizontal="right" vertical="center"/>
    </xf>
    <xf numFmtId="0" fontId="9" fillId="0" borderId="36" xfId="0" applyFont="1" applyBorder="1" applyAlignment="1">
      <alignment horizontal="right" vertical="center"/>
    </xf>
    <xf numFmtId="0" fontId="3" fillId="7" borderId="43" xfId="0" applyFont="1" applyFill="1" applyBorder="1" applyAlignment="1">
      <alignment horizontal="center" vertical="center" wrapText="1"/>
    </xf>
    <xf numFmtId="0" fontId="3" fillId="7" borderId="39" xfId="0" applyFont="1" applyFill="1" applyBorder="1" applyAlignment="1">
      <alignment horizontal="center" vertical="center" wrapText="1"/>
    </xf>
    <xf numFmtId="0" fontId="3" fillId="7" borderId="40" xfId="0" applyFont="1" applyFill="1" applyBorder="1" applyAlignment="1">
      <alignment horizontal="center" vertical="center" wrapText="1"/>
    </xf>
    <xf numFmtId="0" fontId="3" fillId="10" borderId="43" xfId="0" applyFont="1" applyFill="1" applyBorder="1" applyAlignment="1">
      <alignment horizontal="center" vertical="center" wrapText="1"/>
    </xf>
    <xf numFmtId="0" fontId="3" fillId="10" borderId="39" xfId="0" applyFont="1" applyFill="1" applyBorder="1" applyAlignment="1">
      <alignment horizontal="center" vertical="center" wrapText="1"/>
    </xf>
    <xf numFmtId="0" fontId="3" fillId="10" borderId="40" xfId="0" applyFont="1" applyFill="1" applyBorder="1" applyAlignment="1">
      <alignment horizontal="center" vertical="center" wrapText="1"/>
    </xf>
    <xf numFmtId="0" fontId="27" fillId="8" borderId="11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/>
    </xf>
    <xf numFmtId="0" fontId="27" fillId="8" borderId="22" xfId="0" applyFont="1" applyFill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64" xfId="0" applyFont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6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165" fontId="5" fillId="4" borderId="21" xfId="1" applyNumberFormat="1" applyFont="1" applyFill="1" applyBorder="1" applyAlignment="1">
      <alignment horizontal="right" vertical="center"/>
    </xf>
    <xf numFmtId="165" fontId="5" fillId="4" borderId="18" xfId="1" applyNumberFormat="1" applyFont="1" applyFill="1" applyBorder="1" applyAlignment="1">
      <alignment horizontal="right" vertical="center"/>
    </xf>
    <xf numFmtId="10" fontId="19" fillId="6" borderId="8" xfId="0" applyNumberFormat="1" applyFont="1" applyFill="1" applyBorder="1" applyAlignment="1">
      <alignment horizontal="center" vertical="center"/>
    </xf>
    <xf numFmtId="10" fontId="19" fillId="6" borderId="10" xfId="0" applyNumberFormat="1" applyFont="1" applyFill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174" fontId="6" fillId="0" borderId="22" xfId="0" applyNumberFormat="1" applyFont="1" applyBorder="1" applyAlignment="1">
      <alignment horizontal="center" vertical="center"/>
    </xf>
    <xf numFmtId="174" fontId="6" fillId="0" borderId="3" xfId="0" applyNumberFormat="1" applyFont="1" applyBorder="1" applyAlignment="1">
      <alignment horizontal="center" vertical="center"/>
    </xf>
    <xf numFmtId="174" fontId="6" fillId="0" borderId="53" xfId="0" applyNumberFormat="1" applyFont="1" applyBorder="1" applyAlignment="1">
      <alignment horizontal="center" vertical="center"/>
    </xf>
    <xf numFmtId="177" fontId="6" fillId="0" borderId="22" xfId="0" applyNumberFormat="1" applyFont="1" applyBorder="1" applyAlignment="1">
      <alignment horizontal="center" vertical="center"/>
    </xf>
    <xf numFmtId="177" fontId="6" fillId="0" borderId="5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</cellXfs>
  <cellStyles count="5">
    <cellStyle name="Millares [0]" xfId="1" builtinId="6"/>
    <cellStyle name="Moneda" xfId="3" builtinId="4"/>
    <cellStyle name="Moneda [0] 2" xfId="4" xr:uid="{16DFFB43-9586-4441-8E36-24AE50ABAF5D}"/>
    <cellStyle name="Normal" xfId="0" builtinId="0"/>
    <cellStyle name="Porcentaje" xfId="2" builtinId="5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FF00"/>
      <color rgb="FFCC99FF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tabSelected="1" zoomScale="112" zoomScaleNormal="112" zoomScalePageLayoutView="90" workbookViewId="0">
      <selection activeCell="C31" sqref="C31"/>
    </sheetView>
  </sheetViews>
  <sheetFormatPr baseColWidth="10" defaultColWidth="10.77734375" defaultRowHeight="14.4"/>
  <cols>
    <col min="1" max="1" width="4.5546875" style="21" customWidth="1"/>
    <col min="2" max="2" width="33.77734375" style="21" bestFit="1" customWidth="1"/>
    <col min="3" max="3" width="64.21875" style="21" bestFit="1" customWidth="1"/>
    <col min="4" max="4" width="25.77734375" style="21" bestFit="1" customWidth="1"/>
    <col min="5" max="5" width="34.5546875" style="21" bestFit="1" customWidth="1"/>
    <col min="6" max="6" width="13.77734375" style="21" bestFit="1" customWidth="1"/>
    <col min="7" max="7" width="1.44140625" style="21" customWidth="1"/>
    <col min="8" max="9" width="9.21875" style="21" customWidth="1"/>
    <col min="10" max="10" width="13.5546875" style="95" bestFit="1" customWidth="1"/>
    <col min="11" max="11" width="10.77734375" style="21"/>
    <col min="12" max="12" width="20.33203125" style="21" customWidth="1"/>
    <col min="13" max="16384" width="10.77734375" style="21"/>
  </cols>
  <sheetData>
    <row r="1" spans="2:11" s="4" customFormat="1" ht="29.4" thickBot="1">
      <c r="B1" s="252" t="s">
        <v>76</v>
      </c>
      <c r="C1" s="252" t="s">
        <v>75</v>
      </c>
      <c r="D1" s="252" t="s">
        <v>56</v>
      </c>
      <c r="E1" s="252" t="s">
        <v>9</v>
      </c>
      <c r="F1" s="253" t="s">
        <v>81</v>
      </c>
      <c r="G1" s="21"/>
      <c r="H1" s="60"/>
      <c r="I1" s="60"/>
      <c r="J1" s="198" t="s">
        <v>63</v>
      </c>
    </row>
    <row r="2" spans="2:11" ht="26.4" customHeight="1">
      <c r="B2" s="313" t="s">
        <v>1</v>
      </c>
      <c r="C2" s="231" t="s">
        <v>95</v>
      </c>
      <c r="D2" s="1">
        <v>119</v>
      </c>
      <c r="E2" s="47"/>
      <c r="F2" s="50">
        <f>ROUND(D2*F18,0)</f>
        <v>6232506</v>
      </c>
      <c r="H2" s="60"/>
      <c r="I2" s="60"/>
      <c r="K2" s="200"/>
    </row>
    <row r="3" spans="2:11" ht="24" customHeight="1">
      <c r="B3" s="314"/>
      <c r="C3" s="232" t="s">
        <v>94</v>
      </c>
      <c r="D3" s="2">
        <v>93</v>
      </c>
      <c r="E3" s="48"/>
      <c r="F3" s="45">
        <f>ROUND(D3*F18,0)</f>
        <v>4870782</v>
      </c>
      <c r="H3" s="60"/>
      <c r="I3" s="60"/>
    </row>
    <row r="4" spans="2:11" ht="25.8" customHeight="1">
      <c r="B4" s="314"/>
      <c r="C4" s="232" t="s">
        <v>93</v>
      </c>
      <c r="D4" s="3">
        <v>1500</v>
      </c>
      <c r="E4" s="48"/>
      <c r="F4" s="45">
        <f>ROUND((D4*E20+D4)*E19,0)</f>
        <v>7234409</v>
      </c>
      <c r="H4" s="60"/>
      <c r="I4" s="60"/>
      <c r="J4" s="81">
        <f>D4*E19</f>
        <v>6079335</v>
      </c>
    </row>
    <row r="5" spans="2:11" ht="28.2" customHeight="1">
      <c r="B5" s="314"/>
      <c r="C5" s="232" t="s">
        <v>90</v>
      </c>
      <c r="D5" s="2">
        <v>1</v>
      </c>
      <c r="E5" s="48">
        <v>3.5</v>
      </c>
      <c r="F5" s="45">
        <f>ROUND((D5*F21)*E5,0)</f>
        <v>2493950</v>
      </c>
      <c r="H5" s="60"/>
      <c r="I5" s="60"/>
    </row>
    <row r="6" spans="2:11" ht="35.4" customHeight="1" thickBot="1">
      <c r="B6" s="315"/>
      <c r="C6" s="234" t="s">
        <v>92</v>
      </c>
      <c r="D6" s="235">
        <v>200</v>
      </c>
      <c r="E6" s="236">
        <v>4.5</v>
      </c>
      <c r="F6" s="237">
        <f>ROUND(((D6*E20+D6)*E19)*E6,0)</f>
        <v>4340645</v>
      </c>
      <c r="H6" s="60"/>
      <c r="I6" s="60"/>
      <c r="J6" s="81">
        <f>D6*E19*E6</f>
        <v>3647601</v>
      </c>
    </row>
    <row r="7" spans="2:11" ht="26.4">
      <c r="B7" s="316" t="s">
        <v>2</v>
      </c>
      <c r="C7" s="10" t="s">
        <v>96</v>
      </c>
      <c r="D7" s="233">
        <v>53</v>
      </c>
      <c r="E7" s="47"/>
      <c r="F7" s="50">
        <f>ROUND(D7*$F$18,0)</f>
        <v>2775822</v>
      </c>
      <c r="H7" s="60"/>
      <c r="I7" s="60"/>
    </row>
    <row r="8" spans="2:11" ht="26.4">
      <c r="B8" s="317"/>
      <c r="C8" s="11" t="s">
        <v>97</v>
      </c>
      <c r="D8" s="8">
        <v>79</v>
      </c>
      <c r="E8" s="48"/>
      <c r="F8" s="45">
        <f>ROUND(D8*$F$18,0)</f>
        <v>4137546</v>
      </c>
      <c r="H8" s="60"/>
      <c r="I8" s="60"/>
    </row>
    <row r="9" spans="2:11">
      <c r="B9" s="317"/>
      <c r="C9" s="11" t="s">
        <v>98</v>
      </c>
      <c r="D9" s="8">
        <v>53</v>
      </c>
      <c r="E9" s="48"/>
      <c r="F9" s="45">
        <f>ROUND(D9*$F$18,0)</f>
        <v>2775822</v>
      </c>
      <c r="H9" s="60"/>
      <c r="I9" s="60"/>
    </row>
    <row r="10" spans="2:11">
      <c r="B10" s="317"/>
      <c r="C10" s="11" t="s">
        <v>99</v>
      </c>
      <c r="D10" s="8">
        <v>53</v>
      </c>
      <c r="E10" s="48"/>
      <c r="F10" s="45">
        <f>ROUND(D10*$F$18,0)</f>
        <v>2775822</v>
      </c>
      <c r="H10" s="60"/>
      <c r="I10" s="60"/>
    </row>
    <row r="11" spans="2:11" ht="26.4">
      <c r="B11" s="317"/>
      <c r="C11" s="11" t="s">
        <v>89</v>
      </c>
      <c r="D11" s="2">
        <v>1</v>
      </c>
      <c r="E11" s="48">
        <v>3.5</v>
      </c>
      <c r="F11" s="45">
        <f>ROUND(D11*F22*E11,0)</f>
        <v>1848735</v>
      </c>
      <c r="H11" s="60"/>
      <c r="I11" s="60"/>
    </row>
    <row r="12" spans="2:11" ht="27" thickBot="1">
      <c r="B12" s="318"/>
      <c r="C12" s="12" t="s">
        <v>91</v>
      </c>
      <c r="D12" s="9">
        <v>1</v>
      </c>
      <c r="E12" s="49">
        <v>3.5</v>
      </c>
      <c r="F12" s="46">
        <f>ROUND(D12*F22*E12,0)</f>
        <v>1848735</v>
      </c>
      <c r="H12" s="60"/>
      <c r="I12" s="60"/>
    </row>
    <row r="13" spans="2:11" ht="28.5" customHeight="1" thickBot="1"/>
    <row r="14" spans="2:11">
      <c r="B14" s="173" t="s">
        <v>53</v>
      </c>
      <c r="C14" s="156" t="s">
        <v>82</v>
      </c>
      <c r="D14" s="156" t="s">
        <v>57</v>
      </c>
      <c r="E14" s="156"/>
      <c r="F14" s="154" t="s">
        <v>55</v>
      </c>
    </row>
    <row r="15" spans="2:11">
      <c r="B15" s="173"/>
      <c r="C15" s="153">
        <f>18348970052-2923302198</f>
        <v>15425667854</v>
      </c>
      <c r="D15" s="153">
        <v>0</v>
      </c>
      <c r="E15" s="153"/>
      <c r="F15" s="155" t="s">
        <v>5</v>
      </c>
    </row>
    <row r="16" spans="2:11" ht="15" thickBot="1">
      <c r="F16" s="146" t="s">
        <v>33</v>
      </c>
    </row>
    <row r="17" spans="2:12" ht="15" thickBot="1">
      <c r="C17" s="13"/>
      <c r="D17" s="14"/>
      <c r="E17" s="51" t="s">
        <v>58</v>
      </c>
      <c r="F17" s="53">
        <v>2026</v>
      </c>
    </row>
    <row r="18" spans="2:12">
      <c r="C18" s="5" t="s">
        <v>55</v>
      </c>
      <c r="E18" s="179">
        <v>52374</v>
      </c>
      <c r="F18" s="54">
        <f>E18</f>
        <v>52374</v>
      </c>
    </row>
    <row r="19" spans="2:12">
      <c r="C19" s="6" t="s">
        <v>5</v>
      </c>
      <c r="E19" s="246">
        <v>4052.89</v>
      </c>
      <c r="F19" s="55"/>
      <c r="H19"/>
    </row>
    <row r="20" spans="2:12" ht="15" thickBot="1">
      <c r="C20" s="7" t="s">
        <v>4</v>
      </c>
      <c r="D20" s="148"/>
      <c r="E20" s="52">
        <v>0.19</v>
      </c>
      <c r="F20" s="56"/>
    </row>
    <row r="21" spans="2:12">
      <c r="B21" s="144">
        <v>5.0999999999999997E-2</v>
      </c>
      <c r="C21" s="5" t="s">
        <v>83</v>
      </c>
      <c r="D21" s="95">
        <v>665941</v>
      </c>
      <c r="E21" s="319">
        <v>5.0999999999999997E-2</v>
      </c>
      <c r="F21" s="249">
        <v>712557</v>
      </c>
    </row>
    <row r="22" spans="2:12">
      <c r="B22" s="144">
        <v>0</v>
      </c>
      <c r="C22" s="6" t="s">
        <v>84</v>
      </c>
      <c r="D22" s="95">
        <v>493654</v>
      </c>
      <c r="E22" s="320"/>
      <c r="F22" s="250">
        <v>528210</v>
      </c>
    </row>
    <row r="23" spans="2:12" ht="15" thickBot="1">
      <c r="C23" s="7" t="s">
        <v>6</v>
      </c>
      <c r="D23" s="95">
        <f>F6</f>
        <v>4340645</v>
      </c>
      <c r="E23" s="321"/>
      <c r="F23" s="56">
        <f>ROUND(D23,0)</f>
        <v>4340645</v>
      </c>
    </row>
    <row r="24" spans="2:12" ht="15" thickBot="1">
      <c r="B24" s="147">
        <f>ROUND((7052086*5%)+7052086,0)</f>
        <v>7404690</v>
      </c>
      <c r="C24" s="5" t="s">
        <v>7</v>
      </c>
      <c r="D24" s="201">
        <v>5392611</v>
      </c>
      <c r="E24" s="322">
        <v>5.0999999999999997E-2</v>
      </c>
      <c r="F24" s="54">
        <f>ROUND(D24*E24+D24,0)</f>
        <v>5667634</v>
      </c>
    </row>
    <row r="25" spans="2:12" ht="15" thickBot="1">
      <c r="B25" s="149">
        <f>ROUND((720343*5%)+720343,0)</f>
        <v>756360</v>
      </c>
      <c r="C25" s="7" t="s">
        <v>8</v>
      </c>
      <c r="D25" s="201">
        <v>1103878</v>
      </c>
      <c r="E25" s="323"/>
      <c r="F25" s="229">
        <f>ROUND(D25*E24+D25,0)</f>
        <v>1160176</v>
      </c>
    </row>
    <row r="26" spans="2:12" ht="15" thickBot="1">
      <c r="B26" s="21">
        <f>ROUNDUP((15803*7.2%)+15803,0)</f>
        <v>16941</v>
      </c>
      <c r="C26" s="22" t="s">
        <v>10</v>
      </c>
      <c r="D26" s="203">
        <v>38300</v>
      </c>
      <c r="E26" s="177">
        <v>5.0999999999999997E-2</v>
      </c>
      <c r="F26" s="248">
        <v>91855</v>
      </c>
      <c r="L26" s="158"/>
    </row>
    <row r="27" spans="2:12" ht="15" thickBot="1">
      <c r="C27" s="22" t="s">
        <v>23</v>
      </c>
      <c r="D27" s="205">
        <v>100000</v>
      </c>
      <c r="E27" s="202">
        <v>5.0999999999999997E-2</v>
      </c>
      <c r="F27" s="57">
        <f>ROUNDUP(D27*E27+D27,0)</f>
        <v>105100</v>
      </c>
    </row>
    <row r="28" spans="2:12" ht="7.5" customHeight="1" thickBot="1">
      <c r="F28" s="21">
        <v>1</v>
      </c>
    </row>
    <row r="29" spans="2:12" ht="24" thickBot="1">
      <c r="B29" s="175" t="s">
        <v>101</v>
      </c>
      <c r="C29" s="182">
        <v>2026</v>
      </c>
      <c r="D29" s="180"/>
      <c r="E29" s="193"/>
    </row>
    <row r="30" spans="2:12" ht="15" thickBot="1">
      <c r="B30" s="174"/>
      <c r="C30" s="171" t="s">
        <v>79</v>
      </c>
      <c r="D30" s="184" t="s">
        <v>61</v>
      </c>
      <c r="E30" s="184" t="s">
        <v>62</v>
      </c>
    </row>
    <row r="31" spans="2:12">
      <c r="B31" s="150" t="s">
        <v>13</v>
      </c>
      <c r="C31" s="75">
        <v>452</v>
      </c>
      <c r="D31" s="185"/>
      <c r="E31" s="185"/>
      <c r="H31" s="204"/>
    </row>
    <row r="32" spans="2:12">
      <c r="B32" s="96" t="s">
        <v>14</v>
      </c>
      <c r="C32" s="75">
        <v>500</v>
      </c>
      <c r="D32" s="186"/>
      <c r="E32" s="186"/>
      <c r="H32" s="36"/>
    </row>
    <row r="33" spans="1:9" ht="15" thickBot="1">
      <c r="B33" s="96" t="s">
        <v>15</v>
      </c>
      <c r="C33" s="75">
        <v>40</v>
      </c>
      <c r="D33" s="186"/>
      <c r="E33" s="186"/>
      <c r="H33" s="75"/>
    </row>
    <row r="34" spans="1:9" ht="15.6" thickTop="1" thickBot="1">
      <c r="B34" s="87" t="s">
        <v>50</v>
      </c>
      <c r="C34" s="58">
        <f>SUM(C31:C33)</f>
        <v>992</v>
      </c>
      <c r="D34" s="58">
        <f>SUM(D31:D33)</f>
        <v>0</v>
      </c>
      <c r="E34" s="58">
        <f>SUM(E31:E33)</f>
        <v>0</v>
      </c>
      <c r="G34" s="100"/>
      <c r="H34" s="100"/>
      <c r="I34" s="100"/>
    </row>
    <row r="35" spans="1:9">
      <c r="C35" s="151">
        <v>0.74829999999999997</v>
      </c>
    </row>
    <row r="36" spans="1:9" ht="15" thickBot="1"/>
    <row r="37" spans="1:9" ht="23.4">
      <c r="B37" s="86" t="s">
        <v>101</v>
      </c>
      <c r="C37" s="183">
        <v>2026</v>
      </c>
      <c r="D37" s="193"/>
      <c r="E37" s="180"/>
    </row>
    <row r="38" spans="1:9" ht="15" thickBot="1">
      <c r="B38" s="176"/>
      <c r="C38" s="184" t="s">
        <v>80</v>
      </c>
      <c r="D38" s="184" t="s">
        <v>61</v>
      </c>
      <c r="E38" s="184" t="s">
        <v>62</v>
      </c>
    </row>
    <row r="39" spans="1:9">
      <c r="B39" s="97" t="s">
        <v>16</v>
      </c>
      <c r="C39" s="75">
        <v>1164</v>
      </c>
      <c r="D39" s="185"/>
      <c r="E39" s="185"/>
    </row>
    <row r="40" spans="1:9" ht="23.1" customHeight="1">
      <c r="A40" s="172"/>
      <c r="B40" s="199" t="s">
        <v>59</v>
      </c>
      <c r="C40" s="239">
        <v>36</v>
      </c>
      <c r="D40" s="186"/>
      <c r="E40" s="186"/>
    </row>
    <row r="41" spans="1:9" ht="23.1" customHeight="1">
      <c r="A41" s="172"/>
      <c r="B41" s="199" t="s">
        <v>60</v>
      </c>
      <c r="C41" s="239">
        <v>84</v>
      </c>
      <c r="D41" s="186"/>
      <c r="E41" s="186"/>
    </row>
    <row r="42" spans="1:9">
      <c r="B42" s="98" t="s">
        <v>17</v>
      </c>
      <c r="C42" s="239">
        <v>216</v>
      </c>
      <c r="D42" s="186"/>
      <c r="E42" s="186"/>
    </row>
    <row r="43" spans="1:9" ht="15" thickBot="1">
      <c r="B43" s="98" t="s">
        <v>18</v>
      </c>
      <c r="C43" s="241">
        <v>77</v>
      </c>
      <c r="D43" s="187"/>
      <c r="E43" s="187"/>
    </row>
    <row r="44" spans="1:9" ht="15.6" thickTop="1" thickBot="1">
      <c r="B44" s="87" t="s">
        <v>50</v>
      </c>
      <c r="C44" s="58">
        <f>SUM(C39:C43)</f>
        <v>1577</v>
      </c>
      <c r="D44" s="58">
        <f>SUM(D39:D43)</f>
        <v>0</v>
      </c>
      <c r="E44" s="58">
        <f>SUM(E39:E43)</f>
        <v>0</v>
      </c>
      <c r="F44" s="100"/>
    </row>
  </sheetData>
  <mergeCells count="4">
    <mergeCell ref="B2:B6"/>
    <mergeCell ref="B7:B12"/>
    <mergeCell ref="E21:E23"/>
    <mergeCell ref="E24:E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56"/>
  <sheetViews>
    <sheetView zoomScale="73" zoomScaleNormal="70" zoomScalePageLayoutView="80" workbookViewId="0">
      <pane ySplit="8" topLeftCell="A9" activePane="bottomLeft" state="frozen"/>
      <selection activeCell="A5" sqref="A5"/>
      <selection pane="bottomLeft" activeCell="O49" sqref="O49:O53"/>
    </sheetView>
  </sheetViews>
  <sheetFormatPr baseColWidth="10" defaultColWidth="10.77734375" defaultRowHeight="14.4"/>
  <cols>
    <col min="1" max="1" width="6.5546875" style="21" customWidth="1"/>
    <col min="2" max="2" width="27.21875" style="21" bestFit="1" customWidth="1"/>
    <col min="3" max="3" width="38.5546875" style="21" bestFit="1" customWidth="1"/>
    <col min="4" max="4" width="23.77734375" style="21" customWidth="1"/>
    <col min="5" max="6" width="27.77734375" style="21" bestFit="1" customWidth="1"/>
    <col min="7" max="7" width="14.44140625" style="21" customWidth="1"/>
    <col min="8" max="8" width="18.5546875" style="21" bestFit="1" customWidth="1"/>
    <col min="9" max="9" width="1" style="21" customWidth="1"/>
    <col min="10" max="10" width="17" style="21" customWidth="1"/>
    <col min="11" max="11" width="31.44140625" style="21" customWidth="1"/>
    <col min="12" max="12" width="2.77734375" style="21" customWidth="1"/>
    <col min="13" max="13" width="10.77734375" style="21" hidden="1" customWidth="1"/>
    <col min="14" max="14" width="4.21875" style="21" customWidth="1"/>
    <col min="15" max="15" width="35.77734375" style="21" customWidth="1"/>
    <col min="16" max="16384" width="10.77734375" style="21"/>
  </cols>
  <sheetData>
    <row r="1" spans="2:17" s="135" customFormat="1" ht="18" customHeight="1" thickBot="1">
      <c r="B1" s="309" t="s">
        <v>48</v>
      </c>
      <c r="C1" s="307">
        <v>1</v>
      </c>
      <c r="E1" s="311" t="s">
        <v>34</v>
      </c>
      <c r="F1" s="311"/>
      <c r="G1" s="99">
        <f>B12</f>
        <v>992</v>
      </c>
      <c r="H1" s="136"/>
      <c r="I1" s="136"/>
      <c r="J1" s="136"/>
      <c r="K1" s="230">
        <f>FormaResumen!C10</f>
        <v>11708854</v>
      </c>
      <c r="L1" s="136"/>
      <c r="M1" s="59"/>
      <c r="N1" s="136"/>
      <c r="O1" s="136"/>
      <c r="P1" s="136"/>
    </row>
    <row r="2" spans="2:17" s="135" customFormat="1" ht="18.75" customHeight="1" thickBot="1">
      <c r="B2" s="310"/>
      <c r="C2" s="308"/>
      <c r="E2" s="311" t="s">
        <v>54</v>
      </c>
      <c r="F2" s="311"/>
      <c r="G2" s="99">
        <v>452</v>
      </c>
      <c r="H2" s="136"/>
      <c r="I2" s="136"/>
      <c r="J2" s="136"/>
      <c r="K2" s="117"/>
      <c r="L2" s="136"/>
      <c r="M2" s="136"/>
      <c r="N2" s="136"/>
      <c r="O2" s="136"/>
      <c r="P2" s="136"/>
    </row>
    <row r="3" spans="2:17" s="135" customFormat="1" ht="18" customHeight="1">
      <c r="B3" s="309" t="s">
        <v>49</v>
      </c>
      <c r="C3" s="307">
        <v>0.7</v>
      </c>
      <c r="D3" s="178"/>
      <c r="E3" s="312" t="s">
        <v>42</v>
      </c>
      <c r="F3" s="312"/>
      <c r="G3" s="99">
        <f>'Datos Base'!C44</f>
        <v>1577</v>
      </c>
      <c r="H3" s="136"/>
      <c r="I3" s="136"/>
      <c r="J3" s="136"/>
      <c r="K3" s="136"/>
      <c r="L3" s="136"/>
      <c r="M3" s="137"/>
      <c r="N3" s="136"/>
      <c r="O3" s="136"/>
      <c r="P3" s="136"/>
    </row>
    <row r="4" spans="2:17" s="135" customFormat="1" ht="18" customHeight="1" thickBot="1">
      <c r="B4" s="310"/>
      <c r="C4" s="308"/>
      <c r="E4" s="312" t="s">
        <v>74</v>
      </c>
      <c r="F4" s="312"/>
      <c r="G4" s="99">
        <v>855</v>
      </c>
      <c r="H4" s="136"/>
      <c r="I4" s="136"/>
      <c r="J4" s="136"/>
      <c r="K4" s="136"/>
      <c r="L4" s="136"/>
      <c r="M4" s="136"/>
      <c r="N4" s="136"/>
      <c r="O4" s="136"/>
      <c r="P4" s="136"/>
    </row>
    <row r="5" spans="2:17" ht="6.75" customHeight="1" thickBot="1"/>
    <row r="6" spans="2:17" ht="27" customHeight="1" thickBot="1">
      <c r="B6" s="299" t="s">
        <v>20</v>
      </c>
      <c r="C6" s="300"/>
      <c r="D6" s="300"/>
      <c r="E6" s="300"/>
      <c r="F6" s="300"/>
      <c r="G6" s="300"/>
      <c r="H6" s="300"/>
      <c r="I6" s="300"/>
      <c r="J6" s="300"/>
      <c r="K6" s="301"/>
      <c r="M6" s="288" t="s">
        <v>35</v>
      </c>
    </row>
    <row r="7" spans="2:17" ht="28.5" customHeight="1">
      <c r="B7" s="274" t="s">
        <v>79</v>
      </c>
      <c r="C7" s="259" t="s">
        <v>87</v>
      </c>
      <c r="D7" s="32">
        <f>C1</f>
        <v>1</v>
      </c>
      <c r="E7" s="272" t="s">
        <v>77</v>
      </c>
      <c r="F7" s="273"/>
      <c r="G7" s="39">
        <v>1</v>
      </c>
      <c r="H7" s="67" t="s">
        <v>21</v>
      </c>
      <c r="I7" s="20"/>
      <c r="J7" s="33">
        <f>100%-D7</f>
        <v>0</v>
      </c>
      <c r="K7" s="238" t="s">
        <v>78</v>
      </c>
      <c r="M7" s="289"/>
    </row>
    <row r="8" spans="2:17" s="101" customFormat="1" ht="28.5" customHeight="1" thickBot="1">
      <c r="B8" s="275"/>
      <c r="C8" s="260"/>
      <c r="D8" s="17" t="s">
        <v>12</v>
      </c>
      <c r="E8" s="18" t="s">
        <v>0</v>
      </c>
      <c r="F8" s="19" t="s">
        <v>11</v>
      </c>
      <c r="G8" s="40" t="s">
        <v>27</v>
      </c>
      <c r="H8" s="19" t="s">
        <v>22</v>
      </c>
      <c r="I8" s="20"/>
      <c r="J8" s="15" t="s">
        <v>12</v>
      </c>
      <c r="K8" s="16" t="s">
        <v>0</v>
      </c>
      <c r="L8" s="21"/>
      <c r="M8" s="290"/>
      <c r="N8" s="21"/>
      <c r="O8" s="21"/>
      <c r="P8" s="21"/>
      <c r="Q8" s="21"/>
    </row>
    <row r="9" spans="2:17">
      <c r="B9" s="75">
        <f>'Datos Base'!C31</f>
        <v>452</v>
      </c>
      <c r="C9" s="102" t="s">
        <v>13</v>
      </c>
      <c r="D9" s="103">
        <f>ROUND(B9*$D$7,0)</f>
        <v>452</v>
      </c>
      <c r="E9" s="65">
        <f>D9*'Datos Base'!F2</f>
        <v>2817092712</v>
      </c>
      <c r="F9" s="104">
        <f>D9*'Datos Base'!F5</f>
        <v>1127265400</v>
      </c>
      <c r="G9" s="261">
        <f>ROUND(G7*D12,0)</f>
        <v>992</v>
      </c>
      <c r="H9" s="305">
        <f>G9*'Datos Base'!F27</f>
        <v>104259200</v>
      </c>
      <c r="I9" s="20"/>
      <c r="J9" s="105">
        <f>ROUND(B9*$J$7,0)</f>
        <v>0</v>
      </c>
      <c r="K9" s="106">
        <f>J9*'Datos Base'!F2</f>
        <v>0</v>
      </c>
      <c r="M9" s="37">
        <f>B9-'Datos Base'!C31</f>
        <v>0</v>
      </c>
    </row>
    <row r="10" spans="2:17">
      <c r="B10" s="75">
        <f>'Datos Base'!C32</f>
        <v>500</v>
      </c>
      <c r="C10" s="63" t="s">
        <v>14</v>
      </c>
      <c r="D10" s="103">
        <f>ROUND(B10*$D$7,0)</f>
        <v>500</v>
      </c>
      <c r="E10" s="138">
        <f>D10*'Datos Base'!F3</f>
        <v>2435391000</v>
      </c>
      <c r="F10" s="139">
        <f>D10*'Datos Base'!F5</f>
        <v>1246975000</v>
      </c>
      <c r="G10" s="262"/>
      <c r="H10" s="306"/>
      <c r="I10" s="20"/>
      <c r="J10" s="108">
        <f>ROUND(B10*$J$7,0)</f>
        <v>0</v>
      </c>
      <c r="K10" s="140">
        <f>J10*'Datos Base'!F3</f>
        <v>0</v>
      </c>
      <c r="M10" s="36">
        <f>B10-'Datos Base'!C32</f>
        <v>0</v>
      </c>
    </row>
    <row r="11" spans="2:17" ht="15" thickBot="1">
      <c r="B11" s="75">
        <f>'Datos Base'!C33</f>
        <v>40</v>
      </c>
      <c r="C11" s="63" t="s">
        <v>15</v>
      </c>
      <c r="D11" s="103">
        <f>B11</f>
        <v>40</v>
      </c>
      <c r="E11" s="141">
        <f>D11*'Datos Base'!F4</f>
        <v>289376360</v>
      </c>
      <c r="F11" s="142">
        <f>D11*'Datos Base'!F6</f>
        <v>173625800</v>
      </c>
      <c r="G11" s="262"/>
      <c r="H11" s="306"/>
      <c r="I11" s="20"/>
      <c r="J11" s="108">
        <v>0</v>
      </c>
      <c r="K11" s="143">
        <f>J11*'Datos Base'!F4</f>
        <v>0</v>
      </c>
      <c r="M11" s="36" t="e">
        <f>B11-'Datos Base'!#REF!</f>
        <v>#REF!</v>
      </c>
      <c r="O11" s="100"/>
    </row>
    <row r="12" spans="2:17" s="117" customFormat="1" ht="16.8" thickTop="1" thickBot="1">
      <c r="B12" s="109">
        <f>SUM(B9:B11)</f>
        <v>992</v>
      </c>
      <c r="C12" s="61" t="s">
        <v>3</v>
      </c>
      <c r="D12" s="110">
        <f>SUM(D9:D11)</f>
        <v>992</v>
      </c>
      <c r="E12" s="111">
        <f>SUM(E9:E11)</f>
        <v>5541860072</v>
      </c>
      <c r="F12" s="112">
        <f>SUM(F9:F11)</f>
        <v>2547866200</v>
      </c>
      <c r="G12" s="62">
        <f>SUM(G9)</f>
        <v>992</v>
      </c>
      <c r="H12" s="113">
        <f>SUM(H9)</f>
        <v>104259200</v>
      </c>
      <c r="I12" s="114"/>
      <c r="J12" s="115">
        <f>SUM(J9:J11)</f>
        <v>0</v>
      </c>
      <c r="K12" s="116">
        <f>SUM(K9:K11)</f>
        <v>0</v>
      </c>
      <c r="M12" s="118" t="e">
        <f>SUM(M9:M11)</f>
        <v>#REF!</v>
      </c>
      <c r="O12" s="158"/>
    </row>
    <row r="13" spans="2:17" ht="6" customHeight="1" thickBot="1">
      <c r="K13" s="119"/>
      <c r="M13" s="100"/>
    </row>
    <row r="14" spans="2:17" s="117" customFormat="1" ht="16.8" hidden="1" thickTop="1" thickBot="1">
      <c r="E14" s="111">
        <f>E12+F12+H12</f>
        <v>8193985472</v>
      </c>
      <c r="F14" s="128"/>
      <c r="K14" s="116">
        <f>K12</f>
        <v>0</v>
      </c>
      <c r="O14" s="21"/>
    </row>
    <row r="15" spans="2:17" ht="18.600000000000001" hidden="1" thickBot="1">
      <c r="C15" s="24" t="s">
        <v>26</v>
      </c>
      <c r="D15" s="25">
        <f>D12+J12</f>
        <v>992</v>
      </c>
      <c r="E15" s="120">
        <f>E14+K14</f>
        <v>8193985472</v>
      </c>
      <c r="F15" s="158"/>
      <c r="G15" s="196"/>
    </row>
    <row r="16" spans="2:17" ht="9.75" hidden="1" customHeight="1" thickBot="1"/>
    <row r="17" spans="1:18" ht="26.4" thickBot="1">
      <c r="B17" s="302" t="s">
        <v>19</v>
      </c>
      <c r="C17" s="303"/>
      <c r="D17" s="303"/>
      <c r="E17" s="303"/>
      <c r="F17" s="303"/>
      <c r="G17" s="303"/>
      <c r="H17" s="303"/>
      <c r="I17" s="303"/>
      <c r="J17" s="303"/>
      <c r="K17" s="304"/>
      <c r="M17" s="291" t="s">
        <v>36</v>
      </c>
    </row>
    <row r="18" spans="1:18" ht="29.25" customHeight="1">
      <c r="B18" s="274" t="s">
        <v>80</v>
      </c>
      <c r="C18" s="259" t="s">
        <v>87</v>
      </c>
      <c r="D18" s="32">
        <f>C3</f>
        <v>0.7</v>
      </c>
      <c r="E18" s="272" t="s">
        <v>77</v>
      </c>
      <c r="F18" s="273"/>
      <c r="G18" s="38">
        <v>1</v>
      </c>
      <c r="H18" s="67" t="s">
        <v>21</v>
      </c>
      <c r="J18" s="33">
        <f>100%-D18</f>
        <v>0.30000000000000004</v>
      </c>
      <c r="K18" s="238" t="s">
        <v>78</v>
      </c>
      <c r="M18" s="292"/>
      <c r="O18" s="100"/>
    </row>
    <row r="19" spans="1:18" s="101" customFormat="1" ht="27" customHeight="1" thickBot="1">
      <c r="B19" s="275"/>
      <c r="C19" s="260"/>
      <c r="D19" s="17">
        <v>100</v>
      </c>
      <c r="E19" s="18" t="s">
        <v>0</v>
      </c>
      <c r="F19" s="19" t="s">
        <v>11</v>
      </c>
      <c r="G19" s="17" t="s">
        <v>27</v>
      </c>
      <c r="H19" s="19" t="s">
        <v>22</v>
      </c>
      <c r="I19" s="21"/>
      <c r="J19" s="15" t="s">
        <v>12</v>
      </c>
      <c r="K19" s="16" t="s">
        <v>0</v>
      </c>
      <c r="L19" s="21"/>
      <c r="M19" s="293"/>
      <c r="N19" s="21"/>
      <c r="O19" s="21"/>
      <c r="P19" s="21"/>
    </row>
    <row r="20" spans="1:18">
      <c r="A20" s="240"/>
      <c r="B20" s="75">
        <f>'Datos Base'!C39</f>
        <v>1164</v>
      </c>
      <c r="C20" s="121" t="s">
        <v>73</v>
      </c>
      <c r="D20" s="107">
        <f>ROUND(B20*$D$18,0)</f>
        <v>815</v>
      </c>
      <c r="E20" s="66">
        <f>D20*'Datos Base'!F7</f>
        <v>2262294930</v>
      </c>
      <c r="F20" s="68">
        <f>D20*'Datos Base'!$F$11</f>
        <v>1506719025</v>
      </c>
      <c r="G20" s="263">
        <f>ROUND(G18*D25,0)</f>
        <v>1203</v>
      </c>
      <c r="H20" s="305">
        <f>G20*'Datos Base'!F27</f>
        <v>126435300</v>
      </c>
      <c r="J20" s="108">
        <f>ROUND(B20*$J$18,0)</f>
        <v>349</v>
      </c>
      <c r="K20" s="122">
        <f>J20*'Datos Base'!F7</f>
        <v>968761878</v>
      </c>
      <c r="M20" s="37">
        <f>B20-'Datos Base'!C39</f>
        <v>0</v>
      </c>
      <c r="O20" s="100"/>
      <c r="P20" s="123"/>
    </row>
    <row r="21" spans="1:18">
      <c r="B21" s="239">
        <f>'Datos Base'!C40</f>
        <v>36</v>
      </c>
      <c r="C21" s="124" t="s">
        <v>59</v>
      </c>
      <c r="D21" s="107">
        <v>36</v>
      </c>
      <c r="E21" s="66">
        <f>D21*'Datos Base'!F8</f>
        <v>148951656</v>
      </c>
      <c r="F21" s="68">
        <f>D21*'Datos Base'!$F$11</f>
        <v>66554460</v>
      </c>
      <c r="G21" s="264"/>
      <c r="H21" s="306"/>
      <c r="J21" s="108">
        <v>0</v>
      </c>
      <c r="K21" s="122">
        <f>J21*'Datos Base'!F8</f>
        <v>0</v>
      </c>
      <c r="M21" s="36">
        <f>B21-'Datos Base'!C40</f>
        <v>0</v>
      </c>
      <c r="O21" s="100"/>
    </row>
    <row r="22" spans="1:18">
      <c r="B22" s="239">
        <f>'Datos Base'!C41</f>
        <v>84</v>
      </c>
      <c r="C22" s="124" t="s">
        <v>72</v>
      </c>
      <c r="D22" s="107">
        <f>ROUND(B22*$D$18,0)</f>
        <v>59</v>
      </c>
      <c r="E22" s="66">
        <f>D22*'Datos Base'!F7</f>
        <v>163773498</v>
      </c>
      <c r="F22" s="68">
        <f>D22*'Datos Base'!$F$11</f>
        <v>109075365</v>
      </c>
      <c r="G22" s="264"/>
      <c r="H22" s="306"/>
      <c r="J22" s="108">
        <f>ROUND(B22*$J$18,0)</f>
        <v>25</v>
      </c>
      <c r="K22" s="122">
        <f>J22*'Datos Base'!F7</f>
        <v>69395550</v>
      </c>
      <c r="M22" s="36">
        <f>B22-'Datos Base'!C41</f>
        <v>0</v>
      </c>
      <c r="O22" s="100"/>
    </row>
    <row r="23" spans="1:18">
      <c r="B23" s="239">
        <f>'Datos Base'!C42</f>
        <v>216</v>
      </c>
      <c r="C23" s="124" t="s">
        <v>17</v>
      </c>
      <c r="D23" s="107">
        <f>B23</f>
        <v>216</v>
      </c>
      <c r="E23" s="66">
        <f>D23*'Datos Base'!F9</f>
        <v>599577552</v>
      </c>
      <c r="F23" s="68">
        <f>D23*'Datos Base'!$F$11</f>
        <v>399326760</v>
      </c>
      <c r="G23" s="264"/>
      <c r="H23" s="306"/>
      <c r="J23" s="108">
        <v>0</v>
      </c>
      <c r="K23" s="122">
        <f>J23*'Datos Base'!F9</f>
        <v>0</v>
      </c>
      <c r="M23" s="36">
        <f>B23-'Datos Base'!C42</f>
        <v>0</v>
      </c>
      <c r="O23" s="100"/>
    </row>
    <row r="24" spans="1:18" ht="15" thickBot="1">
      <c r="B24" s="239">
        <f>'Datos Base'!C43</f>
        <v>77</v>
      </c>
      <c r="C24" s="124" t="s">
        <v>18</v>
      </c>
      <c r="D24" s="107">
        <f>B24</f>
        <v>77</v>
      </c>
      <c r="E24" s="66">
        <f>D24*'Datos Base'!F10</f>
        <v>213738294</v>
      </c>
      <c r="F24" s="68">
        <f>D24*'Datos Base'!$F$11</f>
        <v>142352595</v>
      </c>
      <c r="G24" s="264"/>
      <c r="H24" s="306"/>
      <c r="J24" s="108">
        <v>0</v>
      </c>
      <c r="K24" s="122">
        <f>J24*'Datos Base'!F10</f>
        <v>0</v>
      </c>
      <c r="M24" s="36">
        <f>B24-'Datos Base'!C43</f>
        <v>0</v>
      </c>
      <c r="O24" s="100"/>
    </row>
    <row r="25" spans="1:18" s="117" customFormat="1" ht="16.8" thickTop="1" thickBot="1">
      <c r="B25" s="109">
        <f>SUM(B20:B24)</f>
        <v>1577</v>
      </c>
      <c r="C25" s="64" t="s">
        <v>3</v>
      </c>
      <c r="D25" s="110">
        <f>SUM(D20:D24)</f>
        <v>1203</v>
      </c>
      <c r="E25" s="125">
        <f>SUM(E20:E24)</f>
        <v>3388335930</v>
      </c>
      <c r="F25" s="113">
        <f>SUM(F20:F24)</f>
        <v>2224028205</v>
      </c>
      <c r="G25" s="126">
        <f>SUM(G20)</f>
        <v>1203</v>
      </c>
      <c r="H25" s="113">
        <f>SUM(H20)</f>
        <v>126435300</v>
      </c>
      <c r="J25" s="115">
        <f>SUM(J20:J24)</f>
        <v>374</v>
      </c>
      <c r="K25" s="116">
        <f>SUM(K20:K24)</f>
        <v>1038157428</v>
      </c>
      <c r="M25" s="127">
        <f>SUM(M20:M24)</f>
        <v>0</v>
      </c>
      <c r="O25" s="128"/>
      <c r="Q25" s="129"/>
      <c r="R25" s="21"/>
    </row>
    <row r="26" spans="1:18" ht="4.5" customHeight="1" thickBot="1">
      <c r="K26" s="119"/>
    </row>
    <row r="27" spans="1:18" s="117" customFormat="1" ht="16.8" thickTop="1" thickBot="1">
      <c r="B27" s="212"/>
      <c r="D27" s="212"/>
      <c r="E27" s="111">
        <f>E25+F25+H25</f>
        <v>5738799435</v>
      </c>
      <c r="F27" s="128"/>
      <c r="G27" s="197"/>
      <c r="K27" s="116">
        <f>K25</f>
        <v>1038157428</v>
      </c>
      <c r="R27" s="21"/>
    </row>
    <row r="28" spans="1:18" ht="18.600000000000001" thickBot="1">
      <c r="B28" s="100"/>
      <c r="C28" s="23" t="s">
        <v>24</v>
      </c>
      <c r="D28" s="26">
        <f>D25+J25</f>
        <v>1577</v>
      </c>
      <c r="E28" s="130">
        <f>E27+K27</f>
        <v>6776956863</v>
      </c>
      <c r="F28" s="158"/>
      <c r="H28" s="100"/>
      <c r="O28" s="117"/>
      <c r="P28" s="117"/>
    </row>
    <row r="29" spans="1:18" ht="8.25" customHeight="1" thickBot="1">
      <c r="O29" s="117"/>
      <c r="P29" s="117"/>
    </row>
    <row r="30" spans="1:18" ht="18" thickBot="1">
      <c r="B30" s="269" t="s">
        <v>10</v>
      </c>
      <c r="C30" s="270"/>
      <c r="D30" s="270"/>
      <c r="E30" s="270"/>
      <c r="F30" s="271"/>
      <c r="H30" s="100"/>
      <c r="J30" s="100"/>
      <c r="K30" s="100"/>
      <c r="O30" s="117"/>
      <c r="P30" s="117"/>
    </row>
    <row r="31" spans="1:18" ht="15.6">
      <c r="B31" s="77"/>
      <c r="C31" s="265">
        <v>2</v>
      </c>
      <c r="D31" s="266"/>
      <c r="E31" s="267">
        <v>1</v>
      </c>
      <c r="F31" s="268"/>
      <c r="H31" s="100"/>
      <c r="J31" s="158"/>
      <c r="K31" s="100"/>
      <c r="O31" s="117"/>
      <c r="P31" s="117"/>
    </row>
    <row r="32" spans="1:18" ht="16.2" thickBot="1">
      <c r="B32" s="73"/>
      <c r="C32" s="131" t="s">
        <v>65</v>
      </c>
      <c r="D32" s="132" t="s">
        <v>22</v>
      </c>
      <c r="E32" s="133" t="s">
        <v>65</v>
      </c>
      <c r="F32" s="134" t="s">
        <v>22</v>
      </c>
      <c r="K32" s="144"/>
      <c r="O32" s="117"/>
      <c r="P32" s="117"/>
    </row>
    <row r="33" spans="1:17" ht="31.2">
      <c r="A33" s="223">
        <f>(C31*D12)</f>
        <v>1984</v>
      </c>
      <c r="B33" s="214" t="s">
        <v>1</v>
      </c>
      <c r="C33" s="215">
        <f>A33+C36</f>
        <v>2009</v>
      </c>
      <c r="D33" s="28">
        <f>C33*'Datos Base'!F26</f>
        <v>184536695</v>
      </c>
      <c r="E33" s="41">
        <f>E31*J12</f>
        <v>0</v>
      </c>
      <c r="F33" s="28">
        <f>E33*'Datos Base'!F26</f>
        <v>0</v>
      </c>
      <c r="J33" s="188"/>
      <c r="K33" s="144"/>
      <c r="O33" s="117"/>
      <c r="P33" s="117"/>
    </row>
    <row r="34" spans="1:17" ht="16.2" thickBot="1">
      <c r="A34" s="225">
        <f>(C31*D25)</f>
        <v>2406</v>
      </c>
      <c r="B34" s="27" t="s">
        <v>2</v>
      </c>
      <c r="C34" s="181">
        <f>A34+C37</f>
        <v>2440</v>
      </c>
      <c r="D34" s="29">
        <f>C34*'Datos Base'!F26</f>
        <v>224126200</v>
      </c>
      <c r="E34" s="42">
        <f>E31*J25</f>
        <v>374</v>
      </c>
      <c r="F34" s="29">
        <f>E34*'Datos Base'!F26</f>
        <v>34353770</v>
      </c>
      <c r="J34" s="188"/>
      <c r="K34" s="158"/>
      <c r="O34" s="117"/>
      <c r="P34" s="117"/>
    </row>
    <row r="35" spans="1:17" s="117" customFormat="1" ht="16.8" thickTop="1" thickBot="1">
      <c r="B35" s="69" t="s">
        <v>28</v>
      </c>
      <c r="C35" s="70">
        <f>SUM(C33:C34)</f>
        <v>4449</v>
      </c>
      <c r="D35" s="44">
        <f>SUM(D33:D34)</f>
        <v>408662895</v>
      </c>
      <c r="E35" s="43">
        <f>SUM(E33:E34)</f>
        <v>374</v>
      </c>
      <c r="F35" s="30">
        <f>SUM(F33:F34)</f>
        <v>34353770</v>
      </c>
      <c r="H35" s="21"/>
      <c r="I35" s="21"/>
      <c r="J35" s="191"/>
      <c r="K35" s="21"/>
    </row>
    <row r="36" spans="1:17" ht="31.8" thickBot="1">
      <c r="B36" s="71" t="s">
        <v>43</v>
      </c>
      <c r="C36" s="213">
        <f>ROUND((A33+E33)*D36,0)</f>
        <v>25</v>
      </c>
      <c r="D36" s="257">
        <v>1.24E-2</v>
      </c>
      <c r="E36" s="216">
        <f>C35+E35</f>
        <v>4823</v>
      </c>
      <c r="F36" s="100"/>
      <c r="H36" s="100"/>
    </row>
    <row r="37" spans="1:17" ht="31.8" thickBot="1">
      <c r="B37" s="72" t="s">
        <v>44</v>
      </c>
      <c r="C37" s="161">
        <f>ROUND((A34+E34)*D36,0)</f>
        <v>34</v>
      </c>
      <c r="D37" s="258"/>
      <c r="E37" s="100"/>
      <c r="F37" s="100"/>
      <c r="M37" s="144"/>
    </row>
    <row r="38" spans="1:17" ht="15" thickBot="1">
      <c r="M38" s="144"/>
    </row>
    <row r="39" spans="1:17" s="60" customFormat="1" ht="15" thickBot="1">
      <c r="C39" s="251" t="s">
        <v>85</v>
      </c>
      <c r="D39" s="251" t="s">
        <v>86</v>
      </c>
      <c r="L39" s="21"/>
      <c r="M39" s="144"/>
      <c r="N39" s="21"/>
      <c r="O39" s="21"/>
      <c r="P39" s="21"/>
      <c r="Q39" s="21"/>
    </row>
    <row r="40" spans="1:17" s="60" customFormat="1" ht="28.8">
      <c r="C40" s="217" t="s">
        <v>71</v>
      </c>
      <c r="D40" s="226">
        <f>D12+D25+J25+J12</f>
        <v>2569</v>
      </c>
      <c r="G40" s="181"/>
      <c r="H40" s="145"/>
      <c r="L40" s="21"/>
      <c r="M40" s="21"/>
      <c r="N40" s="21"/>
      <c r="O40" s="21"/>
      <c r="P40" s="21"/>
      <c r="Q40" s="21"/>
    </row>
    <row r="41" spans="1:17" ht="28.8">
      <c r="C41" s="218" t="s">
        <v>66</v>
      </c>
      <c r="D41" s="227">
        <f>D12+D25</f>
        <v>2195</v>
      </c>
      <c r="F41" s="60"/>
      <c r="G41" s="60"/>
      <c r="H41" s="145"/>
    </row>
    <row r="42" spans="1:17" ht="29.4" thickBot="1">
      <c r="C42" s="219" t="s">
        <v>67</v>
      </c>
      <c r="D42" s="228">
        <f>C36+C37</f>
        <v>59</v>
      </c>
      <c r="G42" s="60"/>
      <c r="H42" s="145"/>
    </row>
    <row r="43" spans="1:17" ht="18" thickTop="1">
      <c r="C43" s="220" t="s">
        <v>68</v>
      </c>
      <c r="D43" s="224">
        <f>SUM(D40:D42)</f>
        <v>4823</v>
      </c>
      <c r="G43" s="60"/>
      <c r="H43" s="145"/>
    </row>
    <row r="44" spans="1:17" ht="18" thickBot="1">
      <c r="C44" s="221" t="s">
        <v>69</v>
      </c>
      <c r="D44" s="242">
        <f>'Datos Base'!F26</f>
        <v>91855</v>
      </c>
      <c r="E44" s="158"/>
      <c r="H44" s="145"/>
    </row>
    <row r="45" spans="1:17" ht="18.600000000000001" thickTop="1" thickBot="1">
      <c r="C45" s="222" t="s">
        <v>70</v>
      </c>
      <c r="D45" s="243">
        <f>D44*D43</f>
        <v>443016665</v>
      </c>
      <c r="K45" s="158"/>
    </row>
    <row r="46" spans="1:17" ht="15" thickBot="1">
      <c r="D46" s="95"/>
    </row>
    <row r="47" spans="1:17" ht="19.8">
      <c r="H47" s="294" t="s">
        <v>41</v>
      </c>
      <c r="I47" s="295"/>
      <c r="J47" s="296"/>
      <c r="K47" s="208" t="s">
        <v>22</v>
      </c>
    </row>
    <row r="48" spans="1:17" ht="18.600000000000001" thickBot="1">
      <c r="H48" s="276" t="s">
        <v>29</v>
      </c>
      <c r="I48" s="277"/>
      <c r="J48" s="278"/>
      <c r="K48" s="206">
        <f>D45</f>
        <v>443016665</v>
      </c>
      <c r="O48" s="158"/>
    </row>
    <row r="49" spans="6:15" ht="18">
      <c r="F49" s="284" t="s">
        <v>25</v>
      </c>
      <c r="G49" s="285"/>
      <c r="H49" s="279" t="s">
        <v>30</v>
      </c>
      <c r="I49" s="280"/>
      <c r="J49" s="281"/>
      <c r="K49" s="207">
        <f>E12+K12+E25+K25</f>
        <v>9968353430</v>
      </c>
      <c r="O49" s="158"/>
    </row>
    <row r="50" spans="6:15" ht="18.600000000000001" thickBot="1">
      <c r="F50" s="286"/>
      <c r="G50" s="287"/>
      <c r="H50" s="276" t="s">
        <v>31</v>
      </c>
      <c r="I50" s="277"/>
      <c r="J50" s="278"/>
      <c r="K50" s="206">
        <f>F12+H12+F25+H25</f>
        <v>5002588905</v>
      </c>
      <c r="O50" s="188"/>
    </row>
    <row r="51" spans="6:15" ht="22.2" thickTop="1" thickBot="1">
      <c r="F51" s="60"/>
      <c r="G51" s="60"/>
      <c r="H51" s="297" t="s">
        <v>100</v>
      </c>
      <c r="I51" s="297"/>
      <c r="J51" s="298"/>
      <c r="K51" s="31">
        <f>SUM(K48:K50)</f>
        <v>15413959000</v>
      </c>
      <c r="M51" s="172"/>
      <c r="O51" s="95"/>
    </row>
    <row r="52" spans="6:15" ht="21.6" thickBot="1">
      <c r="H52" s="282" t="s">
        <v>32</v>
      </c>
      <c r="I52" s="283"/>
      <c r="J52" s="283"/>
      <c r="K52" s="35">
        <f>'Datos Base'!C15</f>
        <v>15425667854</v>
      </c>
    </row>
    <row r="53" spans="6:15" ht="21.6" thickBot="1">
      <c r="K53" s="247">
        <f>K52-K51</f>
        <v>11708854</v>
      </c>
    </row>
    <row r="54" spans="6:15" ht="15" thickBot="1"/>
    <row r="55" spans="6:15" ht="45.6" customHeight="1" thickBot="1">
      <c r="H55" s="254" t="s">
        <v>88</v>
      </c>
      <c r="I55" s="255"/>
      <c r="J55" s="256"/>
      <c r="K55" s="34">
        <f>K49+K50</f>
        <v>14970942335</v>
      </c>
    </row>
    <row r="56" spans="6:15" ht="16.8" customHeight="1"/>
  </sheetData>
  <mergeCells count="34">
    <mergeCell ref="C1:C2"/>
    <mergeCell ref="B1:B2"/>
    <mergeCell ref="B3:B4"/>
    <mergeCell ref="C3:C4"/>
    <mergeCell ref="E1:F1"/>
    <mergeCell ref="E2:F2"/>
    <mergeCell ref="E3:F3"/>
    <mergeCell ref="E4:F4"/>
    <mergeCell ref="M6:M8"/>
    <mergeCell ref="M17:M19"/>
    <mergeCell ref="H50:J50"/>
    <mergeCell ref="H47:J47"/>
    <mergeCell ref="H51:J51"/>
    <mergeCell ref="B6:K6"/>
    <mergeCell ref="B17:K17"/>
    <mergeCell ref="E7:F7"/>
    <mergeCell ref="H20:H24"/>
    <mergeCell ref="B7:B8"/>
    <mergeCell ref="C7:C8"/>
    <mergeCell ref="H9:H11"/>
    <mergeCell ref="H55:J55"/>
    <mergeCell ref="D36:D37"/>
    <mergeCell ref="C18:C19"/>
    <mergeCell ref="G9:G11"/>
    <mergeCell ref="G20:G24"/>
    <mergeCell ref="C31:D31"/>
    <mergeCell ref="E31:F31"/>
    <mergeCell ref="B30:F30"/>
    <mergeCell ref="E18:F18"/>
    <mergeCell ref="B18:B19"/>
    <mergeCell ref="H48:J48"/>
    <mergeCell ref="H49:J49"/>
    <mergeCell ref="H52:J52"/>
    <mergeCell ref="F49:G50"/>
  </mergeCells>
  <conditionalFormatting sqref="K1">
    <cfRule type="cellIs" dxfId="9" priority="2" operator="greaterThan">
      <formula>0</formula>
    </cfRule>
    <cfRule type="cellIs" dxfId="8" priority="3" operator="lessThan">
      <formula>0</formula>
    </cfRule>
  </conditionalFormatting>
  <conditionalFormatting sqref="K53">
    <cfRule type="cellIs" dxfId="7" priority="6" operator="lessThan">
      <formula>0</formula>
    </cfRule>
  </conditionalFormatting>
  <conditionalFormatting sqref="K55">
    <cfRule type="cellIs" dxfId="6" priority="1" operator="lessThan">
      <formula>0</formula>
    </cfRule>
  </conditionalFormatting>
  <conditionalFormatting sqref="M9:M12">
    <cfRule type="cellIs" dxfId="5" priority="5" operator="lessThan">
      <formula>0</formula>
    </cfRule>
  </conditionalFormatting>
  <conditionalFormatting sqref="M20:M25">
    <cfRule type="cellIs" dxfId="4" priority="4" operator="lessThan">
      <formula>0</formula>
    </cfRule>
  </conditionalFormatting>
  <pageMargins left="0.7" right="0.7" top="0.75" bottom="0.75" header="0.3" footer="0.3"/>
  <pageSetup paperSize="9" orientation="portrait" r:id="rId1"/>
  <ignoredErrors>
    <ignoredError sqref="K21 E2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7"/>
  <sheetViews>
    <sheetView zoomScale="80" zoomScaleNormal="80" zoomScalePageLayoutView="150" workbookViewId="0">
      <pane ySplit="3" topLeftCell="A4" activePane="bottomLeft" state="frozen"/>
      <selection pane="bottomLeft" activeCell="M16" sqref="M16"/>
    </sheetView>
  </sheetViews>
  <sheetFormatPr baseColWidth="10" defaultColWidth="10.77734375" defaultRowHeight="14.4"/>
  <cols>
    <col min="1" max="1" width="24.44140625" style="21" bestFit="1" customWidth="1"/>
    <col min="2" max="2" width="52.44140625" style="21" customWidth="1"/>
    <col min="3" max="3" width="30.21875" style="21" customWidth="1"/>
    <col min="4" max="4" width="3" style="21" customWidth="1"/>
    <col min="5" max="5" width="8" style="21" hidden="1" customWidth="1"/>
    <col min="6" max="6" width="6.5546875" style="21" hidden="1" customWidth="1"/>
    <col min="7" max="7" width="23" style="21" hidden="1" customWidth="1"/>
    <col min="8" max="8" width="22.44140625" style="21" hidden="1" customWidth="1"/>
    <col min="9" max="9" width="13.5546875" style="21" hidden="1" customWidth="1"/>
    <col min="10" max="10" width="30" style="21" hidden="1" customWidth="1"/>
    <col min="11" max="11" width="16.6640625" style="21" bestFit="1" customWidth="1"/>
    <col min="12" max="12" width="18" style="21" bestFit="1" customWidth="1"/>
    <col min="13" max="13" width="16.44140625" style="21" bestFit="1" customWidth="1"/>
    <col min="14" max="14" width="24.5546875" style="21" bestFit="1" customWidth="1"/>
    <col min="15" max="16384" width="10.77734375" style="21"/>
  </cols>
  <sheetData>
    <row r="1" spans="1:14" ht="24" customHeight="1" thickBot="1">
      <c r="B1" s="78" t="s">
        <v>48</v>
      </c>
      <c r="C1" s="74"/>
      <c r="D1" s="60"/>
      <c r="E1" s="60"/>
      <c r="F1" s="324" t="s">
        <v>47</v>
      </c>
      <c r="G1" s="324"/>
      <c r="H1" s="324"/>
    </row>
    <row r="2" spans="1:14" ht="21.6" thickBot="1">
      <c r="B2" s="79" t="s">
        <v>49</v>
      </c>
      <c r="C2" s="80"/>
      <c r="D2" s="60"/>
      <c r="E2" s="60"/>
      <c r="F2" s="325">
        <v>2025</v>
      </c>
      <c r="G2" s="326"/>
      <c r="H2" s="327"/>
    </row>
    <row r="3" spans="1:14" ht="21.6" thickBot="1">
      <c r="A3" s="4"/>
      <c r="B3" s="77"/>
      <c r="C3" s="209">
        <v>2026</v>
      </c>
      <c r="F3" s="82" t="s">
        <v>3</v>
      </c>
      <c r="G3" s="83" t="s">
        <v>45</v>
      </c>
      <c r="H3" s="84" t="s">
        <v>46</v>
      </c>
    </row>
    <row r="4" spans="1:14" ht="15" thickBot="1">
      <c r="A4" s="169"/>
      <c r="B4" s="89" t="s">
        <v>37</v>
      </c>
      <c r="C4" s="90">
        <f>'2026 Fiducia'!K48</f>
        <v>443016665</v>
      </c>
      <c r="D4" s="158"/>
      <c r="E4" s="168" t="s">
        <v>48</v>
      </c>
      <c r="F4" s="85" t="e">
        <f>'Datos Base'!#REF!</f>
        <v>#REF!</v>
      </c>
      <c r="G4" s="88">
        <f>'2026 Fiducia'!G2</f>
        <v>452</v>
      </c>
      <c r="H4" s="162" t="e">
        <f>G4-F4</f>
        <v>#REF!</v>
      </c>
      <c r="J4" s="188"/>
    </row>
    <row r="5" spans="1:14" ht="15" thickBot="1">
      <c r="A5" s="169"/>
      <c r="B5" s="91" t="s">
        <v>38</v>
      </c>
      <c r="C5" s="92">
        <f>'2026 Fiducia'!E15+'2026 Fiducia'!E28</f>
        <v>14970942335</v>
      </c>
      <c r="D5" s="158"/>
      <c r="E5" s="168" t="s">
        <v>49</v>
      </c>
      <c r="F5" s="163" t="e">
        <f>'Datos Base'!#REF!</f>
        <v>#REF!</v>
      </c>
      <c r="G5" s="164">
        <f>'2026 Fiducia'!G4</f>
        <v>855</v>
      </c>
      <c r="H5" s="165" t="e">
        <f>G5-F5</f>
        <v>#REF!</v>
      </c>
      <c r="J5" s="188"/>
    </row>
    <row r="6" spans="1:14" ht="15.6" thickTop="1" thickBot="1">
      <c r="A6" s="76"/>
      <c r="B6" s="93" t="s">
        <v>40</v>
      </c>
      <c r="C6" s="245">
        <f>SUM(C4:C5)</f>
        <v>15413959000</v>
      </c>
      <c r="D6" s="159"/>
      <c r="E6" s="168" t="s">
        <v>52</v>
      </c>
      <c r="F6" s="152" t="e">
        <f>SUM(F4:F5)</f>
        <v>#REF!</v>
      </c>
      <c r="G6" s="166">
        <f>SUM(G4:G5)</f>
        <v>1307</v>
      </c>
      <c r="H6" s="167" t="e">
        <f>G6-F6</f>
        <v>#REF!</v>
      </c>
      <c r="J6" s="188"/>
      <c r="N6" s="188"/>
    </row>
    <row r="7" spans="1:14" s="94" customFormat="1" ht="19.2" thickTop="1" thickBot="1">
      <c r="A7" s="170"/>
      <c r="B7" s="210" t="s">
        <v>39</v>
      </c>
      <c r="C7" s="211">
        <f>C6</f>
        <v>15413959000</v>
      </c>
      <c r="D7" s="160"/>
      <c r="E7" s="160"/>
      <c r="F7" s="21"/>
      <c r="G7" s="100"/>
      <c r="H7" s="21"/>
      <c r="N7" s="244"/>
    </row>
    <row r="8" spans="1:14" ht="18.600000000000001" thickBot="1">
      <c r="A8" s="76"/>
      <c r="F8" s="94"/>
      <c r="G8" s="188"/>
      <c r="H8" s="191"/>
    </row>
    <row r="9" spans="1:14" ht="18.600000000000001" thickBot="1">
      <c r="A9" s="76"/>
      <c r="B9" s="157" t="s">
        <v>51</v>
      </c>
      <c r="C9" s="189">
        <f>'Datos Base'!C15</f>
        <v>15425667854</v>
      </c>
      <c r="D9" s="160"/>
      <c r="E9" s="160"/>
      <c r="N9" s="188"/>
    </row>
    <row r="10" spans="1:14" ht="18.600000000000001" thickBot="1">
      <c r="A10" s="76"/>
      <c r="B10" s="157" t="s">
        <v>64</v>
      </c>
      <c r="C10" s="190">
        <f>C9-C7</f>
        <v>11708854</v>
      </c>
      <c r="D10" s="160"/>
      <c r="E10" s="160"/>
      <c r="L10" s="158"/>
      <c r="N10" s="191"/>
    </row>
    <row r="11" spans="1:14">
      <c r="C11" s="158"/>
      <c r="G11" s="188">
        <v>1800000000</v>
      </c>
    </row>
    <row r="12" spans="1:14">
      <c r="B12" s="188"/>
    </row>
    <row r="13" spans="1:14">
      <c r="B13" s="188"/>
    </row>
    <row r="15" spans="1:14">
      <c r="B15" s="188"/>
    </row>
    <row r="16" spans="1:14">
      <c r="B16" s="188"/>
    </row>
    <row r="17" spans="2:7">
      <c r="B17" s="188"/>
    </row>
    <row r="20" spans="2:7">
      <c r="B20" s="194"/>
      <c r="G20" s="195"/>
    </row>
    <row r="21" spans="2:7">
      <c r="B21" s="192"/>
      <c r="G21" s="195"/>
    </row>
    <row r="22" spans="2:7">
      <c r="B22" s="195"/>
    </row>
    <row r="25" spans="2:7">
      <c r="B25" s="188"/>
    </row>
    <row r="26" spans="2:7">
      <c r="B26" s="188"/>
    </row>
    <row r="27" spans="2:7">
      <c r="B27" s="188"/>
    </row>
  </sheetData>
  <mergeCells count="2">
    <mergeCell ref="F1:H1"/>
    <mergeCell ref="F2:H2"/>
  </mergeCells>
  <conditionalFormatting sqref="C10">
    <cfRule type="cellIs" dxfId="3" priority="6" operator="greaterThan">
      <formula>0</formula>
    </cfRule>
    <cfRule type="cellIs" dxfId="2" priority="7" operator="lessThan">
      <formula>0</formula>
    </cfRule>
  </conditionalFormatting>
  <conditionalFormatting sqref="D9:E10">
    <cfRule type="cellIs" dxfId="1" priority="21" operator="lessThan">
      <formula>0</formula>
    </cfRule>
  </conditionalFormatting>
  <conditionalFormatting sqref="H4:H6">
    <cfRule type="cellIs" dxfId="0" priority="5" operator="lessThan">
      <formula>0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253149-1F1E-4603-81D5-E90A391B14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Datos Base</vt:lpstr>
      <vt:lpstr>2026 Fiducia</vt:lpstr>
      <vt:lpstr>FormaResumen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</dc:creator>
  <cp:lastModifiedBy>Maritza Yolima Gomez Penaloza</cp:lastModifiedBy>
  <dcterms:created xsi:type="dcterms:W3CDTF">2019-09-08T05:01:23Z</dcterms:created>
  <dcterms:modified xsi:type="dcterms:W3CDTF">2026-05-13T20:21:27Z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f1bf27-0e0c-49cf-b9bd-55b5d676f728_Enabled">
    <vt:lpwstr>true</vt:lpwstr>
  </property>
  <property fmtid="{D5CDD505-2E9C-101B-9397-08002B2CF9AE}" pid="3" name="MSIP_Label_02f1bf27-0e0c-49cf-b9bd-55b5d676f728_SetDate">
    <vt:lpwstr>2023-03-17T15:55:51Z</vt:lpwstr>
  </property>
  <property fmtid="{D5CDD505-2E9C-101B-9397-08002B2CF9AE}" pid="4" name="MSIP_Label_02f1bf27-0e0c-49cf-b9bd-55b5d676f728_Method">
    <vt:lpwstr>Standard</vt:lpwstr>
  </property>
  <property fmtid="{D5CDD505-2E9C-101B-9397-08002B2CF9AE}" pid="5" name="MSIP_Label_02f1bf27-0e0c-49cf-b9bd-55b5d676f728_Name">
    <vt:lpwstr>slNoClasificado</vt:lpwstr>
  </property>
  <property fmtid="{D5CDD505-2E9C-101B-9397-08002B2CF9AE}" pid="6" name="MSIP_Label_02f1bf27-0e0c-49cf-b9bd-55b5d676f728_SiteId">
    <vt:lpwstr>31fcfb3f-8a0b-4ab5-b792-74c9062b9c8e</vt:lpwstr>
  </property>
  <property fmtid="{D5CDD505-2E9C-101B-9397-08002B2CF9AE}" pid="7" name="MSIP_Label_02f1bf27-0e0c-49cf-b9bd-55b5d676f728_ActionId">
    <vt:lpwstr>ff3dce18-1f07-42b8-9c3c-7310e91bf0d1</vt:lpwstr>
  </property>
  <property fmtid="{D5CDD505-2E9C-101B-9397-08002B2CF9AE}" pid="8" name="MSIP_Label_02f1bf27-0e0c-49cf-b9bd-55b5d676f728_ContentBits">
    <vt:lpwstr>0</vt:lpwstr>
  </property>
</Properties>
</file>